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Weed Counts"/>
    <sheet r:id="rId2" sheetId="2" name="Total Weed Density by Specie"/>
    <sheet r:id="rId3" sheetId="3" name="Interpreting the Headings"/>
  </sheets>
  <definedNames>
    <definedName name="_xlnm._FilterDatabase" localSheetId="1">'Total Weed Density by Specie'!$A$1:$Y$73</definedName>
    <definedName name="_xlnm._FilterDatabase" localSheetId="0">'Weed Counts'!$A$1:$BE$73</definedName>
  </definedNames>
  <calcPr fullCalcOnLoad="1"/>
</workbook>
</file>

<file path=xl/sharedStrings.xml><?xml version="1.0" encoding="utf-8"?>
<sst xmlns="http://schemas.openxmlformats.org/spreadsheetml/2006/main" count="678" uniqueCount="86">
  <si>
    <t>Interpreting the CODING</t>
  </si>
  <si>
    <r>
      <t/>
    </r>
    <r>
      <rPr>
        <sz val="18"/>
        <color rgb="FFff0000"/>
        <rFont val="Calibri"/>
        <family val="2"/>
        <scheme val="minor"/>
      </rPr>
      <t>ABUTH</t>
    </r>
    <r>
      <rPr>
        <sz val="18"/>
        <color rgb="FF000000"/>
        <rFont val="Calibri"/>
        <family val="2"/>
        <scheme val="minor"/>
      </rPr>
      <t>_1in_</t>
    </r>
    <r>
      <rPr>
        <sz val="18"/>
        <color rgb="FF4472c4"/>
        <rFont val="Calibri"/>
        <family val="2"/>
        <scheme val="minor"/>
      </rPr>
      <t>M</t>
    </r>
  </si>
  <si>
    <t>Weed Species</t>
  </si>
  <si>
    <t>Size of Weeds</t>
  </si>
  <si>
    <t>Location of weeds</t>
  </si>
  <si>
    <t xml:space="preserve">*the first three letters are the genius; two letters are the specie </t>
  </si>
  <si>
    <t>Weeds were approximately</t>
  </si>
  <si>
    <t>M=Middle (area between the crop rows</t>
  </si>
  <si>
    <t xml:space="preserve">Example: </t>
  </si>
  <si>
    <t>1in = 1-inch</t>
  </si>
  <si>
    <t>C= Crop  (within crop rows)</t>
  </si>
  <si>
    <r>
      <t>IPOSS (</t>
    </r>
    <r>
      <rPr>
        <i/>
        <sz val="11"/>
        <color rgb="FF000000"/>
        <rFont val="Calibri"/>
        <family val="2"/>
        <scheme val="minor"/>
      </rPr>
      <t>Ipomoea spp.</t>
    </r>
    <r>
      <rPr>
        <sz val="11"/>
        <color rgb="FF000000"/>
        <rFont val="Calibri"/>
        <family val="2"/>
        <scheme val="minor"/>
      </rPr>
      <t xml:space="preserve">) = morningglory spp. </t>
    </r>
  </si>
  <si>
    <t>2in = 2-inches</t>
  </si>
  <si>
    <r>
      <t>CHEAL (</t>
    </r>
    <r>
      <rPr>
        <i/>
        <sz val="11"/>
        <color rgb="FF000000"/>
        <rFont val="Calibri"/>
        <family val="2"/>
        <scheme val="minor"/>
      </rPr>
      <t>Chenopodium album</t>
    </r>
    <r>
      <rPr>
        <sz val="11"/>
        <color rgb="FF000000"/>
        <rFont val="Calibri"/>
        <family val="2"/>
        <scheme val="minor"/>
      </rPr>
      <t>) = common lambsquarters</t>
    </r>
  </si>
  <si>
    <t>3in = 3-inches or greater</t>
  </si>
  <si>
    <r>
      <t>SIDSP (</t>
    </r>
    <r>
      <rPr>
        <i/>
        <sz val="11"/>
        <color rgb="FF000000"/>
        <rFont val="Calibri"/>
        <family val="2"/>
        <scheme val="minor"/>
      </rPr>
      <t>Sida spinosa</t>
    </r>
    <r>
      <rPr>
        <sz val="11"/>
        <color rgb="FF000000"/>
        <rFont val="Calibri"/>
        <family val="2"/>
        <scheme val="minor"/>
      </rPr>
      <t>) = prickly sida</t>
    </r>
  </si>
  <si>
    <r>
      <t>ABUTH (</t>
    </r>
    <r>
      <rPr>
        <i/>
        <sz val="11"/>
        <color rgb="FF000000"/>
        <rFont val="Calibri"/>
        <family val="2"/>
        <scheme val="minor"/>
      </rPr>
      <t>Abutilion theophrasti)</t>
    </r>
    <r>
      <rPr>
        <sz val="11"/>
        <color rgb="FF000000"/>
        <rFont val="Calibri"/>
        <family val="2"/>
        <scheme val="minor"/>
      </rPr>
      <t xml:space="preserve"> = velvetleaf</t>
    </r>
  </si>
  <si>
    <t>SETFA (Setaria faberi) = gaint foxtail</t>
  </si>
  <si>
    <t>Plot</t>
  </si>
  <si>
    <t>Treatment</t>
  </si>
  <si>
    <t>DAA</t>
  </si>
  <si>
    <t>Date</t>
  </si>
  <si>
    <t>Sprayer System</t>
  </si>
  <si>
    <t>Spray Direction</t>
  </si>
  <si>
    <t>Soy Stage</t>
  </si>
  <si>
    <t>Speed</t>
  </si>
  <si>
    <t>Size</t>
  </si>
  <si>
    <t>Scanned Area</t>
  </si>
  <si>
    <t>Sprayed Area</t>
  </si>
  <si>
    <t>Gain (%)</t>
  </si>
  <si>
    <t>ABUTH_TOTAL</t>
  </si>
  <si>
    <t>SIDSP_TOTAL</t>
  </si>
  <si>
    <t>CHEAL_TOTAL</t>
  </si>
  <si>
    <t>IPOSS_TOTAL</t>
  </si>
  <si>
    <t>POROL_1in</t>
  </si>
  <si>
    <t>POROL_2in</t>
  </si>
  <si>
    <t>POROL_3in</t>
  </si>
  <si>
    <t>POROL_TOTAL</t>
  </si>
  <si>
    <t>SETFA_TOTAL</t>
  </si>
  <si>
    <t>OTHER_TOTAL</t>
  </si>
  <si>
    <t>TOTAL</t>
  </si>
  <si>
    <t>TOTAL w/o POROL</t>
  </si>
  <si>
    <t>FALSE_POSTITIVES</t>
  </si>
  <si>
    <t>Red</t>
  </si>
  <si>
    <t>south</t>
  </si>
  <si>
    <t>VC</t>
  </si>
  <si>
    <t>north</t>
  </si>
  <si>
    <t>Blue</t>
  </si>
  <si>
    <t>V2</t>
  </si>
  <si>
    <t>%Red 0 to 5DAA</t>
  </si>
  <si>
    <t>DAA = Days after application</t>
  </si>
  <si>
    <t>Treatmetn</t>
  </si>
  <si>
    <t>Soybean Stage</t>
  </si>
  <si>
    <t>ABUTH_1in_M</t>
  </si>
  <si>
    <t>ABUTH_2in_M</t>
  </si>
  <si>
    <t>ABUTH_3in_M</t>
  </si>
  <si>
    <t>ABUTH_1in_C</t>
  </si>
  <si>
    <t>ABUTH_2in_C</t>
  </si>
  <si>
    <t>ABUTH_3in_C</t>
  </si>
  <si>
    <t>SIDSP_1in_M</t>
  </si>
  <si>
    <t>SIDSP_2in_M</t>
  </si>
  <si>
    <t>SIDSP_3in_M</t>
  </si>
  <si>
    <t>SIDSP_1in_C</t>
  </si>
  <si>
    <t>SIDSP_2in_C</t>
  </si>
  <si>
    <t>SIDSP_3in_C</t>
  </si>
  <si>
    <t>CHEAL_1in_M</t>
  </si>
  <si>
    <t>CHEAL_2in_M</t>
  </si>
  <si>
    <t>CHEAL_3in_M</t>
  </si>
  <si>
    <t>CHEAL_1in_C</t>
  </si>
  <si>
    <t>CHEAL_2in_C</t>
  </si>
  <si>
    <t>CHEAL_3in_C</t>
  </si>
  <si>
    <t>IPOSS_1in_M</t>
  </si>
  <si>
    <t>IPOSS_2in_M</t>
  </si>
  <si>
    <t>IPOSS_3in_M</t>
  </si>
  <si>
    <t>IPOSS_1in_C</t>
  </si>
  <si>
    <t>IPOSS_2in_C</t>
  </si>
  <si>
    <t>IPOSS_3in_C</t>
  </si>
  <si>
    <t>SETFA_1in_M</t>
  </si>
  <si>
    <t>SETFA_2in_M</t>
  </si>
  <si>
    <t>SETFA_3in_M</t>
  </si>
  <si>
    <t>SETFA_1in_C</t>
  </si>
  <si>
    <t>SETFA_2in_C</t>
  </si>
  <si>
    <t>SETFA_3in_C</t>
  </si>
  <si>
    <t>OTHER_1in</t>
  </si>
  <si>
    <t>OTHER_2in</t>
  </si>
  <si>
    <t>OTHER_3in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</si>
</sst>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%"/>
  </numFmts>
  <fonts count="7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</font>
    <font>
      <b/>
      <u/>
      <sz val="11"/>
      <color rgb="FFff0000"/>
      <name val="Calibri"/>
      <family val="2"/>
    </font>
    <font>
      <u/>
      <sz val="11"/>
      <color rgb="FF000000"/>
      <name val="Calibri"/>
      <family val="2"/>
    </font>
    <font>
      <u/>
      <sz val="11"/>
      <color rgb="FF4472c4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2f0d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5" applyFont="1" fillId="0" applyAlignment="1">
      <alignment horizontal="left"/>
    </xf>
    <xf xfId="0" numFmtId="14" applyNumberFormat="1" borderId="2" applyBorder="1" fontId="5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164" applyNumberFormat="1" borderId="2" applyBorder="1" fontId="5" applyFont="1" fillId="0" applyAlignment="1">
      <alignment horizontal="left"/>
    </xf>
    <xf xfId="0" numFmtId="1" applyNumberFormat="1" borderId="2" applyBorder="1" fontId="5" applyFont="1" fillId="0" applyAlignment="1">
      <alignment horizontal="left"/>
    </xf>
    <xf xfId="0" numFmtId="4" applyNumberFormat="1" borderId="2" applyBorder="1" fontId="5" applyFont="1" fillId="0" applyAlignment="1">
      <alignment horizontal="left"/>
    </xf>
    <xf xfId="0" numFmtId="165" applyNumberFormat="1" borderId="2" applyBorder="1" fontId="5" applyFont="1" fillId="0" applyAlignment="1">
      <alignment horizontal="left"/>
    </xf>
    <xf xfId="0" numFmtId="165" applyNumberFormat="1" borderId="2" applyBorder="1" fontId="6" applyFont="1" fillId="0" applyAlignment="1">
      <alignment horizontal="left"/>
    </xf>
    <xf xfId="0" numFmtId="165" applyNumberFormat="1" borderId="1" applyBorder="1" fontId="6" applyFont="1" fillId="0" applyAlignment="1">
      <alignment horizontal="left"/>
    </xf>
    <xf xfId="0" numFmtId="165" applyNumberFormat="1" borderId="3" applyBorder="1" fontId="5" applyFont="1" fillId="2" applyFill="1" applyAlignment="1">
      <alignment horizontal="left"/>
    </xf>
    <xf xfId="0" numFmtId="165" applyNumberFormat="1" borderId="3" applyBorder="1" fontId="6" applyFont="1" fillId="2" applyFill="1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1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1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165" applyNumberFormat="1" borderId="1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" applyNumberFormat="1" borderId="1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right"/>
    </xf>
    <xf xfId="0" numFmtId="164" applyNumberFormat="1" borderId="2" applyBorder="1" fontId="5" applyFont="1" fillId="0" applyAlignment="1">
      <alignment horizontal="right"/>
    </xf>
    <xf xfId="0" numFmtId="1" applyNumberFormat="1" borderId="2" applyBorder="1" fontId="5" applyFont="1" fillId="0" applyAlignment="1">
      <alignment horizontal="right"/>
    </xf>
    <xf xfId="0" numFmtId="4" applyNumberFormat="1" borderId="2" applyBorder="1" fontId="5" applyFont="1" fillId="0" applyAlignment="1">
      <alignment horizontal="right"/>
    </xf>
    <xf xfId="0" numFmtId="165" applyNumberFormat="1" borderId="2" applyBorder="1" fontId="5" applyFont="1" fillId="0" applyAlignment="1">
      <alignment horizontal="right"/>
    </xf>
    <xf xfId="0" numFmtId="3" applyNumberFormat="1" borderId="3" applyBorder="1" fontId="6" applyFont="1" fillId="3" applyFill="1" applyAlignment="1">
      <alignment horizontal="right"/>
    </xf>
    <xf xfId="0" numFmtId="3" applyNumberFormat="1" borderId="3" applyBorder="1" fontId="6" applyFont="1" fillId="3" applyFill="1" applyAlignment="1">
      <alignment horizontal="left"/>
    </xf>
    <xf xfId="0" numFmtId="14" applyNumberFormat="1" borderId="3" applyBorder="1" fontId="6" applyFont="1" fillId="3" applyFill="1" applyAlignment="1">
      <alignment horizontal="left"/>
    </xf>
    <xf xfId="0" numFmtId="0" borderId="3" applyBorder="1" fontId="6" applyFont="1" fillId="3" applyFill="1" applyAlignment="1">
      <alignment horizontal="left"/>
    </xf>
    <xf xfId="0" numFmtId="164" applyNumberFormat="1" borderId="3" applyBorder="1" fontId="6" applyFont="1" fillId="3" applyFill="1" applyAlignment="1">
      <alignment horizontal="right"/>
    </xf>
    <xf xfId="0" numFmtId="1" applyNumberFormat="1" borderId="3" applyBorder="1" fontId="6" applyFont="1" fillId="3" applyFill="1" applyAlignment="1">
      <alignment horizontal="right"/>
    </xf>
    <xf xfId="0" numFmtId="4" applyNumberFormat="1" borderId="3" applyBorder="1" fontId="6" applyFont="1" fillId="3" applyFill="1" applyAlignment="1">
      <alignment horizontal="right"/>
    </xf>
    <xf xfId="0" numFmtId="165" applyNumberFormat="1" borderId="3" applyBorder="1" fontId="6" applyFont="1" fillId="3" applyFill="1" applyAlignment="1">
      <alignment horizontal="right"/>
    </xf>
    <xf xfId="0" numFmtId="165" applyNumberFormat="1" borderId="3" applyBorder="1" fontId="6" applyFont="1" fillId="3" applyFill="1" applyAlignment="1">
      <alignment horizontal="left"/>
    </xf>
    <xf xfId="0" numFmtId="1" applyNumberFormat="1" borderId="3" applyBorder="1" fontId="6" applyFont="1" fillId="3" applyFill="1" applyAlignment="1">
      <alignment horizontal="left"/>
    </xf>
    <xf xfId="0" numFmtId="3" applyNumberFormat="1" borderId="4" applyBorder="1" fontId="6" applyFont="1" fillId="3" applyFill="1" applyAlignment="1">
      <alignment horizontal="right"/>
    </xf>
    <xf xfId="0" numFmtId="3" applyNumberFormat="1" borderId="4" applyBorder="1" fontId="6" applyFont="1" fillId="3" applyFill="1" applyAlignment="1">
      <alignment horizontal="left"/>
    </xf>
    <xf xfId="0" numFmtId="14" applyNumberFormat="1" borderId="4" applyBorder="1" fontId="6" applyFont="1" fillId="3" applyFill="1" applyAlignment="1">
      <alignment horizontal="left"/>
    </xf>
    <xf xfId="0" numFmtId="0" borderId="4" applyBorder="1" fontId="6" applyFont="1" fillId="3" applyFill="1" applyAlignment="1">
      <alignment horizontal="left"/>
    </xf>
    <xf xfId="0" numFmtId="164" applyNumberFormat="1" borderId="4" applyBorder="1" fontId="6" applyFont="1" fillId="3" applyFill="1" applyAlignment="1">
      <alignment horizontal="right"/>
    </xf>
    <xf xfId="0" numFmtId="1" applyNumberFormat="1" borderId="4" applyBorder="1" fontId="6" applyFont="1" fillId="3" applyFill="1" applyAlignment="1">
      <alignment horizontal="right"/>
    </xf>
    <xf xfId="0" numFmtId="4" applyNumberFormat="1" borderId="4" applyBorder="1" fontId="6" applyFont="1" fillId="3" applyFill="1" applyAlignment="1">
      <alignment horizontal="right"/>
    </xf>
    <xf xfId="0" numFmtId="165" applyNumberFormat="1" borderId="4" applyBorder="1" fontId="6" applyFont="1" fillId="3" applyFill="1" applyAlignment="1">
      <alignment horizontal="right"/>
    </xf>
    <xf xfId="0" numFmtId="165" applyNumberFormat="1" borderId="4" applyBorder="1" fontId="6" applyFont="1" fillId="3" applyFill="1" applyAlignment="1">
      <alignment horizontal="left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2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3" applyNumberFormat="1" borderId="2" applyBorder="1" fontId="6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E7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7" width="13.576428571428572" customWidth="1" bestFit="1"/>
    <col min="2" max="2" style="57" width="13.576428571428572" customWidth="1" bestFit="1"/>
    <col min="3" max="3" style="57" width="13.576428571428572" customWidth="1" bestFit="1"/>
    <col min="4" max="4" style="58" width="11.147857142857141" customWidth="1" bestFit="1"/>
    <col min="5" max="5" style="6" width="14.719285714285713" customWidth="1" bestFit="1"/>
    <col min="6" max="6" style="6" width="14.719285714285713" customWidth="1" bestFit="1"/>
    <col min="7" max="7" style="6" width="14.719285714285713" customWidth="1" bestFit="1"/>
    <col min="8" max="8" style="59" width="6.576428571428571" customWidth="1" bestFit="1"/>
    <col min="9" max="9" style="60" width="4.576428571428571" customWidth="1" bestFit="1"/>
    <col min="10" max="10" style="61" width="13.147857142857141" customWidth="1" bestFit="1"/>
    <col min="11" max="11" style="61" width="12.719285714285713" customWidth="1" bestFit="1"/>
    <col min="12" max="12" style="62" width="9.719285714285713" customWidth="1" bestFit="1"/>
    <col min="13" max="13" style="57" width="14.576428571428572" customWidth="1" bestFit="1"/>
    <col min="14" max="14" style="57" width="10.719285714285713" customWidth="1" bestFit="1"/>
    <col min="15" max="15" style="57" width="15.005" customWidth="1" bestFit="1"/>
    <col min="16" max="16" style="57" width="10.719285714285713" customWidth="1" bestFit="1"/>
    <col min="17" max="17" style="57" width="10.719285714285713" customWidth="1" bestFit="1"/>
    <col min="18" max="18" style="57" width="10.719285714285713" customWidth="1" bestFit="1"/>
    <col min="19" max="19" style="57" width="13.719285714285713" customWidth="1" bestFit="1"/>
    <col min="20" max="20" style="57" width="9.719285714285713" customWidth="1" bestFit="1"/>
    <col min="21" max="21" style="57" width="9.719285714285713" customWidth="1" bestFit="1"/>
    <col min="22" max="22" style="57" width="9.719285714285713" customWidth="1" bestFit="1"/>
    <col min="23" max="23" style="57" width="9.719285714285713" customWidth="1" bestFit="1"/>
    <col min="24" max="24" style="57" width="9.719285714285713" customWidth="1" bestFit="1"/>
    <col min="25" max="25" style="57" width="9.719285714285713" customWidth="1" bestFit="1"/>
    <col min="26" max="26" style="57" width="12.576428571428572" customWidth="1" bestFit="1"/>
    <col min="27" max="27" style="57" width="10.290714285714287" customWidth="1" bestFit="1"/>
    <col min="28" max="28" style="57" width="10.290714285714287" customWidth="1" bestFit="1"/>
    <col min="29" max="29" style="57" width="10.290714285714287" customWidth="1" bestFit="1"/>
    <col min="30" max="30" style="57" width="10.290714285714287" customWidth="1" bestFit="1"/>
    <col min="31" max="31" style="57" width="10.290714285714287" customWidth="1" bestFit="1"/>
    <col min="32" max="32" style="57" width="10.290714285714287" customWidth="1" bestFit="1"/>
    <col min="33" max="33" style="57" width="13.290714285714287" customWidth="1" bestFit="1"/>
    <col min="34" max="34" style="57" width="9.862142857142858" customWidth="1" bestFit="1"/>
    <col min="35" max="35" style="57" width="9.862142857142858" customWidth="1" bestFit="1"/>
    <col min="36" max="36" style="57" width="9.862142857142858" customWidth="1" bestFit="1"/>
    <col min="37" max="37" style="57" width="9.862142857142858" customWidth="1" bestFit="1"/>
    <col min="38" max="38" style="57" width="9.862142857142858" customWidth="1" bestFit="1"/>
    <col min="39" max="39" style="57" width="9.862142857142858" customWidth="1" bestFit="1"/>
    <col min="40" max="40" style="57" width="12.719285714285713" customWidth="1" bestFit="1"/>
    <col min="41" max="41" style="57" width="10.719285714285713" customWidth="1" bestFit="1"/>
    <col min="42" max="42" style="57" width="10.719285714285713" customWidth="1" bestFit="1"/>
    <col min="43" max="43" style="57" width="10.719285714285713" customWidth="1" bestFit="1"/>
    <col min="44" max="44" style="57" width="13.719285714285713" customWidth="1" bestFit="1"/>
    <col min="45" max="45" style="57" width="10.005" customWidth="1" bestFit="1"/>
    <col min="46" max="46" style="57" width="10.005" customWidth="1" bestFit="1"/>
    <col min="47" max="47" style="57" width="10.005" customWidth="1" bestFit="1"/>
    <col min="48" max="48" style="57" width="10.005" customWidth="1" bestFit="1"/>
    <col min="49" max="49" style="57" width="10.005" customWidth="1" bestFit="1"/>
    <col min="50" max="50" style="57" width="10.005" customWidth="1" bestFit="1"/>
    <col min="51" max="51" style="57" width="12.862142857142858" customWidth="1" bestFit="1"/>
    <col min="52" max="52" style="57" width="10.576428571428572" customWidth="1" bestFit="1"/>
    <col min="53" max="53" style="57" width="10.576428571428572" customWidth="1" bestFit="1"/>
    <col min="54" max="54" style="57" width="10.576428571428572" customWidth="1" bestFit="1"/>
    <col min="55" max="55" style="57" width="13.576428571428572" customWidth="1" bestFit="1"/>
    <col min="56" max="56" style="57" width="13.576428571428572" customWidth="1" bestFit="1"/>
    <col min="57" max="57" style="57" width="23.862142857142857" customWidth="1" bestFit="1"/>
  </cols>
  <sheetData>
    <row x14ac:dyDescent="0.25" r="1" customHeight="1" ht="18.75">
      <c r="A1" s="7" t="s">
        <v>18</v>
      </c>
      <c r="B1" s="7" t="s">
        <v>51</v>
      </c>
      <c r="C1" s="7" t="s">
        <v>20</v>
      </c>
      <c r="D1" s="8" t="s">
        <v>21</v>
      </c>
      <c r="E1" s="9" t="s">
        <v>22</v>
      </c>
      <c r="F1" s="9" t="s">
        <v>23</v>
      </c>
      <c r="G1" s="9" t="s">
        <v>52</v>
      </c>
      <c r="H1" s="10" t="s">
        <v>25</v>
      </c>
      <c r="I1" s="11" t="s">
        <v>26</v>
      </c>
      <c r="J1" s="12" t="s">
        <v>27</v>
      </c>
      <c r="K1" s="12" t="s">
        <v>28</v>
      </c>
      <c r="L1" s="13" t="s">
        <v>29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  <c r="S1" s="63" t="s">
        <v>30</v>
      </c>
      <c r="T1" s="7" t="s">
        <v>59</v>
      </c>
      <c r="U1" s="7" t="s">
        <v>60</v>
      </c>
      <c r="V1" s="7" t="s">
        <v>61</v>
      </c>
      <c r="W1" s="7" t="s">
        <v>62</v>
      </c>
      <c r="X1" s="7" t="s">
        <v>63</v>
      </c>
      <c r="Y1" s="7" t="s">
        <v>64</v>
      </c>
      <c r="Z1" s="63" t="s">
        <v>31</v>
      </c>
      <c r="AA1" s="7" t="s">
        <v>65</v>
      </c>
      <c r="AB1" s="7" t="s">
        <v>66</v>
      </c>
      <c r="AC1" s="7" t="s">
        <v>67</v>
      </c>
      <c r="AD1" s="7" t="s">
        <v>68</v>
      </c>
      <c r="AE1" s="7" t="s">
        <v>69</v>
      </c>
      <c r="AF1" s="7" t="s">
        <v>70</v>
      </c>
      <c r="AG1" s="63" t="s">
        <v>32</v>
      </c>
      <c r="AH1" s="7" t="s">
        <v>71</v>
      </c>
      <c r="AI1" s="7" t="s">
        <v>72</v>
      </c>
      <c r="AJ1" s="7" t="s">
        <v>73</v>
      </c>
      <c r="AK1" s="7" t="s">
        <v>74</v>
      </c>
      <c r="AL1" s="7" t="s">
        <v>75</v>
      </c>
      <c r="AM1" s="7" t="s">
        <v>76</v>
      </c>
      <c r="AN1" s="63" t="s">
        <v>33</v>
      </c>
      <c r="AO1" s="26" t="s">
        <v>34</v>
      </c>
      <c r="AP1" s="26" t="s">
        <v>35</v>
      </c>
      <c r="AQ1" s="26" t="s">
        <v>36</v>
      </c>
      <c r="AR1" s="18" t="s">
        <v>37</v>
      </c>
      <c r="AS1" s="26" t="s">
        <v>77</v>
      </c>
      <c r="AT1" s="26" t="s">
        <v>78</v>
      </c>
      <c r="AU1" s="26" t="s">
        <v>79</v>
      </c>
      <c r="AV1" s="26" t="s">
        <v>80</v>
      </c>
      <c r="AW1" s="26" t="s">
        <v>81</v>
      </c>
      <c r="AX1" s="26" t="s">
        <v>82</v>
      </c>
      <c r="AY1" s="18" t="s">
        <v>38</v>
      </c>
      <c r="AZ1" s="26" t="s">
        <v>83</v>
      </c>
      <c r="BA1" s="26" t="s">
        <v>84</v>
      </c>
      <c r="BB1" s="26" t="s">
        <v>85</v>
      </c>
      <c r="BC1" s="18" t="s">
        <v>39</v>
      </c>
      <c r="BD1" s="18" t="s">
        <v>40</v>
      </c>
      <c r="BE1" s="18" t="s">
        <v>42</v>
      </c>
    </row>
    <row x14ac:dyDescent="0.25" r="2" customHeight="1" ht="18.75">
      <c r="A2" s="19">
        <v>101</v>
      </c>
      <c r="B2" s="19">
        <v>1</v>
      </c>
      <c r="C2" s="19">
        <v>0</v>
      </c>
      <c r="D2" s="20">
        <v>44732</v>
      </c>
      <c r="E2" s="21" t="s">
        <v>43</v>
      </c>
      <c r="F2" s="21" t="s">
        <v>44</v>
      </c>
      <c r="G2" s="21" t="s">
        <v>45</v>
      </c>
      <c r="H2" s="53"/>
      <c r="I2" s="23">
        <v>1</v>
      </c>
      <c r="J2" s="24">
        <v>0.3</v>
      </c>
      <c r="K2" s="24">
        <v>0.13</v>
      </c>
      <c r="L2" s="25">
        <v>0.58</v>
      </c>
      <c r="M2" s="19">
        <f>SUM(11+9+1+9+152)</f>
      </c>
      <c r="N2" s="19">
        <v>2</v>
      </c>
      <c r="O2" s="19">
        <v>1</v>
      </c>
      <c r="P2" s="19">
        <v>0</v>
      </c>
      <c r="Q2" s="19">
        <v>0</v>
      </c>
      <c r="R2" s="19">
        <v>0</v>
      </c>
      <c r="S2" s="64">
        <f>SUM(M2:R2)</f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64">
        <f>SUM(T2:Y2)</f>
      </c>
      <c r="AA2" s="19">
        <v>0</v>
      </c>
      <c r="AB2" s="19">
        <v>1</v>
      </c>
      <c r="AC2" s="19">
        <v>0</v>
      </c>
      <c r="AD2" s="19">
        <v>0</v>
      </c>
      <c r="AE2" s="19">
        <v>0</v>
      </c>
      <c r="AF2" s="19">
        <v>0</v>
      </c>
      <c r="AG2" s="64">
        <f>SUM(AA2:AF2)</f>
      </c>
      <c r="AH2" s="19">
        <f>SUM(3+3+4+1+7+3)</f>
      </c>
      <c r="AI2" s="19">
        <f>SUM(1+2+2+1)</f>
      </c>
      <c r="AJ2" s="19">
        <v>0</v>
      </c>
      <c r="AK2" s="19">
        <v>0</v>
      </c>
      <c r="AL2" s="19">
        <v>0</v>
      </c>
      <c r="AM2" s="19">
        <v>0</v>
      </c>
      <c r="AN2" s="64">
        <f>SUM(AH2:AM2)</f>
      </c>
      <c r="AO2" s="19">
        <v>0</v>
      </c>
      <c r="AP2" s="19">
        <v>1</v>
      </c>
      <c r="AQ2" s="19">
        <v>0</v>
      </c>
      <c r="AR2" s="64">
        <f>SUM(AO2:AQ2)</f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64">
        <f>SUM(AS2:AX2)</f>
      </c>
      <c r="AZ2" s="19">
        <v>0</v>
      </c>
      <c r="BA2" s="19">
        <v>0</v>
      </c>
      <c r="BB2" s="19">
        <v>0</v>
      </c>
      <c r="BC2" s="64">
        <f>SUM(AZ2:BB2)</f>
      </c>
      <c r="BD2" s="19">
        <f>SUM(M2:R2,T2:Y2,AA2:AF2,AH2:AM2,AO2:AQ2,AS2:AX2,AZ2:BB2)</f>
      </c>
      <c r="BE2" s="26"/>
    </row>
    <row x14ac:dyDescent="0.25" r="3" customHeight="1" ht="18.75">
      <c r="A3" s="19">
        <v>101</v>
      </c>
      <c r="B3" s="19">
        <v>1</v>
      </c>
      <c r="C3" s="19">
        <v>5</v>
      </c>
      <c r="D3" s="20">
        <v>44737</v>
      </c>
      <c r="E3" s="21" t="s">
        <v>43</v>
      </c>
      <c r="F3" s="21" t="s">
        <v>44</v>
      </c>
      <c r="G3" s="21" t="s">
        <v>45</v>
      </c>
      <c r="H3" s="53"/>
      <c r="I3" s="23">
        <v>1</v>
      </c>
      <c r="J3" s="24">
        <v>0.3</v>
      </c>
      <c r="K3" s="24">
        <v>0.13</v>
      </c>
      <c r="L3" s="25">
        <v>0.58</v>
      </c>
      <c r="M3" s="19">
        <f>SUM(3+6+11+2+4)</f>
      </c>
      <c r="N3" s="19">
        <f>SUM(5+1+1+18)</f>
      </c>
      <c r="O3" s="19">
        <v>2</v>
      </c>
      <c r="P3" s="19">
        <v>0</v>
      </c>
      <c r="Q3" s="19">
        <v>2</v>
      </c>
      <c r="R3" s="19">
        <v>0</v>
      </c>
      <c r="S3" s="64">
        <f>SUM(M3:R3)</f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64">
        <f>SUM(T3:Y3)</f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64">
        <f>SUM(AA3:AF3)</f>
      </c>
      <c r="AH3" s="19">
        <v>10</v>
      </c>
      <c r="AI3" s="19">
        <v>13</v>
      </c>
      <c r="AJ3" s="19">
        <v>3</v>
      </c>
      <c r="AK3" s="19">
        <v>1</v>
      </c>
      <c r="AL3" s="19">
        <v>1</v>
      </c>
      <c r="AM3" s="19">
        <v>1</v>
      </c>
      <c r="AN3" s="64">
        <f>SUM(AH3:AM3)</f>
      </c>
      <c r="AO3" s="19">
        <v>0</v>
      </c>
      <c r="AP3" s="19">
        <v>0</v>
      </c>
      <c r="AQ3" s="19">
        <v>0</v>
      </c>
      <c r="AR3" s="64">
        <f>SUM(AO3:AQ3)</f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64">
        <f>SUM(AS3:AX3)</f>
      </c>
      <c r="AZ3" s="19">
        <v>1</v>
      </c>
      <c r="BA3" s="19">
        <v>0</v>
      </c>
      <c r="BB3" s="19">
        <v>0</v>
      </c>
      <c r="BC3" s="64">
        <f>SUM(AZ3:BB3)</f>
      </c>
      <c r="BD3" s="19">
        <f>SUM(M3:R3,T3:Y3,AA3:AF3,AH3:AM3,AO3:AQ3,AS3:AX3,AZ3:BB3)</f>
      </c>
      <c r="BE3" s="19">
        <v>15</v>
      </c>
    </row>
    <row x14ac:dyDescent="0.25" r="4" customHeight="1" ht="18.75">
      <c r="A4" s="19">
        <v>102</v>
      </c>
      <c r="B4" s="19">
        <v>2</v>
      </c>
      <c r="C4" s="19">
        <v>0</v>
      </c>
      <c r="D4" s="20">
        <v>44732</v>
      </c>
      <c r="E4" s="21" t="s">
        <v>43</v>
      </c>
      <c r="F4" s="21" t="s">
        <v>46</v>
      </c>
      <c r="G4" s="21" t="s">
        <v>45</v>
      </c>
      <c r="H4" s="53"/>
      <c r="I4" s="23">
        <v>5</v>
      </c>
      <c r="J4" s="24">
        <v>0.37</v>
      </c>
      <c r="K4" s="24">
        <v>0.13</v>
      </c>
      <c r="L4" s="25">
        <v>0.65</v>
      </c>
      <c r="M4" s="19">
        <f>SUM(3+1+3+2+2)</f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64">
        <f>SUM(M4:R4)</f>
      </c>
      <c r="T4" s="19">
        <v>2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64">
        <f>SUM(T4:Y4)</f>
      </c>
      <c r="AA4" s="19">
        <v>1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64">
        <f>SUM(AA4:AF4)</f>
      </c>
      <c r="AH4" s="19">
        <f>SUM(21+12+15+13+10+12)</f>
      </c>
      <c r="AI4" s="19">
        <f>SUM(2+1+7+6+3)</f>
      </c>
      <c r="AJ4" s="19">
        <v>1</v>
      </c>
      <c r="AK4" s="19">
        <v>0</v>
      </c>
      <c r="AL4" s="19">
        <v>0</v>
      </c>
      <c r="AM4" s="19">
        <v>0</v>
      </c>
      <c r="AN4" s="64">
        <f>SUM(AH4:AM4)</f>
      </c>
      <c r="AO4" s="19">
        <v>0</v>
      </c>
      <c r="AP4" s="19">
        <v>0</v>
      </c>
      <c r="AQ4" s="19">
        <v>0</v>
      </c>
      <c r="AR4" s="64">
        <f>SUM(AO4:AQ4)</f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64">
        <f>SUM(AS4:AX4)</f>
      </c>
      <c r="AZ4" s="19">
        <v>0</v>
      </c>
      <c r="BA4" s="19">
        <v>0</v>
      </c>
      <c r="BB4" s="19">
        <v>0</v>
      </c>
      <c r="BC4" s="64">
        <f>SUM(AZ4:BB4)</f>
      </c>
      <c r="BD4" s="19">
        <f>SUM(M4:R4,T4:Y4,AA4:AF4,AH4:AM4,AO4:AQ4,AS4:AX4,AZ4:BB4)</f>
      </c>
      <c r="BE4" s="26"/>
    </row>
    <row x14ac:dyDescent="0.25" r="5" customHeight="1" ht="18.75">
      <c r="A5" s="19">
        <v>102</v>
      </c>
      <c r="B5" s="19">
        <v>2</v>
      </c>
      <c r="C5" s="19">
        <v>5</v>
      </c>
      <c r="D5" s="20">
        <v>44737</v>
      </c>
      <c r="E5" s="21" t="s">
        <v>43</v>
      </c>
      <c r="F5" s="21" t="s">
        <v>46</v>
      </c>
      <c r="G5" s="21" t="s">
        <v>45</v>
      </c>
      <c r="H5" s="53"/>
      <c r="I5" s="23">
        <v>5</v>
      </c>
      <c r="J5" s="24">
        <v>0.37</v>
      </c>
      <c r="K5" s="24">
        <v>0.13</v>
      </c>
      <c r="L5" s="25">
        <v>0.65</v>
      </c>
      <c r="M5" s="19">
        <v>12</v>
      </c>
      <c r="N5" s="19">
        <v>3</v>
      </c>
      <c r="O5" s="19">
        <v>0</v>
      </c>
      <c r="P5" s="19">
        <v>0</v>
      </c>
      <c r="Q5" s="19">
        <v>0</v>
      </c>
      <c r="R5" s="19">
        <v>0</v>
      </c>
      <c r="S5" s="64">
        <f>SUM(M5:R5)</f>
      </c>
      <c r="T5" s="19">
        <v>6</v>
      </c>
      <c r="U5" s="19">
        <v>1</v>
      </c>
      <c r="V5" s="19">
        <v>0</v>
      </c>
      <c r="W5" s="19">
        <v>0</v>
      </c>
      <c r="X5" s="19">
        <v>0</v>
      </c>
      <c r="Y5" s="19">
        <v>0</v>
      </c>
      <c r="Z5" s="64">
        <f>SUM(T5:Y5)</f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64">
        <f>SUM(AA5:AF5)</f>
      </c>
      <c r="AH5" s="19">
        <f>SUM(5+17+11+2)</f>
      </c>
      <c r="AI5" s="19">
        <f>SUM(7+12+2+10)</f>
      </c>
      <c r="AJ5" s="19">
        <v>3</v>
      </c>
      <c r="AK5" s="19">
        <v>6</v>
      </c>
      <c r="AL5" s="19">
        <v>2</v>
      </c>
      <c r="AM5" s="19">
        <v>0</v>
      </c>
      <c r="AN5" s="64">
        <f>SUM(AH5:AM5)</f>
      </c>
      <c r="AO5" s="19">
        <v>0</v>
      </c>
      <c r="AP5" s="19">
        <v>0</v>
      </c>
      <c r="AQ5" s="19">
        <v>0</v>
      </c>
      <c r="AR5" s="64">
        <f>SUM(AO5:AQ5)</f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64">
        <f>SUM(AS5:AX5)</f>
      </c>
      <c r="AZ5" s="19">
        <v>0</v>
      </c>
      <c r="BA5" s="19">
        <v>0</v>
      </c>
      <c r="BB5" s="19">
        <v>0</v>
      </c>
      <c r="BC5" s="64">
        <f>SUM(AZ5:BB5)</f>
      </c>
      <c r="BD5" s="19">
        <f>SUM(M5:R5,T5:Y5,AA5:AF5,AH5:AM5,AO5:AQ5,AS5:AX5,AZ5:BB5)</f>
      </c>
      <c r="BE5" s="19">
        <v>6</v>
      </c>
    </row>
    <row x14ac:dyDescent="0.25" r="6" customHeight="1" ht="18.75">
      <c r="A6" s="19">
        <v>103</v>
      </c>
      <c r="B6" s="19">
        <v>3</v>
      </c>
      <c r="C6" s="19">
        <v>0</v>
      </c>
      <c r="D6" s="20">
        <v>44732</v>
      </c>
      <c r="E6" s="21" t="s">
        <v>47</v>
      </c>
      <c r="F6" s="21" t="s">
        <v>44</v>
      </c>
      <c r="G6" s="21" t="s">
        <v>45</v>
      </c>
      <c r="H6" s="22">
        <v>6</v>
      </c>
      <c r="I6" s="54"/>
      <c r="J6" s="55"/>
      <c r="K6" s="55"/>
      <c r="L6" s="56"/>
      <c r="M6" s="19">
        <f>SUM(6+5+9+3+7+2)</f>
      </c>
      <c r="N6" s="19">
        <f>SUM(2+2)</f>
      </c>
      <c r="O6" s="19">
        <v>1</v>
      </c>
      <c r="P6" s="19">
        <v>0</v>
      </c>
      <c r="Q6" s="19">
        <v>0</v>
      </c>
      <c r="R6" s="19">
        <v>0</v>
      </c>
      <c r="S6" s="64">
        <f>SUM(M6:R6)</f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64">
        <f>SUM(T6:Y6)</f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64">
        <f>SUM(AA6:AF6)</f>
      </c>
      <c r="AH6" s="19">
        <f>SUM(36+4+7+4)</f>
      </c>
      <c r="AI6" s="19">
        <f>SUM(1+2+6+2)</f>
      </c>
      <c r="AJ6" s="19">
        <f>SUM(3+1)</f>
      </c>
      <c r="AK6" s="19">
        <v>0</v>
      </c>
      <c r="AL6" s="19">
        <v>0</v>
      </c>
      <c r="AM6" s="19">
        <v>0</v>
      </c>
      <c r="AN6" s="64">
        <f>SUM(AH6:AM6)</f>
      </c>
      <c r="AO6" s="19">
        <v>0</v>
      </c>
      <c r="AP6" s="19">
        <v>0</v>
      </c>
      <c r="AQ6" s="19">
        <v>0</v>
      </c>
      <c r="AR6" s="64">
        <f>SUM(AO6:AQ6)</f>
      </c>
      <c r="AS6" s="19">
        <v>0</v>
      </c>
      <c r="AT6" s="19">
        <v>0</v>
      </c>
      <c r="AU6" s="19">
        <v>2</v>
      </c>
      <c r="AV6" s="19">
        <v>0</v>
      </c>
      <c r="AW6" s="19">
        <v>0</v>
      </c>
      <c r="AX6" s="19">
        <v>0</v>
      </c>
      <c r="AY6" s="64">
        <f>SUM(AS6:AX6)</f>
      </c>
      <c r="AZ6" s="19">
        <v>1</v>
      </c>
      <c r="BA6" s="19">
        <v>0</v>
      </c>
      <c r="BB6" s="19">
        <v>0</v>
      </c>
      <c r="BC6" s="64">
        <f>SUM(AZ6:BB6)</f>
      </c>
      <c r="BD6" s="19">
        <f>SUM(M6:R6,T6:Y6,AA6:AF6,AH6:AM6,AO6:AQ6,AS6:AX6,AZ6:BB6)</f>
      </c>
      <c r="BE6" s="26"/>
    </row>
    <row x14ac:dyDescent="0.25" r="7" customHeight="1" ht="18.75">
      <c r="A7" s="19">
        <v>103</v>
      </c>
      <c r="B7" s="19">
        <v>3</v>
      </c>
      <c r="C7" s="19">
        <v>5</v>
      </c>
      <c r="D7" s="20">
        <v>44737</v>
      </c>
      <c r="E7" s="21" t="s">
        <v>47</v>
      </c>
      <c r="F7" s="21" t="s">
        <v>44</v>
      </c>
      <c r="G7" s="21" t="s">
        <v>45</v>
      </c>
      <c r="H7" s="22">
        <v>6</v>
      </c>
      <c r="I7" s="54"/>
      <c r="J7" s="55"/>
      <c r="K7" s="55"/>
      <c r="L7" s="56"/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64">
        <f>SUM(M7:R7)</f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64">
        <f>SUM(T7:Y7)</f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64">
        <f>SUM(AA7:AF7)</f>
      </c>
      <c r="AH7" s="19">
        <v>1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64">
        <f>SUM(AH7:AM7)</f>
      </c>
      <c r="AO7" s="19">
        <v>0</v>
      </c>
      <c r="AP7" s="19">
        <v>0</v>
      </c>
      <c r="AQ7" s="19">
        <v>0</v>
      </c>
      <c r="AR7" s="64">
        <f>SUM(AO7:AQ7)</f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64">
        <f>SUM(AS7:AX7)</f>
      </c>
      <c r="AZ7" s="19">
        <v>0</v>
      </c>
      <c r="BA7" s="19">
        <v>0</v>
      </c>
      <c r="BB7" s="19">
        <v>0</v>
      </c>
      <c r="BC7" s="64">
        <f>SUM(AZ7:BB7)</f>
      </c>
      <c r="BD7" s="19">
        <f>SUM(M7:R7,T7:Y7,AA7:AF7,AH7:AM7,AO7:AQ7,AS7:AX7,AZ7:BB7)</f>
      </c>
      <c r="BE7" s="19">
        <f>SUM( 14+25+6+16)</f>
      </c>
    </row>
    <row x14ac:dyDescent="0.25" r="8" customHeight="1" ht="18.75">
      <c r="A8" s="19">
        <v>104</v>
      </c>
      <c r="B8" s="19">
        <v>4</v>
      </c>
      <c r="C8" s="19">
        <v>0</v>
      </c>
      <c r="D8" s="20">
        <v>44732</v>
      </c>
      <c r="E8" s="21" t="s">
        <v>47</v>
      </c>
      <c r="F8" s="21" t="s">
        <v>46</v>
      </c>
      <c r="G8" s="21" t="s">
        <v>45</v>
      </c>
      <c r="H8" s="22">
        <v>9</v>
      </c>
      <c r="I8" s="54"/>
      <c r="J8" s="55"/>
      <c r="K8" s="55"/>
      <c r="L8" s="56"/>
      <c r="M8" s="19">
        <f>(9+3+12+7+8+19)</f>
      </c>
      <c r="N8" s="19">
        <f>SUM(2+1+3)</f>
      </c>
      <c r="O8" s="19">
        <f>SUM(1+1+1)</f>
      </c>
      <c r="P8" s="19">
        <v>0</v>
      </c>
      <c r="Q8" s="19">
        <v>0</v>
      </c>
      <c r="R8" s="19">
        <v>0</v>
      </c>
      <c r="S8" s="64">
        <f>SUM(M8:R8)</f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64">
        <f>SUM(T8:Y8)</f>
      </c>
      <c r="AA8" s="19">
        <v>0</v>
      </c>
      <c r="AB8" s="19">
        <v>2</v>
      </c>
      <c r="AC8" s="19">
        <v>0</v>
      </c>
      <c r="AD8" s="19">
        <v>0</v>
      </c>
      <c r="AE8" s="19">
        <v>0</v>
      </c>
      <c r="AF8" s="19">
        <v>0</v>
      </c>
      <c r="AG8" s="64">
        <f>SUM(AA8:AF8)</f>
      </c>
      <c r="AH8" s="19">
        <f>SUM(5+6+9+29+20)</f>
      </c>
      <c r="AI8" s="19">
        <f>SUM(2)</f>
      </c>
      <c r="AJ8" s="19">
        <v>0</v>
      </c>
      <c r="AK8" s="19">
        <v>0</v>
      </c>
      <c r="AL8" s="19">
        <v>0</v>
      </c>
      <c r="AM8" s="19">
        <v>0</v>
      </c>
      <c r="AN8" s="64">
        <f>SUM(AH8:AM8)</f>
      </c>
      <c r="AO8" s="19">
        <v>0</v>
      </c>
      <c r="AP8" s="19">
        <v>0</v>
      </c>
      <c r="AQ8" s="19">
        <v>0</v>
      </c>
      <c r="AR8" s="64">
        <f>SUM(AO8:AQ8)</f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64">
        <f>SUM(AS8:AX8)</f>
      </c>
      <c r="AZ8" s="19">
        <v>3</v>
      </c>
      <c r="BA8" s="19">
        <v>0</v>
      </c>
      <c r="BB8" s="19">
        <v>2</v>
      </c>
      <c r="BC8" s="64">
        <f>SUM(AZ8:BB8)</f>
      </c>
      <c r="BD8" s="19">
        <f>SUM(M8:R8,T8:Y8,AA8:AF8,AH8:AM8,AO8:AQ8,AS8:AX8,AZ8:BB8)</f>
      </c>
      <c r="BE8" s="26"/>
    </row>
    <row x14ac:dyDescent="0.25" r="9" customHeight="1" ht="18.75">
      <c r="A9" s="19">
        <v>104</v>
      </c>
      <c r="B9" s="19">
        <v>4</v>
      </c>
      <c r="C9" s="19">
        <v>5</v>
      </c>
      <c r="D9" s="20">
        <v>44737</v>
      </c>
      <c r="E9" s="21" t="s">
        <v>47</v>
      </c>
      <c r="F9" s="21" t="s">
        <v>46</v>
      </c>
      <c r="G9" s="21" t="s">
        <v>45</v>
      </c>
      <c r="H9" s="22">
        <v>6</v>
      </c>
      <c r="I9" s="54"/>
      <c r="J9" s="55"/>
      <c r="K9" s="55"/>
      <c r="L9" s="56"/>
      <c r="M9" s="19">
        <v>2</v>
      </c>
      <c r="N9" s="19">
        <v>2</v>
      </c>
      <c r="O9" s="19">
        <v>0</v>
      </c>
      <c r="P9" s="19">
        <v>0</v>
      </c>
      <c r="Q9" s="19">
        <v>0</v>
      </c>
      <c r="R9" s="19">
        <v>0</v>
      </c>
      <c r="S9" s="64">
        <f>SUM(M9:R9)</f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64">
        <f>SUM(T9:Y9)</f>
      </c>
      <c r="AA9" s="19">
        <v>0</v>
      </c>
      <c r="AB9" s="19">
        <v>0</v>
      </c>
      <c r="AC9" s="19">
        <v>1</v>
      </c>
      <c r="AD9" s="19">
        <v>0</v>
      </c>
      <c r="AE9" s="19">
        <v>0</v>
      </c>
      <c r="AF9" s="19">
        <v>0</v>
      </c>
      <c r="AG9" s="64">
        <f>SUM(AA9:AF9)</f>
      </c>
      <c r="AH9" s="19">
        <v>2</v>
      </c>
      <c r="AI9" s="19">
        <v>1</v>
      </c>
      <c r="AJ9" s="19">
        <v>0</v>
      </c>
      <c r="AK9" s="19">
        <v>0</v>
      </c>
      <c r="AL9" s="19">
        <v>0</v>
      </c>
      <c r="AM9" s="19">
        <v>0</v>
      </c>
      <c r="AN9" s="64">
        <f>SUM(AH9:AM9)</f>
      </c>
      <c r="AO9" s="19">
        <v>0</v>
      </c>
      <c r="AP9" s="19">
        <v>0</v>
      </c>
      <c r="AQ9" s="19">
        <v>0</v>
      </c>
      <c r="AR9" s="64">
        <f>SUM(AO9:AQ9)</f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64">
        <f>SUM(AS9:AX9)</f>
      </c>
      <c r="AZ9" s="19">
        <v>1</v>
      </c>
      <c r="BA9" s="19">
        <v>0</v>
      </c>
      <c r="BB9" s="19">
        <v>0</v>
      </c>
      <c r="BC9" s="64">
        <f>SUM(AZ9:BB9)</f>
      </c>
      <c r="BD9" s="19">
        <f>SUM(M9:R9,T9:Y9,AA9:AF9,AH9:AM9,AO9:AQ9,AS9:AX9,AZ9:BB9)</f>
      </c>
      <c r="BE9" s="19">
        <v>15</v>
      </c>
    </row>
    <row x14ac:dyDescent="0.25" r="10" customHeight="1" ht="18.75">
      <c r="A10" s="19">
        <v>105</v>
      </c>
      <c r="B10" s="19">
        <v>5</v>
      </c>
      <c r="C10" s="19">
        <v>0</v>
      </c>
      <c r="D10" s="20">
        <v>44740</v>
      </c>
      <c r="E10" s="21" t="s">
        <v>43</v>
      </c>
      <c r="F10" s="1" t="s">
        <v>46</v>
      </c>
      <c r="G10" s="21" t="s">
        <v>48</v>
      </c>
      <c r="H10" s="22">
        <v>9</v>
      </c>
      <c r="I10" s="23">
        <v>1</v>
      </c>
      <c r="J10" s="24">
        <v>0.32</v>
      </c>
      <c r="K10" s="24">
        <v>0.29</v>
      </c>
      <c r="L10" s="25">
        <v>0.08</v>
      </c>
      <c r="M10" s="19">
        <f>SUM(14+20)</f>
      </c>
      <c r="N10" s="19">
        <f>SUM(4+20+14)</f>
      </c>
      <c r="O10" s="19">
        <v>4</v>
      </c>
      <c r="P10" s="19">
        <v>0</v>
      </c>
      <c r="Q10" s="19">
        <v>0</v>
      </c>
      <c r="R10" s="19">
        <v>0</v>
      </c>
      <c r="S10" s="64">
        <f>SUM(M10:R10)</f>
      </c>
      <c r="T10" s="19">
        <v>3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64">
        <f>SUM(T10:Y10)</f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64">
        <f>SUM(AA10:AF10)</f>
      </c>
      <c r="AH10" s="19">
        <v>4</v>
      </c>
      <c r="AI10" s="19">
        <v>3</v>
      </c>
      <c r="AJ10" s="19">
        <v>1</v>
      </c>
      <c r="AK10" s="19">
        <v>0</v>
      </c>
      <c r="AL10" s="19">
        <v>0</v>
      </c>
      <c r="AM10" s="19">
        <v>0</v>
      </c>
      <c r="AN10" s="64">
        <f>SUM(AH10:AM10)</f>
      </c>
      <c r="AO10" s="19">
        <v>0</v>
      </c>
      <c r="AP10" s="19">
        <v>0</v>
      </c>
      <c r="AQ10" s="19">
        <v>0</v>
      </c>
      <c r="AR10" s="64">
        <f>SUM(AO10:AQ10)</f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64">
        <f>SUM(AS10:AX10)</f>
      </c>
      <c r="AZ10" s="19">
        <v>2</v>
      </c>
      <c r="BA10" s="19">
        <v>0</v>
      </c>
      <c r="BB10" s="19">
        <v>0</v>
      </c>
      <c r="BC10" s="64">
        <f>SUM(AZ10:BB10)</f>
      </c>
      <c r="BD10" s="19">
        <f>SUM(M10:R10,T10:Y10,AA10:AF10,AH10:AM10,AO10:AQ10,AS10:AX10,AZ10:BB10)</f>
      </c>
      <c r="BE10" s="26"/>
    </row>
    <row x14ac:dyDescent="0.25" r="11" customHeight="1" ht="18.75">
      <c r="A11" s="19">
        <v>105</v>
      </c>
      <c r="B11" s="19">
        <v>5</v>
      </c>
      <c r="C11" s="19">
        <v>5</v>
      </c>
      <c r="D11" s="20">
        <v>44745</v>
      </c>
      <c r="E11" s="21" t="s">
        <v>43</v>
      </c>
      <c r="F11" s="1" t="s">
        <v>46</v>
      </c>
      <c r="G11" s="21" t="s">
        <v>48</v>
      </c>
      <c r="H11" s="22">
        <v>9</v>
      </c>
      <c r="I11" s="23">
        <v>1</v>
      </c>
      <c r="J11" s="24">
        <v>0.32</v>
      </c>
      <c r="K11" s="24">
        <v>0.29</v>
      </c>
      <c r="L11" s="25">
        <v>0.08</v>
      </c>
      <c r="M11" s="19">
        <v>3</v>
      </c>
      <c r="N11" s="19">
        <v>10</v>
      </c>
      <c r="O11" s="19">
        <v>8</v>
      </c>
      <c r="P11" s="19">
        <v>2</v>
      </c>
      <c r="Q11" s="19">
        <v>1</v>
      </c>
      <c r="R11" s="19">
        <v>5</v>
      </c>
      <c r="S11" s="64">
        <f>SUM(M11:R11)</f>
      </c>
      <c r="T11" s="19">
        <v>1</v>
      </c>
      <c r="U11" s="19">
        <v>0</v>
      </c>
      <c r="V11" s="19">
        <v>1</v>
      </c>
      <c r="W11" s="19">
        <v>0</v>
      </c>
      <c r="X11" s="19">
        <v>0</v>
      </c>
      <c r="Y11" s="19">
        <v>0</v>
      </c>
      <c r="Z11" s="64">
        <f>SUM(T11:Y11)</f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64">
        <f>SUM(AA11:AF11)</f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64">
        <f>SUM(AH11:AM11)</f>
      </c>
      <c r="AO11" s="19">
        <v>0</v>
      </c>
      <c r="AP11" s="19">
        <v>0</v>
      </c>
      <c r="AQ11" s="19">
        <v>0</v>
      </c>
      <c r="AR11" s="64">
        <f>SUM(AO11:AQ11)</f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1</v>
      </c>
      <c r="AY11" s="64">
        <f>SUM(AS11:AX11)</f>
      </c>
      <c r="AZ11" s="19">
        <v>0</v>
      </c>
      <c r="BA11" s="19">
        <v>0</v>
      </c>
      <c r="BB11" s="19">
        <v>0</v>
      </c>
      <c r="BC11" s="64">
        <f>SUM(AZ11:BB11)</f>
      </c>
      <c r="BD11" s="19">
        <f>SUM(M11:R11,T11:Y11,AA11:AF11,AH11:AM11,AO11:AQ11,AS11:AX11,AZ11:BB11)</f>
      </c>
      <c r="BE11" s="19">
        <v>3</v>
      </c>
    </row>
    <row x14ac:dyDescent="0.25" r="12" customHeight="1" ht="18.75">
      <c r="A12" s="19">
        <v>106</v>
      </c>
      <c r="B12" s="19">
        <v>6</v>
      </c>
      <c r="C12" s="19">
        <v>0</v>
      </c>
      <c r="D12" s="20">
        <v>44740</v>
      </c>
      <c r="E12" s="21" t="s">
        <v>43</v>
      </c>
      <c r="F12" s="21" t="s">
        <v>44</v>
      </c>
      <c r="G12" s="21" t="s">
        <v>48</v>
      </c>
      <c r="H12" s="22">
        <v>9</v>
      </c>
      <c r="I12" s="23">
        <v>0</v>
      </c>
      <c r="J12" s="24">
        <v>0.3</v>
      </c>
      <c r="K12" s="24">
        <v>0.23</v>
      </c>
      <c r="L12" s="25">
        <v>0.23</v>
      </c>
      <c r="M12" s="19">
        <f>SUM(6+9+6)</f>
      </c>
      <c r="N12" s="19">
        <f>SUM(11+10+10)</f>
      </c>
      <c r="O12" s="19">
        <v>7</v>
      </c>
      <c r="P12" s="19">
        <v>0</v>
      </c>
      <c r="Q12" s="19">
        <v>0</v>
      </c>
      <c r="R12" s="19">
        <v>0</v>
      </c>
      <c r="S12" s="64">
        <f>SUM(M12:R12)</f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64">
        <f>SUM(T12:Y12)</f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64">
        <f>SUM(AA12:AF12)</f>
      </c>
      <c r="AH12" s="19">
        <v>2</v>
      </c>
      <c r="AI12" s="19">
        <v>8</v>
      </c>
      <c r="AJ12" s="19">
        <v>2</v>
      </c>
      <c r="AK12" s="19">
        <v>0</v>
      </c>
      <c r="AL12" s="19">
        <v>0</v>
      </c>
      <c r="AM12" s="19">
        <v>0</v>
      </c>
      <c r="AN12" s="64">
        <f>SUM(AH12:AM12)</f>
      </c>
      <c r="AO12" s="19">
        <v>1</v>
      </c>
      <c r="AP12" s="19">
        <v>7</v>
      </c>
      <c r="AQ12" s="19">
        <v>15</v>
      </c>
      <c r="AR12" s="64">
        <f>SUM(AO12:AQ12)</f>
      </c>
      <c r="AS12" s="19">
        <v>1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64">
        <f>SUM(AS12:AX12)</f>
      </c>
      <c r="AZ12" s="19">
        <v>0</v>
      </c>
      <c r="BA12" s="19">
        <v>0</v>
      </c>
      <c r="BB12" s="19">
        <v>1</v>
      </c>
      <c r="BC12" s="64">
        <f>SUM(AZ12:BB12)</f>
      </c>
      <c r="BD12" s="19">
        <f>SUM(M12:R12,T12:Y12,AA12:AF12,AH12:AM12,AO12:AQ12,AS12:AX12,AZ12:BB12)</f>
      </c>
      <c r="BE12" s="26"/>
    </row>
    <row x14ac:dyDescent="0.25" r="13" customHeight="1" ht="18.75">
      <c r="A13" s="19">
        <v>106</v>
      </c>
      <c r="B13" s="19">
        <v>6</v>
      </c>
      <c r="C13" s="19">
        <v>5</v>
      </c>
      <c r="D13" s="20">
        <v>44745</v>
      </c>
      <c r="E13" s="21" t="s">
        <v>47</v>
      </c>
      <c r="F13" s="21" t="s">
        <v>44</v>
      </c>
      <c r="G13" s="21" t="s">
        <v>48</v>
      </c>
      <c r="H13" s="22">
        <v>9</v>
      </c>
      <c r="I13" s="23">
        <v>0</v>
      </c>
      <c r="J13" s="24">
        <v>0.3</v>
      </c>
      <c r="K13" s="24">
        <v>0.23</v>
      </c>
      <c r="L13" s="25">
        <v>0.23</v>
      </c>
      <c r="M13" s="19">
        <v>1</v>
      </c>
      <c r="N13" s="19">
        <v>8</v>
      </c>
      <c r="O13" s="19">
        <v>8</v>
      </c>
      <c r="P13" s="19">
        <v>0</v>
      </c>
      <c r="Q13" s="19">
        <v>1</v>
      </c>
      <c r="R13" s="19">
        <v>0</v>
      </c>
      <c r="S13" s="64">
        <f>SUM(M13:R13)</f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64">
        <f>SUM(T13:Y13)</f>
      </c>
      <c r="AA13" s="19">
        <v>1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64">
        <f>SUM(AA13:AF13)</f>
      </c>
      <c r="AH13" s="19">
        <v>0</v>
      </c>
      <c r="AI13" s="19">
        <v>3</v>
      </c>
      <c r="AJ13" s="19">
        <v>1</v>
      </c>
      <c r="AK13" s="19">
        <v>0</v>
      </c>
      <c r="AL13" s="19">
        <v>0</v>
      </c>
      <c r="AM13" s="19">
        <v>0</v>
      </c>
      <c r="AN13" s="64">
        <f>SUM(AH13:AM13)</f>
      </c>
      <c r="AO13" s="19">
        <v>19</v>
      </c>
      <c r="AP13" s="19">
        <v>4</v>
      </c>
      <c r="AQ13" s="19">
        <v>21</v>
      </c>
      <c r="AR13" s="64">
        <f>SUM(AO13:AQ13)</f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64">
        <f>SUM(AS13:AX13)</f>
      </c>
      <c r="AZ13" s="19">
        <v>0</v>
      </c>
      <c r="BA13" s="19">
        <v>0</v>
      </c>
      <c r="BB13" s="19">
        <v>0</v>
      </c>
      <c r="BC13" s="64">
        <f>SUM(AZ13:BB13)</f>
      </c>
      <c r="BD13" s="19">
        <f>SUM(M13:R13,T13:Y13,AA13:AF13,AH13:AM13,AO13:AQ13,AS13:AX13,AZ13:BB13)</f>
      </c>
      <c r="BE13" s="19">
        <v>4</v>
      </c>
    </row>
    <row x14ac:dyDescent="0.25" r="14" customHeight="1" ht="18.75">
      <c r="A14" s="19">
        <v>107</v>
      </c>
      <c r="B14" s="19">
        <v>7</v>
      </c>
      <c r="C14" s="19">
        <v>0</v>
      </c>
      <c r="D14" s="20">
        <v>44740</v>
      </c>
      <c r="E14" s="21" t="s">
        <v>47</v>
      </c>
      <c r="F14" s="21" t="s">
        <v>44</v>
      </c>
      <c r="G14" s="21" t="s">
        <v>48</v>
      </c>
      <c r="H14" s="22">
        <v>6</v>
      </c>
      <c r="I14" s="54"/>
      <c r="J14" s="55"/>
      <c r="K14" s="55"/>
      <c r="L14" s="56"/>
      <c r="M14" s="19">
        <f>SUM(3+3+1)</f>
      </c>
      <c r="N14" s="19">
        <f>SUM(10+6+3)</f>
      </c>
      <c r="O14" s="19">
        <v>3</v>
      </c>
      <c r="P14" s="19">
        <v>0</v>
      </c>
      <c r="Q14" s="19">
        <v>0</v>
      </c>
      <c r="R14" s="19">
        <v>0</v>
      </c>
      <c r="S14" s="64">
        <f>SUM(M14:R14)</f>
      </c>
      <c r="T14" s="19">
        <v>8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64">
        <f>SUM(T14:Y14)</f>
      </c>
      <c r="AA14" s="19">
        <v>0</v>
      </c>
      <c r="AB14" s="19">
        <v>1</v>
      </c>
      <c r="AC14" s="19">
        <v>0</v>
      </c>
      <c r="AD14" s="19">
        <v>0</v>
      </c>
      <c r="AE14" s="19">
        <v>0</v>
      </c>
      <c r="AF14" s="19">
        <v>0</v>
      </c>
      <c r="AG14" s="64">
        <f>SUM(AA14:AF14)</f>
      </c>
      <c r="AH14" s="19">
        <v>5</v>
      </c>
      <c r="AI14" s="19">
        <f>SUM(7+13+4)</f>
      </c>
      <c r="AJ14" s="19">
        <f>SUM(2+1)</f>
      </c>
      <c r="AK14" s="19">
        <v>0</v>
      </c>
      <c r="AL14" s="19">
        <v>0</v>
      </c>
      <c r="AM14" s="19">
        <v>0</v>
      </c>
      <c r="AN14" s="64">
        <f>SUM(AH14:AM14)</f>
      </c>
      <c r="AO14" s="19">
        <v>6</v>
      </c>
      <c r="AP14" s="19">
        <v>7</v>
      </c>
      <c r="AQ14" s="19">
        <v>7</v>
      </c>
      <c r="AR14" s="64">
        <f>SUM(AO14:AQ14)</f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64">
        <f>SUM(AS14:AX14)</f>
      </c>
      <c r="AZ14" s="19">
        <v>1</v>
      </c>
      <c r="BA14" s="19">
        <v>0</v>
      </c>
      <c r="BB14" s="19">
        <v>0</v>
      </c>
      <c r="BC14" s="64">
        <f>SUM(AZ14:BB14)</f>
      </c>
      <c r="BD14" s="19">
        <f>SUM(M14:R14,T14:Y14,AA14:AF14,AH14:AM14,AO14:AQ14,AS14:AX14,AZ14:BB14)</f>
      </c>
      <c r="BE14" s="26"/>
    </row>
    <row x14ac:dyDescent="0.25" r="15" customHeight="1" ht="18.75">
      <c r="A15" s="19">
        <v>107</v>
      </c>
      <c r="B15" s="19">
        <v>7</v>
      </c>
      <c r="C15" s="19">
        <v>5</v>
      </c>
      <c r="D15" s="20">
        <v>44745</v>
      </c>
      <c r="E15" s="21" t="s">
        <v>47</v>
      </c>
      <c r="F15" s="21" t="s">
        <v>44</v>
      </c>
      <c r="G15" s="21" t="s">
        <v>48</v>
      </c>
      <c r="H15" s="22">
        <v>6</v>
      </c>
      <c r="I15" s="54"/>
      <c r="J15" s="55"/>
      <c r="K15" s="55"/>
      <c r="L15" s="56"/>
      <c r="M15" s="19">
        <v>1</v>
      </c>
      <c r="N15" s="19">
        <v>0</v>
      </c>
      <c r="O15" s="19">
        <v>0</v>
      </c>
      <c r="P15" s="19">
        <v>0</v>
      </c>
      <c r="Q15" s="19">
        <v>1</v>
      </c>
      <c r="R15" s="19">
        <v>0</v>
      </c>
      <c r="S15" s="64">
        <f>SUM(M15:R15)</f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64">
        <f>SUM(T15:Y15)</f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64">
        <f>SUM(AA15:AF15)</f>
      </c>
      <c r="AH15" s="19">
        <v>0</v>
      </c>
      <c r="AI15" s="19">
        <v>1</v>
      </c>
      <c r="AJ15" s="19">
        <v>3</v>
      </c>
      <c r="AK15" s="19">
        <v>0</v>
      </c>
      <c r="AL15" s="19">
        <v>0</v>
      </c>
      <c r="AM15" s="19">
        <v>1</v>
      </c>
      <c r="AN15" s="64">
        <f>SUM(AH15:AM15)</f>
      </c>
      <c r="AO15" s="19">
        <v>1</v>
      </c>
      <c r="AP15" s="19">
        <v>4</v>
      </c>
      <c r="AQ15" s="19">
        <v>5</v>
      </c>
      <c r="AR15" s="64">
        <f>SUM(AO15:AQ15)</f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64">
        <f>SUM(AS15:AX15)</f>
      </c>
      <c r="AZ15" s="19">
        <v>0</v>
      </c>
      <c r="BA15" s="19">
        <v>0</v>
      </c>
      <c r="BB15" s="19">
        <v>0</v>
      </c>
      <c r="BC15" s="64">
        <f>SUM(AZ15:BB15)</f>
      </c>
      <c r="BD15" s="19">
        <f>SUM(M15:R15,T15:Y15,AA15:AF15,AH15:AM15,AO15:AQ15,AS15:AX15,AZ15:BB15)</f>
      </c>
      <c r="BE15" s="19">
        <v>2</v>
      </c>
    </row>
    <row x14ac:dyDescent="0.25" r="16" customHeight="1" ht="18.75">
      <c r="A16" s="19">
        <v>108</v>
      </c>
      <c r="B16" s="19">
        <v>8</v>
      </c>
      <c r="C16" s="19">
        <v>0</v>
      </c>
      <c r="D16" s="20">
        <v>44740</v>
      </c>
      <c r="E16" s="1" t="s">
        <v>47</v>
      </c>
      <c r="F16" s="21" t="s">
        <v>46</v>
      </c>
      <c r="G16" s="21" t="s">
        <v>48</v>
      </c>
      <c r="H16" s="22">
        <v>9</v>
      </c>
      <c r="I16" s="54"/>
      <c r="J16" s="55"/>
      <c r="K16" s="55"/>
      <c r="L16" s="56"/>
      <c r="M16" s="19">
        <f>SUM(6+5+4)</f>
      </c>
      <c r="N16" s="19">
        <f>SUM(9+14+6)</f>
      </c>
      <c r="O16" s="19">
        <v>9</v>
      </c>
      <c r="P16" s="19">
        <v>0</v>
      </c>
      <c r="Q16" s="19">
        <v>0</v>
      </c>
      <c r="R16" s="19">
        <v>0</v>
      </c>
      <c r="S16" s="64">
        <f>SUM(M16:R16)</f>
      </c>
      <c r="T16" s="19">
        <v>1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64">
        <f>SUM(T16:Y16)</f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64">
        <f>SUM(AA16:AF16)</f>
      </c>
      <c r="AH16" s="19">
        <v>1</v>
      </c>
      <c r="AI16" s="19">
        <v>9</v>
      </c>
      <c r="AJ16" s="19">
        <v>8</v>
      </c>
      <c r="AK16" s="19">
        <v>0</v>
      </c>
      <c r="AL16" s="19">
        <v>0</v>
      </c>
      <c r="AM16" s="19">
        <v>0</v>
      </c>
      <c r="AN16" s="64">
        <f>SUM(AH16:AM16)</f>
      </c>
      <c r="AO16" s="19">
        <v>13</v>
      </c>
      <c r="AP16" s="19">
        <v>3</v>
      </c>
      <c r="AQ16" s="19">
        <v>1</v>
      </c>
      <c r="AR16" s="64">
        <f>SUM(AO16:AQ16)</f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64">
        <f>SUM(AS16:AX16)</f>
      </c>
      <c r="AZ16" s="19">
        <v>0</v>
      </c>
      <c r="BA16" s="19">
        <v>2</v>
      </c>
      <c r="BB16" s="19">
        <v>0</v>
      </c>
      <c r="BC16" s="64">
        <f>SUM(AZ16:BB16)</f>
      </c>
      <c r="BD16" s="19">
        <f>SUM(M16:R16,T16:Y16,AA16:AF16,AH16:AM16,AO16:AQ16,AS16:AX16,AZ16:BB16)</f>
      </c>
      <c r="BE16" s="26"/>
    </row>
    <row x14ac:dyDescent="0.25" r="17" customHeight="1" ht="18.75">
      <c r="A17" s="19">
        <v>108</v>
      </c>
      <c r="B17" s="19">
        <v>8</v>
      </c>
      <c r="C17" s="19">
        <v>5</v>
      </c>
      <c r="D17" s="20">
        <v>44745</v>
      </c>
      <c r="E17" s="1" t="s">
        <v>47</v>
      </c>
      <c r="F17" s="21" t="s">
        <v>46</v>
      </c>
      <c r="G17" s="21" t="s">
        <v>48</v>
      </c>
      <c r="H17" s="22">
        <v>9</v>
      </c>
      <c r="I17" s="54"/>
      <c r="J17" s="55"/>
      <c r="K17" s="55"/>
      <c r="L17" s="56"/>
      <c r="M17" s="19">
        <v>2</v>
      </c>
      <c r="N17" s="19">
        <v>3</v>
      </c>
      <c r="O17" s="19">
        <v>5</v>
      </c>
      <c r="P17" s="19">
        <v>0</v>
      </c>
      <c r="Q17" s="19">
        <v>4</v>
      </c>
      <c r="R17" s="19">
        <v>2</v>
      </c>
      <c r="S17" s="64">
        <f>SUM(M17:R17)</f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64">
        <f>SUM(T17:Y17)</f>
      </c>
      <c r="AA17" s="19">
        <v>1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64">
        <f>SUM(AA17:AF17)</f>
      </c>
      <c r="AH17" s="19">
        <v>0</v>
      </c>
      <c r="AI17" s="19">
        <v>0</v>
      </c>
      <c r="AJ17" s="19">
        <v>3</v>
      </c>
      <c r="AK17" s="19">
        <v>0</v>
      </c>
      <c r="AL17" s="19">
        <v>0</v>
      </c>
      <c r="AM17" s="19">
        <v>2</v>
      </c>
      <c r="AN17" s="64">
        <f>SUM(AH17:AM17)</f>
      </c>
      <c r="AO17" s="19">
        <v>6</v>
      </c>
      <c r="AP17" s="19">
        <v>3</v>
      </c>
      <c r="AQ17" s="19">
        <v>2</v>
      </c>
      <c r="AR17" s="64">
        <f>SUM(AO17:AQ17)</f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64">
        <f>SUM(AS17:AX17)</f>
      </c>
      <c r="AZ17" s="19">
        <v>0</v>
      </c>
      <c r="BA17" s="19">
        <v>0</v>
      </c>
      <c r="BB17" s="19">
        <v>0</v>
      </c>
      <c r="BC17" s="64">
        <f>SUM(AZ17:BB17)</f>
      </c>
      <c r="BD17" s="19">
        <f>SUM(M17:R17,T17:Y17,AA17:AF17,AH17:AM17,AO17:AQ17,AS17:AX17,AZ17:BB17)</f>
      </c>
      <c r="BE17" s="19">
        <v>4</v>
      </c>
    </row>
    <row x14ac:dyDescent="0.25" r="18" customHeight="1" ht="18.75">
      <c r="A18" s="19">
        <v>109</v>
      </c>
      <c r="B18" s="19">
        <v>9</v>
      </c>
      <c r="C18" s="19">
        <v>0</v>
      </c>
      <c r="D18" s="20">
        <v>44740</v>
      </c>
      <c r="E18" s="21" t="s">
        <v>43</v>
      </c>
      <c r="F18" s="1" t="s">
        <v>46</v>
      </c>
      <c r="G18" s="21" t="s">
        <v>48</v>
      </c>
      <c r="H18" s="22">
        <v>9</v>
      </c>
      <c r="I18" s="23">
        <v>1</v>
      </c>
      <c r="J18" s="24">
        <v>0.29</v>
      </c>
      <c r="K18" s="24">
        <v>0.25</v>
      </c>
      <c r="L18" s="25">
        <v>0.14</v>
      </c>
      <c r="M18" s="19">
        <v>11</v>
      </c>
      <c r="N18" s="19">
        <v>22</v>
      </c>
      <c r="O18" s="19">
        <v>2</v>
      </c>
      <c r="P18" s="19">
        <v>0</v>
      </c>
      <c r="Q18" s="19">
        <v>0</v>
      </c>
      <c r="R18" s="19">
        <v>0</v>
      </c>
      <c r="S18" s="64">
        <f>SUM(M18:R18)</f>
      </c>
      <c r="T18" s="19">
        <v>0</v>
      </c>
      <c r="U18" s="19">
        <v>2</v>
      </c>
      <c r="V18" s="19">
        <v>0</v>
      </c>
      <c r="W18" s="19">
        <v>0</v>
      </c>
      <c r="X18" s="19">
        <v>0</v>
      </c>
      <c r="Y18" s="19">
        <v>0</v>
      </c>
      <c r="Z18" s="64">
        <f>SUM(T18:Y18)</f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64">
        <f>SUM(AA18:AF18)</f>
      </c>
      <c r="AH18" s="19">
        <f>SUM(4+1)</f>
      </c>
      <c r="AI18" s="19">
        <v>20</v>
      </c>
      <c r="AJ18" s="19">
        <v>2</v>
      </c>
      <c r="AK18" s="19">
        <v>0</v>
      </c>
      <c r="AL18" s="19">
        <v>0</v>
      </c>
      <c r="AM18" s="19">
        <v>0</v>
      </c>
      <c r="AN18" s="64">
        <f>SUM(AH18:AM18)</f>
      </c>
      <c r="AO18" s="19">
        <v>5</v>
      </c>
      <c r="AP18" s="19">
        <v>0</v>
      </c>
      <c r="AQ18" s="19">
        <v>1</v>
      </c>
      <c r="AR18" s="64">
        <f>SUM(AO18:AQ18)</f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64">
        <f>SUM(AS18:AX18)</f>
      </c>
      <c r="AZ18" s="19">
        <v>0</v>
      </c>
      <c r="BA18" s="19">
        <v>2</v>
      </c>
      <c r="BB18" s="19">
        <v>0</v>
      </c>
      <c r="BC18" s="64">
        <f>SUM(AZ18:BB18)</f>
      </c>
      <c r="BD18" s="19">
        <f>SUM(M18:R18,T18:Y18,AA18:AF18,AH18:AM18,AO18:AQ18,AS18:AX18,AZ18:BB18)</f>
      </c>
      <c r="BE18" s="26"/>
    </row>
    <row x14ac:dyDescent="0.25" r="19" customHeight="1" ht="18.75">
      <c r="A19" s="19">
        <v>109</v>
      </c>
      <c r="B19" s="19">
        <v>9</v>
      </c>
      <c r="C19" s="19">
        <v>5</v>
      </c>
      <c r="D19" s="20">
        <v>44745</v>
      </c>
      <c r="E19" s="21" t="s">
        <v>43</v>
      </c>
      <c r="F19" s="1" t="s">
        <v>46</v>
      </c>
      <c r="G19" s="21" t="s">
        <v>48</v>
      </c>
      <c r="H19" s="22">
        <v>9</v>
      </c>
      <c r="I19" s="23">
        <v>1</v>
      </c>
      <c r="J19" s="24">
        <v>0.29</v>
      </c>
      <c r="K19" s="24">
        <v>0.25</v>
      </c>
      <c r="L19" s="25">
        <v>0.14</v>
      </c>
      <c r="M19" s="19">
        <v>0</v>
      </c>
      <c r="N19" s="19">
        <v>5</v>
      </c>
      <c r="O19" s="19">
        <v>1</v>
      </c>
      <c r="P19" s="19">
        <v>0</v>
      </c>
      <c r="Q19" s="19">
        <v>0</v>
      </c>
      <c r="R19" s="19">
        <v>0</v>
      </c>
      <c r="S19" s="64">
        <f>SUM(M19:R19)</f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64">
        <f>SUM(T19:Y19)</f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64">
        <f>SUM(AA19:AF19)</f>
      </c>
      <c r="AH19" s="19">
        <v>0</v>
      </c>
      <c r="AI19" s="19">
        <v>1</v>
      </c>
      <c r="AJ19" s="19">
        <v>3</v>
      </c>
      <c r="AK19" s="19">
        <v>0</v>
      </c>
      <c r="AL19" s="19">
        <v>0</v>
      </c>
      <c r="AM19" s="19">
        <v>0</v>
      </c>
      <c r="AN19" s="64">
        <f>SUM(AH19:AM19)</f>
      </c>
      <c r="AO19" s="19">
        <v>3</v>
      </c>
      <c r="AP19" s="19">
        <v>2</v>
      </c>
      <c r="AQ19" s="19">
        <v>0</v>
      </c>
      <c r="AR19" s="64">
        <f>SUM(AO19:AQ19)</f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64">
        <f>SUM(AS19:AX19)</f>
      </c>
      <c r="AZ19" s="19">
        <v>0</v>
      </c>
      <c r="BA19" s="19">
        <v>0</v>
      </c>
      <c r="BB19" s="19">
        <v>0</v>
      </c>
      <c r="BC19" s="64">
        <f>SUM(AZ19:BB19)</f>
      </c>
      <c r="BD19" s="19">
        <f>SUM(M19:R19,T19:Y19,AA19:AF19,AH19:AM19,AO19:AQ19,AS19:AX19,AZ19:BB19)</f>
      </c>
      <c r="BE19" s="19">
        <v>1</v>
      </c>
    </row>
    <row x14ac:dyDescent="0.25" r="20" customHeight="1" ht="18.75">
      <c r="A20" s="19">
        <v>110</v>
      </c>
      <c r="B20" s="19">
        <v>10</v>
      </c>
      <c r="C20" s="19">
        <v>0</v>
      </c>
      <c r="D20" s="20">
        <v>44740</v>
      </c>
      <c r="E20" s="21" t="s">
        <v>43</v>
      </c>
      <c r="F20" s="21" t="s">
        <v>44</v>
      </c>
      <c r="G20" s="21" t="s">
        <v>48</v>
      </c>
      <c r="H20" s="22">
        <v>9</v>
      </c>
      <c r="I20" s="23">
        <v>0</v>
      </c>
      <c r="J20" s="24">
        <v>0.3</v>
      </c>
      <c r="K20" s="24">
        <v>0.26</v>
      </c>
      <c r="L20" s="25">
        <v>0.14</v>
      </c>
      <c r="M20" s="19">
        <f>SUM(5+3+5)</f>
      </c>
      <c r="N20" s="19">
        <f>SUM(3+4+6)</f>
      </c>
      <c r="O20" s="19">
        <v>1</v>
      </c>
      <c r="P20" s="19">
        <v>0</v>
      </c>
      <c r="Q20" s="19">
        <v>0</v>
      </c>
      <c r="R20" s="19">
        <v>0</v>
      </c>
      <c r="S20" s="64">
        <f>SUM(M20:R20)</f>
      </c>
      <c r="T20" s="19">
        <v>11</v>
      </c>
      <c r="U20" s="19">
        <v>2</v>
      </c>
      <c r="V20" s="19">
        <v>0</v>
      </c>
      <c r="W20" s="19">
        <v>0</v>
      </c>
      <c r="X20" s="19">
        <v>0</v>
      </c>
      <c r="Y20" s="19">
        <v>0</v>
      </c>
      <c r="Z20" s="64">
        <f>SUM(T20:Y20)</f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64">
        <f>SUM(AA20:AF20)</f>
      </c>
      <c r="AH20" s="19">
        <v>7</v>
      </c>
      <c r="AI20" s="19">
        <f>SUM(12+11)</f>
      </c>
      <c r="AJ20" s="19">
        <v>5</v>
      </c>
      <c r="AK20" s="19">
        <v>0</v>
      </c>
      <c r="AL20" s="19">
        <v>0</v>
      </c>
      <c r="AM20" s="19">
        <v>0</v>
      </c>
      <c r="AN20" s="64">
        <f>SUM(AH20:AM20)</f>
      </c>
      <c r="AO20" s="19">
        <v>3</v>
      </c>
      <c r="AP20" s="19">
        <v>2</v>
      </c>
      <c r="AQ20" s="19">
        <v>1</v>
      </c>
      <c r="AR20" s="64">
        <f>SUM(AO20:AQ20)</f>
      </c>
      <c r="AS20" s="19">
        <v>3</v>
      </c>
      <c r="AT20" s="19">
        <v>5</v>
      </c>
      <c r="AU20" s="19">
        <v>1</v>
      </c>
      <c r="AV20" s="19">
        <v>0</v>
      </c>
      <c r="AW20" s="19">
        <v>0</v>
      </c>
      <c r="AX20" s="19">
        <v>0</v>
      </c>
      <c r="AY20" s="64">
        <f>SUM(AS20:AX20)</f>
      </c>
      <c r="AZ20" s="19">
        <v>0</v>
      </c>
      <c r="BA20" s="19">
        <v>1</v>
      </c>
      <c r="BB20" s="19">
        <v>0</v>
      </c>
      <c r="BC20" s="64">
        <f>SUM(AZ20:BB20)</f>
      </c>
      <c r="BD20" s="19">
        <f>SUM(M20:R20,T20:Y20,AA20:AF20,AH20:AM20,AO20:AQ20,AS20:AX20,AZ20:BB20)</f>
      </c>
      <c r="BE20" s="26"/>
    </row>
    <row x14ac:dyDescent="0.25" r="21" customHeight="1" ht="18.75">
      <c r="A21" s="19">
        <v>110</v>
      </c>
      <c r="B21" s="19">
        <v>10</v>
      </c>
      <c r="C21" s="19">
        <v>5</v>
      </c>
      <c r="D21" s="20">
        <v>44745</v>
      </c>
      <c r="E21" s="21" t="s">
        <v>43</v>
      </c>
      <c r="F21" s="21" t="s">
        <v>44</v>
      </c>
      <c r="G21" s="21" t="s">
        <v>48</v>
      </c>
      <c r="H21" s="22">
        <v>9</v>
      </c>
      <c r="I21" s="23">
        <v>0</v>
      </c>
      <c r="J21" s="24">
        <v>0.3</v>
      </c>
      <c r="K21" s="24">
        <v>0.26</v>
      </c>
      <c r="L21" s="25">
        <v>0.14</v>
      </c>
      <c r="M21" s="19">
        <v>2</v>
      </c>
      <c r="N21" s="19">
        <v>1</v>
      </c>
      <c r="O21" s="19">
        <v>6</v>
      </c>
      <c r="P21" s="19">
        <v>0</v>
      </c>
      <c r="Q21" s="19">
        <v>1</v>
      </c>
      <c r="R21" s="19">
        <v>0</v>
      </c>
      <c r="S21" s="64">
        <f>SUM(M21:R21)</f>
      </c>
      <c r="T21" s="19">
        <v>6</v>
      </c>
      <c r="U21" s="19">
        <v>1</v>
      </c>
      <c r="V21" s="19">
        <v>0</v>
      </c>
      <c r="W21" s="19">
        <v>0</v>
      </c>
      <c r="X21" s="19">
        <v>0</v>
      </c>
      <c r="Y21" s="19">
        <v>0</v>
      </c>
      <c r="Z21" s="64">
        <f>SUM(T21:Y21)</f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64">
        <f>SUM(AA21:AF21)</f>
      </c>
      <c r="AH21" s="19">
        <v>0</v>
      </c>
      <c r="AI21" s="19">
        <v>1</v>
      </c>
      <c r="AJ21" s="19">
        <v>1</v>
      </c>
      <c r="AK21" s="19">
        <v>0</v>
      </c>
      <c r="AL21" s="19">
        <v>3</v>
      </c>
      <c r="AM21" s="19">
        <v>3</v>
      </c>
      <c r="AN21" s="64">
        <f>SUM(AH21:AM21)</f>
      </c>
      <c r="AO21" s="19">
        <v>4</v>
      </c>
      <c r="AP21" s="19">
        <v>4</v>
      </c>
      <c r="AQ21" s="19">
        <v>2</v>
      </c>
      <c r="AR21" s="64">
        <f>SUM(AO21:AQ21)</f>
      </c>
      <c r="AS21" s="19">
        <v>2</v>
      </c>
      <c r="AT21" s="19">
        <v>3</v>
      </c>
      <c r="AU21" s="19">
        <v>2</v>
      </c>
      <c r="AV21" s="19">
        <v>0</v>
      </c>
      <c r="AW21" s="19">
        <v>0</v>
      </c>
      <c r="AX21" s="19">
        <v>0</v>
      </c>
      <c r="AY21" s="64">
        <f>SUM(AS21:AX21)</f>
      </c>
      <c r="AZ21" s="19">
        <v>0</v>
      </c>
      <c r="BA21" s="19">
        <v>0</v>
      </c>
      <c r="BB21" s="19">
        <v>0</v>
      </c>
      <c r="BC21" s="64">
        <f>SUM(AZ21:BB21)</f>
      </c>
      <c r="BD21" s="19">
        <f>SUM(M21:R21,T21:Y21,AA21:AF21,AH21:AM21,AO21:AQ21,AS21:AX21,AZ21:BB21)</f>
      </c>
      <c r="BE21" s="19">
        <v>2</v>
      </c>
    </row>
    <row x14ac:dyDescent="0.25" r="22" customHeight="1" ht="18.75">
      <c r="A22" s="19">
        <v>111</v>
      </c>
      <c r="B22" s="19">
        <v>11</v>
      </c>
      <c r="C22" s="19">
        <v>0</v>
      </c>
      <c r="D22" s="20">
        <v>44740</v>
      </c>
      <c r="E22" s="21" t="s">
        <v>43</v>
      </c>
      <c r="F22" s="1" t="s">
        <v>46</v>
      </c>
      <c r="G22" s="21" t="s">
        <v>48</v>
      </c>
      <c r="H22" s="22">
        <v>11.5</v>
      </c>
      <c r="I22" s="23">
        <v>1</v>
      </c>
      <c r="J22" s="24">
        <v>0.33</v>
      </c>
      <c r="K22" s="24">
        <v>0.23</v>
      </c>
      <c r="L22" s="25">
        <v>0.3</v>
      </c>
      <c r="M22" s="19">
        <v>6</v>
      </c>
      <c r="N22" s="19">
        <v>9</v>
      </c>
      <c r="O22" s="19">
        <v>1</v>
      </c>
      <c r="P22" s="19">
        <v>0</v>
      </c>
      <c r="Q22" s="19">
        <v>0</v>
      </c>
      <c r="R22" s="19">
        <v>0</v>
      </c>
      <c r="S22" s="64">
        <f>SUM(M22:R22)</f>
      </c>
      <c r="T22" s="19">
        <v>3</v>
      </c>
      <c r="U22" s="19">
        <v>1</v>
      </c>
      <c r="V22" s="19">
        <v>0</v>
      </c>
      <c r="W22" s="19">
        <v>0</v>
      </c>
      <c r="X22" s="19">
        <v>0</v>
      </c>
      <c r="Y22" s="19">
        <v>0</v>
      </c>
      <c r="Z22" s="64">
        <f>SUM(T22:Y22)</f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64">
        <f>SUM(AA22:AF22)</f>
      </c>
      <c r="AH22" s="19">
        <v>9</v>
      </c>
      <c r="AI22" s="19">
        <v>12</v>
      </c>
      <c r="AJ22" s="19">
        <v>3</v>
      </c>
      <c r="AK22" s="19">
        <v>0</v>
      </c>
      <c r="AL22" s="19">
        <v>0</v>
      </c>
      <c r="AM22" s="19">
        <v>0</v>
      </c>
      <c r="AN22" s="64">
        <f>SUM(AH22:AM22)</f>
      </c>
      <c r="AO22" s="19">
        <v>7</v>
      </c>
      <c r="AP22" s="19">
        <v>5</v>
      </c>
      <c r="AQ22" s="19">
        <v>3</v>
      </c>
      <c r="AR22" s="64">
        <f>SUM(AO22:AQ22)</f>
      </c>
      <c r="AS22" s="19">
        <v>48</v>
      </c>
      <c r="AT22" s="19">
        <v>6</v>
      </c>
      <c r="AU22" s="19">
        <v>7</v>
      </c>
      <c r="AV22" s="19">
        <v>0</v>
      </c>
      <c r="AW22" s="19">
        <v>0</v>
      </c>
      <c r="AX22" s="19">
        <v>0</v>
      </c>
      <c r="AY22" s="64">
        <f>SUM(AS22:AX22)</f>
      </c>
      <c r="AZ22" s="19">
        <v>1</v>
      </c>
      <c r="BA22" s="19">
        <v>1</v>
      </c>
      <c r="BB22" s="19">
        <v>4</v>
      </c>
      <c r="BC22" s="64">
        <f>SUM(AZ22:BB22)</f>
      </c>
      <c r="BD22" s="19">
        <f>SUM(M22:R22,T22:Y22,AA22:AF22,AH22:AM22,AO22:AQ22,AS22:AX22,AZ22:BB22)</f>
      </c>
      <c r="BE22" s="26"/>
    </row>
    <row x14ac:dyDescent="0.25" r="23" customHeight="1" ht="18.75">
      <c r="A23" s="19">
        <v>111</v>
      </c>
      <c r="B23" s="19">
        <v>11</v>
      </c>
      <c r="C23" s="19">
        <v>5</v>
      </c>
      <c r="D23" s="20">
        <v>44745</v>
      </c>
      <c r="E23" s="21" t="s">
        <v>43</v>
      </c>
      <c r="F23" s="1" t="s">
        <v>46</v>
      </c>
      <c r="G23" s="21" t="s">
        <v>48</v>
      </c>
      <c r="H23" s="22">
        <v>11.5</v>
      </c>
      <c r="I23" s="23">
        <v>1</v>
      </c>
      <c r="J23" s="24">
        <v>0.33</v>
      </c>
      <c r="K23" s="24">
        <v>0.23</v>
      </c>
      <c r="L23" s="25">
        <v>0.3</v>
      </c>
      <c r="M23" s="19">
        <v>2</v>
      </c>
      <c r="N23" s="19">
        <v>2</v>
      </c>
      <c r="O23" s="19">
        <v>2</v>
      </c>
      <c r="P23" s="19">
        <v>0</v>
      </c>
      <c r="Q23" s="19">
        <v>0</v>
      </c>
      <c r="R23" s="19">
        <v>1</v>
      </c>
      <c r="S23" s="64">
        <f>SUM(M23:R23)</f>
      </c>
      <c r="T23" s="19">
        <v>2</v>
      </c>
      <c r="U23" s="19">
        <v>1</v>
      </c>
      <c r="V23" s="19">
        <v>0</v>
      </c>
      <c r="W23" s="19">
        <v>0</v>
      </c>
      <c r="X23" s="19">
        <v>0</v>
      </c>
      <c r="Y23" s="19">
        <v>0</v>
      </c>
      <c r="Z23" s="64">
        <f>SUM(T23:Y23)</f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64">
        <f>SUM(AA23:AF23)</f>
      </c>
      <c r="AH23" s="19">
        <v>2</v>
      </c>
      <c r="AI23" s="19">
        <v>0</v>
      </c>
      <c r="AJ23" s="19">
        <v>3</v>
      </c>
      <c r="AK23" s="19">
        <v>0</v>
      </c>
      <c r="AL23" s="19">
        <v>0</v>
      </c>
      <c r="AM23" s="19">
        <v>0</v>
      </c>
      <c r="AN23" s="64">
        <f>SUM(AH23:AM23)</f>
      </c>
      <c r="AO23" s="19">
        <v>2</v>
      </c>
      <c r="AP23" s="19">
        <f>31-24</f>
      </c>
      <c r="AQ23" s="19">
        <v>3</v>
      </c>
      <c r="AR23" s="64">
        <f>SUM(AO23:AQ23)</f>
      </c>
      <c r="AS23" s="19">
        <v>12</v>
      </c>
      <c r="AT23" s="19">
        <f>SUM(3+3+24)</f>
      </c>
      <c r="AU23" s="19">
        <v>38</v>
      </c>
      <c r="AV23" s="19">
        <v>0</v>
      </c>
      <c r="AW23" s="19">
        <v>0</v>
      </c>
      <c r="AX23" s="19">
        <v>1</v>
      </c>
      <c r="AY23" s="64">
        <f>SUM(AS23:AX23)</f>
      </c>
      <c r="AZ23" s="19">
        <v>0</v>
      </c>
      <c r="BA23" s="19">
        <v>0</v>
      </c>
      <c r="BB23" s="19">
        <v>0</v>
      </c>
      <c r="BC23" s="64">
        <f>SUM(AZ23:BB23)</f>
      </c>
      <c r="BD23" s="19">
        <f>SUM(M23:R23,T23:Y23,AA23:AF23,AH23:AM23,AO23:AQ23,AS23:AX23,AZ23:BB23)</f>
      </c>
      <c r="BE23" s="19">
        <v>0</v>
      </c>
    </row>
    <row x14ac:dyDescent="0.25" r="24" customHeight="1" ht="18.75">
      <c r="A24" s="19">
        <v>112</v>
      </c>
      <c r="B24" s="19">
        <v>12</v>
      </c>
      <c r="C24" s="19">
        <v>0</v>
      </c>
      <c r="D24" s="20">
        <v>44740</v>
      </c>
      <c r="E24" s="21" t="s">
        <v>43</v>
      </c>
      <c r="F24" s="21" t="s">
        <v>44</v>
      </c>
      <c r="G24" s="21" t="s">
        <v>48</v>
      </c>
      <c r="H24" s="22">
        <v>11.5</v>
      </c>
      <c r="I24" s="23">
        <v>0</v>
      </c>
      <c r="J24" s="24">
        <v>0.35</v>
      </c>
      <c r="K24" s="24">
        <v>0.26</v>
      </c>
      <c r="L24" s="25">
        <v>0.26</v>
      </c>
      <c r="M24" s="19">
        <v>7</v>
      </c>
      <c r="N24" s="19">
        <v>15</v>
      </c>
      <c r="O24" s="19">
        <v>1</v>
      </c>
      <c r="P24" s="19">
        <v>0</v>
      </c>
      <c r="Q24" s="19">
        <v>0</v>
      </c>
      <c r="R24" s="19">
        <v>0</v>
      </c>
      <c r="S24" s="64">
        <f>SUM(M24:R24)</f>
      </c>
      <c r="T24" s="19">
        <v>10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64">
        <f>SUM(T24:Y24)</f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64">
        <f>SUM(AA24:AF24)</f>
      </c>
      <c r="AH24" s="19">
        <v>6</v>
      </c>
      <c r="AI24" s="19">
        <v>23</v>
      </c>
      <c r="AJ24" s="19">
        <v>9</v>
      </c>
      <c r="AK24" s="19">
        <v>0</v>
      </c>
      <c r="AL24" s="19">
        <v>0</v>
      </c>
      <c r="AM24" s="19">
        <v>0</v>
      </c>
      <c r="AN24" s="64">
        <f>SUM(AH24:AM24)</f>
      </c>
      <c r="AO24" s="19">
        <v>2</v>
      </c>
      <c r="AP24" s="19">
        <v>1</v>
      </c>
      <c r="AQ24" s="19">
        <v>0</v>
      </c>
      <c r="AR24" s="64">
        <f>SUM(AO24:AQ24)</f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64">
        <f>SUM(AS24:AX24)</f>
      </c>
      <c r="AZ24" s="19">
        <v>0</v>
      </c>
      <c r="BA24" s="19">
        <v>0</v>
      </c>
      <c r="BB24" s="19">
        <v>0</v>
      </c>
      <c r="BC24" s="64">
        <f>SUM(AZ24:BB24)</f>
      </c>
      <c r="BD24" s="19">
        <f>SUM(M24:R24,T24:Y24,AA24:AF24,AH24:AM24,AO24:AQ24,AS24:AX24,AZ24:BB24)</f>
      </c>
      <c r="BE24" s="26"/>
    </row>
    <row x14ac:dyDescent="0.25" r="25" customHeight="1" ht="18.75">
      <c r="A25" s="19">
        <v>112</v>
      </c>
      <c r="B25" s="19">
        <v>12</v>
      </c>
      <c r="C25" s="19">
        <v>5</v>
      </c>
      <c r="D25" s="20">
        <v>44745</v>
      </c>
      <c r="E25" s="21" t="s">
        <v>43</v>
      </c>
      <c r="F25" s="21" t="s">
        <v>44</v>
      </c>
      <c r="G25" s="21" t="s">
        <v>48</v>
      </c>
      <c r="H25" s="22">
        <v>11.5</v>
      </c>
      <c r="I25" s="23">
        <v>0</v>
      </c>
      <c r="J25" s="24">
        <v>0.35</v>
      </c>
      <c r="K25" s="24">
        <v>0.26</v>
      </c>
      <c r="L25" s="25">
        <v>0.26</v>
      </c>
      <c r="M25" s="19">
        <v>1</v>
      </c>
      <c r="N25" s="19">
        <v>4</v>
      </c>
      <c r="O25" s="19">
        <v>5</v>
      </c>
      <c r="P25" s="19">
        <v>1</v>
      </c>
      <c r="Q25" s="19">
        <v>0</v>
      </c>
      <c r="R25" s="19">
        <v>0</v>
      </c>
      <c r="S25" s="64">
        <f>SUM(M25:R25)</f>
      </c>
      <c r="T25" s="19">
        <v>5</v>
      </c>
      <c r="U25" s="19">
        <v>6</v>
      </c>
      <c r="V25" s="19">
        <v>1</v>
      </c>
      <c r="W25" s="19">
        <v>0</v>
      </c>
      <c r="X25" s="19">
        <v>0</v>
      </c>
      <c r="Y25" s="19">
        <v>0</v>
      </c>
      <c r="Z25" s="64">
        <f>SUM(T25:Y25)</f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64">
        <f>SUM(AA25:AF25)</f>
      </c>
      <c r="AH25" s="19">
        <v>0</v>
      </c>
      <c r="AI25" s="19">
        <v>4</v>
      </c>
      <c r="AJ25" s="19">
        <v>8</v>
      </c>
      <c r="AK25" s="19">
        <v>0</v>
      </c>
      <c r="AL25" s="19">
        <v>0</v>
      </c>
      <c r="AM25" s="19">
        <v>2</v>
      </c>
      <c r="AN25" s="64">
        <f>SUM(AH25:AM25)</f>
      </c>
      <c r="AO25" s="19">
        <v>1</v>
      </c>
      <c r="AP25" s="19">
        <v>2</v>
      </c>
      <c r="AQ25" s="19">
        <v>1</v>
      </c>
      <c r="AR25" s="64">
        <f>SUM(AO25:AQ25)</f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1</v>
      </c>
      <c r="AY25" s="64">
        <f>SUM(AS25:AX25)</f>
      </c>
      <c r="AZ25" s="19">
        <v>0</v>
      </c>
      <c r="BA25" s="19">
        <v>0</v>
      </c>
      <c r="BB25" s="19">
        <v>0</v>
      </c>
      <c r="BC25" s="64">
        <f>SUM(AZ25:BB25)</f>
      </c>
      <c r="BD25" s="19">
        <f>SUM(M25:R25,T25:Y25,AA25:AF25,AH25:AM25,AO25:AQ25,AS25:AX25,AZ25:BB25)</f>
      </c>
      <c r="BE25" s="19">
        <v>4</v>
      </c>
    </row>
    <row x14ac:dyDescent="0.25" r="26" customHeight="1" ht="18.75">
      <c r="A26" s="19">
        <v>201</v>
      </c>
      <c r="B26" s="19">
        <v>10</v>
      </c>
      <c r="C26" s="19">
        <v>0</v>
      </c>
      <c r="D26" s="20">
        <v>44740</v>
      </c>
      <c r="E26" s="21" t="s">
        <v>43</v>
      </c>
      <c r="F26" s="21" t="s">
        <v>44</v>
      </c>
      <c r="G26" s="21" t="s">
        <v>48</v>
      </c>
      <c r="H26" s="22">
        <v>9</v>
      </c>
      <c r="I26" s="23">
        <v>0</v>
      </c>
      <c r="J26" s="24">
        <v>0.29</v>
      </c>
      <c r="K26" s="24">
        <v>0.23</v>
      </c>
      <c r="L26" s="25">
        <v>0.22</v>
      </c>
      <c r="M26" s="19">
        <f>SUM(3+11+3)</f>
      </c>
      <c r="N26" s="19">
        <f>SUM(19+25+26)</f>
      </c>
      <c r="O26" s="19">
        <f>SUM(18+5+2)</f>
      </c>
      <c r="P26" s="19">
        <v>0</v>
      </c>
      <c r="Q26" s="19">
        <v>0</v>
      </c>
      <c r="R26" s="19">
        <v>0</v>
      </c>
      <c r="S26" s="64">
        <f>SUM(M26:R26)</f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64">
        <f>SUM(T26:Y26)</f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64">
        <f>SUM(AA26:AF26)</f>
      </c>
      <c r="AH26" s="19">
        <v>7</v>
      </c>
      <c r="AI26" s="19">
        <v>25</v>
      </c>
      <c r="AJ26" s="19">
        <v>9</v>
      </c>
      <c r="AK26" s="19">
        <v>0</v>
      </c>
      <c r="AL26" s="19">
        <v>0</v>
      </c>
      <c r="AM26" s="19">
        <v>0</v>
      </c>
      <c r="AN26" s="64">
        <f>SUM(AH26:AM26)</f>
      </c>
      <c r="AO26" s="19">
        <v>4</v>
      </c>
      <c r="AP26" s="19">
        <v>1</v>
      </c>
      <c r="AQ26" s="19">
        <v>7</v>
      </c>
      <c r="AR26" s="64">
        <f>SUM(AO26:AQ26)</f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64">
        <f>SUM(AS26:AX26)</f>
      </c>
      <c r="AZ26" s="19">
        <v>0</v>
      </c>
      <c r="BA26" s="19">
        <v>0</v>
      </c>
      <c r="BB26" s="19">
        <v>1</v>
      </c>
      <c r="BC26" s="64">
        <f>SUM(AZ26:BB26)</f>
      </c>
      <c r="BD26" s="19">
        <f>SUM(M26:R26,T26:Y26,AA26:AF26,AH26:AM26,AO26:AQ26,AS26:AX26,AZ26:BB26)</f>
      </c>
      <c r="BE26" s="26"/>
    </row>
    <row x14ac:dyDescent="0.25" r="27" customHeight="1" ht="18.75">
      <c r="A27" s="19">
        <v>201</v>
      </c>
      <c r="B27" s="19">
        <v>10</v>
      </c>
      <c r="C27" s="19">
        <v>5</v>
      </c>
      <c r="D27" s="20">
        <v>44745</v>
      </c>
      <c r="E27" s="21" t="s">
        <v>43</v>
      </c>
      <c r="F27" s="21" t="s">
        <v>44</v>
      </c>
      <c r="G27" s="21" t="s">
        <v>48</v>
      </c>
      <c r="H27" s="22">
        <v>9</v>
      </c>
      <c r="I27" s="23">
        <v>0</v>
      </c>
      <c r="J27" s="24">
        <v>0.29</v>
      </c>
      <c r="K27" s="24">
        <v>0.23</v>
      </c>
      <c r="L27" s="25">
        <v>0.22</v>
      </c>
      <c r="M27" s="19">
        <v>0</v>
      </c>
      <c r="N27" s="19">
        <v>5</v>
      </c>
      <c r="O27" s="19">
        <v>7</v>
      </c>
      <c r="P27" s="19">
        <v>0</v>
      </c>
      <c r="Q27" s="19">
        <v>0</v>
      </c>
      <c r="R27" s="19">
        <v>0</v>
      </c>
      <c r="S27" s="64">
        <f>SUM(M27:R27)</f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64">
        <f>SUM(T27:Y27)</f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64">
        <f>SUM(AA27:AF27)</f>
      </c>
      <c r="AH27" s="19">
        <v>0</v>
      </c>
      <c r="AI27" s="19">
        <v>0</v>
      </c>
      <c r="AJ27" s="19">
        <v>1</v>
      </c>
      <c r="AK27" s="19">
        <v>0</v>
      </c>
      <c r="AL27" s="19">
        <v>0</v>
      </c>
      <c r="AM27" s="19">
        <v>3</v>
      </c>
      <c r="AN27" s="64">
        <f>SUM(AH27:AM27)</f>
      </c>
      <c r="AO27" s="19">
        <v>1</v>
      </c>
      <c r="AP27" s="19">
        <v>2</v>
      </c>
      <c r="AQ27" s="19">
        <v>3</v>
      </c>
      <c r="AR27" s="64">
        <f>SUM(AO27:AQ27)</f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64">
        <f>SUM(AS27:AX27)</f>
      </c>
      <c r="AZ27" s="19">
        <v>0</v>
      </c>
      <c r="BA27" s="19">
        <v>0</v>
      </c>
      <c r="BB27" s="19">
        <v>0</v>
      </c>
      <c r="BC27" s="64">
        <f>SUM(AZ27:BB27)</f>
      </c>
      <c r="BD27" s="19">
        <f>SUM(M27:R27,T27:Y27,AA27:AF27,AH27:AM27,AO27:AQ27,AS27:AX27,AZ27:BB27)</f>
      </c>
      <c r="BE27" s="19">
        <v>0</v>
      </c>
    </row>
    <row x14ac:dyDescent="0.25" r="28" customHeight="1" ht="18.75">
      <c r="A28" s="19">
        <v>202</v>
      </c>
      <c r="B28" s="19">
        <v>1</v>
      </c>
      <c r="C28" s="19">
        <v>0</v>
      </c>
      <c r="D28" s="20">
        <v>44732</v>
      </c>
      <c r="E28" s="21" t="s">
        <v>43</v>
      </c>
      <c r="F28" s="21" t="s">
        <v>44</v>
      </c>
      <c r="G28" s="21" t="s">
        <v>45</v>
      </c>
      <c r="H28" s="53"/>
      <c r="I28" s="23">
        <v>1</v>
      </c>
      <c r="J28" s="24">
        <v>0.32</v>
      </c>
      <c r="K28" s="24">
        <v>0.16</v>
      </c>
      <c r="L28" s="25">
        <v>0.49</v>
      </c>
      <c r="M28" s="19">
        <f>SUM(15+110+18+36+26+14+29+65+11+28+52+33+13+14+7+20+21+30+26+86)</f>
      </c>
      <c r="N28" s="19">
        <f>SUM(2+1+6+4)</f>
      </c>
      <c r="O28" s="19">
        <f>SUM(3+1+1+5+2)</f>
      </c>
      <c r="P28" s="19">
        <v>0</v>
      </c>
      <c r="Q28" s="19">
        <v>0</v>
      </c>
      <c r="R28" s="19">
        <v>0</v>
      </c>
      <c r="S28" s="64">
        <f>SUM(M28:R28)</f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64">
        <f>SUM(T28:Y28)</f>
      </c>
      <c r="AA28" s="19">
        <v>0</v>
      </c>
      <c r="AB28" s="19">
        <v>0</v>
      </c>
      <c r="AC28" s="19">
        <v>1</v>
      </c>
      <c r="AD28" s="19">
        <v>0</v>
      </c>
      <c r="AE28" s="19">
        <v>0</v>
      </c>
      <c r="AF28" s="19">
        <v>0</v>
      </c>
      <c r="AG28" s="64">
        <f>SUM(AA28:AF28)</f>
      </c>
      <c r="AH28" s="19">
        <f>SUM(2+5+15+2+5+17)</f>
      </c>
      <c r="AI28" s="19">
        <f>SUM(16+2+1)</f>
      </c>
      <c r="AJ28" s="19">
        <v>0</v>
      </c>
      <c r="AK28" s="19">
        <v>0</v>
      </c>
      <c r="AL28" s="19">
        <v>0</v>
      </c>
      <c r="AM28" s="19">
        <v>0</v>
      </c>
      <c r="AN28" s="64">
        <f>SUM(AH28:AM28)</f>
      </c>
      <c r="AO28" s="19">
        <v>3</v>
      </c>
      <c r="AP28" s="19">
        <v>1</v>
      </c>
      <c r="AQ28" s="19">
        <v>5</v>
      </c>
      <c r="AR28" s="64">
        <f>SUM(AO28:AQ28)</f>
      </c>
      <c r="AS28" s="19">
        <v>0</v>
      </c>
      <c r="AT28" s="19">
        <v>0</v>
      </c>
      <c r="AU28" s="19">
        <v>5</v>
      </c>
      <c r="AV28" s="19">
        <v>0</v>
      </c>
      <c r="AW28" s="19">
        <v>0</v>
      </c>
      <c r="AX28" s="19">
        <v>0</v>
      </c>
      <c r="AY28" s="64">
        <f>SUM(AS28:AX28)</f>
      </c>
      <c r="AZ28" s="19">
        <v>0</v>
      </c>
      <c r="BA28" s="19">
        <v>1</v>
      </c>
      <c r="BB28" s="19">
        <v>0</v>
      </c>
      <c r="BC28" s="64">
        <f>SUM(AZ28:BB28)</f>
      </c>
      <c r="BD28" s="19">
        <f>SUM(M28:R28,T28:Y28,AA28:AF28,AH28:AM28,AO28:AQ28,AS28:AX28,AZ28:BB28)</f>
      </c>
      <c r="BE28" s="26"/>
    </row>
    <row x14ac:dyDescent="0.25" r="29" customHeight="1" ht="18.75">
      <c r="A29" s="19">
        <v>202</v>
      </c>
      <c r="B29" s="19">
        <v>1</v>
      </c>
      <c r="C29" s="19">
        <v>5</v>
      </c>
      <c r="D29" s="20">
        <v>44737</v>
      </c>
      <c r="E29" s="21" t="s">
        <v>43</v>
      </c>
      <c r="F29" s="21" t="s">
        <v>44</v>
      </c>
      <c r="G29" s="21" t="s">
        <v>45</v>
      </c>
      <c r="H29" s="53"/>
      <c r="I29" s="23">
        <v>1</v>
      </c>
      <c r="J29" s="24">
        <v>0.32</v>
      </c>
      <c r="K29" s="24">
        <v>0.16</v>
      </c>
      <c r="L29" s="25">
        <v>0.49</v>
      </c>
      <c r="M29" s="19">
        <f>SUM(5+6+3+3+5+47+2+10+7+24+31+6+12+38)</f>
      </c>
      <c r="N29" s="19">
        <f>SUM(6+3+4+4+4+1+4+26+6)</f>
      </c>
      <c r="O29" s="19">
        <v>4</v>
      </c>
      <c r="P29" s="19">
        <v>9</v>
      </c>
      <c r="Q29" s="19">
        <v>5</v>
      </c>
      <c r="R29" s="19">
        <v>0</v>
      </c>
      <c r="S29" s="64">
        <f>SUM(M29:R29)</f>
      </c>
      <c r="T29" s="19">
        <v>4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64">
        <f>SUM(T29:Y29)</f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64">
        <f>SUM(AA29:AF29)</f>
      </c>
      <c r="AH29" s="19">
        <f>SUM(4+8+6+1)</f>
      </c>
      <c r="AI29" s="19">
        <v>11</v>
      </c>
      <c r="AJ29" s="19">
        <v>2</v>
      </c>
      <c r="AK29" s="19">
        <v>2</v>
      </c>
      <c r="AL29" s="19">
        <v>0</v>
      </c>
      <c r="AM29" s="19">
        <v>0</v>
      </c>
      <c r="AN29" s="64">
        <f>SUM(AH29:AM29)</f>
      </c>
      <c r="AO29" s="19">
        <v>1</v>
      </c>
      <c r="AP29" s="19">
        <v>0</v>
      </c>
      <c r="AQ29" s="19">
        <v>4</v>
      </c>
      <c r="AR29" s="64">
        <f>SUM(AO29:AQ29)</f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64">
        <f>SUM(AS29:AX29)</f>
      </c>
      <c r="AZ29" s="19">
        <v>2</v>
      </c>
      <c r="BA29" s="19">
        <v>0</v>
      </c>
      <c r="BB29" s="19">
        <v>4</v>
      </c>
      <c r="BC29" s="64">
        <f>SUM(AZ29:BB29)</f>
      </c>
      <c r="BD29" s="19">
        <f>SUM(M29:R29,T29:Y29,AA29:AF29,AH29:AM29,AO29:AQ29,AS29:AX29,AZ29:BB29)</f>
      </c>
      <c r="BE29" s="19">
        <v>0</v>
      </c>
    </row>
    <row x14ac:dyDescent="0.25" r="30" customHeight="1" ht="18.75">
      <c r="A30" s="19">
        <v>203</v>
      </c>
      <c r="B30" s="19">
        <v>7</v>
      </c>
      <c r="C30" s="19">
        <v>0</v>
      </c>
      <c r="D30" s="20">
        <v>44740</v>
      </c>
      <c r="E30" s="21" t="s">
        <v>47</v>
      </c>
      <c r="F30" s="1" t="s">
        <v>44</v>
      </c>
      <c r="G30" s="21" t="s">
        <v>48</v>
      </c>
      <c r="H30" s="22">
        <v>6</v>
      </c>
      <c r="I30" s="54"/>
      <c r="J30" s="55"/>
      <c r="K30" s="55"/>
      <c r="L30" s="56"/>
      <c r="M30" s="19">
        <f>SUM(4+5+10)</f>
      </c>
      <c r="N30" s="19">
        <f>SUM(15+32+12)</f>
      </c>
      <c r="O30" s="19">
        <f>SUM(5)</f>
      </c>
      <c r="P30" s="19">
        <v>0</v>
      </c>
      <c r="Q30" s="19">
        <v>0</v>
      </c>
      <c r="R30" s="19">
        <v>0</v>
      </c>
      <c r="S30" s="64">
        <f>SUM(M30:R30)</f>
      </c>
      <c r="T30" s="19">
        <v>11</v>
      </c>
      <c r="U30" s="19">
        <v>5</v>
      </c>
      <c r="V30" s="19">
        <v>0</v>
      </c>
      <c r="W30" s="19">
        <v>0</v>
      </c>
      <c r="X30" s="19">
        <v>0</v>
      </c>
      <c r="Y30" s="19">
        <v>0</v>
      </c>
      <c r="Z30" s="64">
        <f>SUM(T30:Y30)</f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64">
        <f>SUM(AA30:AF30)</f>
      </c>
      <c r="AH30" s="19">
        <v>1</v>
      </c>
      <c r="AI30" s="19">
        <v>1</v>
      </c>
      <c r="AJ30" s="19">
        <v>1</v>
      </c>
      <c r="AK30" s="19">
        <v>0</v>
      </c>
      <c r="AL30" s="19">
        <v>0</v>
      </c>
      <c r="AM30" s="19">
        <v>0</v>
      </c>
      <c r="AN30" s="64">
        <f>SUM(AH30:AM30)</f>
      </c>
      <c r="AO30" s="19">
        <v>6</v>
      </c>
      <c r="AP30" s="19">
        <v>8</v>
      </c>
      <c r="AQ30" s="19">
        <v>9</v>
      </c>
      <c r="AR30" s="64">
        <f>SUM(AO30:AQ30)</f>
      </c>
      <c r="AS30" s="19">
        <v>0</v>
      </c>
      <c r="AT30" s="19">
        <v>2</v>
      </c>
      <c r="AU30" s="19">
        <v>0</v>
      </c>
      <c r="AV30" s="19">
        <v>0</v>
      </c>
      <c r="AW30" s="19">
        <v>0</v>
      </c>
      <c r="AX30" s="19">
        <v>0</v>
      </c>
      <c r="AY30" s="64">
        <f>SUM(AS30:AX30)</f>
      </c>
      <c r="AZ30" s="19">
        <v>0</v>
      </c>
      <c r="BA30" s="19">
        <v>0</v>
      </c>
      <c r="BB30" s="19">
        <v>6</v>
      </c>
      <c r="BC30" s="64">
        <f>SUM(AZ30:BB30)</f>
      </c>
      <c r="BD30" s="19">
        <f>SUM(M30:R30,T30:Y30,AA30:AF30,AH30:AM30,AO30:AQ30,AS30:AX30,AZ30:BB30)</f>
      </c>
      <c r="BE30" s="26"/>
    </row>
    <row x14ac:dyDescent="0.25" r="31" customHeight="1" ht="18.75">
      <c r="A31" s="19">
        <v>203</v>
      </c>
      <c r="B31" s="19">
        <v>7</v>
      </c>
      <c r="C31" s="19">
        <v>5</v>
      </c>
      <c r="D31" s="20">
        <v>44745</v>
      </c>
      <c r="E31" s="21" t="s">
        <v>47</v>
      </c>
      <c r="F31" s="1" t="s">
        <v>44</v>
      </c>
      <c r="G31" s="21" t="s">
        <v>48</v>
      </c>
      <c r="H31" s="22">
        <v>6</v>
      </c>
      <c r="I31" s="54"/>
      <c r="J31" s="55"/>
      <c r="K31" s="55"/>
      <c r="L31" s="56"/>
      <c r="M31" s="19">
        <v>0</v>
      </c>
      <c r="N31" s="19">
        <v>0</v>
      </c>
      <c r="O31" s="19">
        <v>1</v>
      </c>
      <c r="P31" s="19">
        <v>0</v>
      </c>
      <c r="Q31" s="19">
        <v>1</v>
      </c>
      <c r="R31" s="19">
        <v>0</v>
      </c>
      <c r="S31" s="64">
        <f>SUM(M31:R31)</f>
      </c>
      <c r="T31" s="19">
        <v>1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64">
        <f>SUM(T31:Y31)</f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64">
        <f>SUM(AA31:AF31)</f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64">
        <f>SUM(AH31:AM31)</f>
      </c>
      <c r="AO31" s="19">
        <v>1</v>
      </c>
      <c r="AP31" s="19">
        <v>3</v>
      </c>
      <c r="AQ31" s="19">
        <v>7</v>
      </c>
      <c r="AR31" s="64">
        <f>SUM(AO31:AQ31)</f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64">
        <f>SUM(AS31:AX31)</f>
      </c>
      <c r="AZ31" s="19">
        <v>0</v>
      </c>
      <c r="BA31" s="19">
        <v>0</v>
      </c>
      <c r="BB31" s="19">
        <v>1</v>
      </c>
      <c r="BC31" s="64">
        <f>SUM(AZ31:BB31)</f>
      </c>
      <c r="BD31" s="19">
        <f>SUM(M31:R31,T31:Y31,AA31:AF31,AH31:AM31,AO31:AQ31,AS31:AX31,AZ31:BB31)</f>
      </c>
      <c r="BE31" s="19">
        <v>1</v>
      </c>
    </row>
    <row x14ac:dyDescent="0.25" r="32" customHeight="1" ht="18.75">
      <c r="A32" s="19">
        <v>204</v>
      </c>
      <c r="B32" s="19">
        <v>6</v>
      </c>
      <c r="C32" s="19">
        <v>0</v>
      </c>
      <c r="D32" s="20">
        <v>44740</v>
      </c>
      <c r="E32" s="21" t="s">
        <v>43</v>
      </c>
      <c r="F32" s="21" t="s">
        <v>44</v>
      </c>
      <c r="G32" s="21" t="s">
        <v>48</v>
      </c>
      <c r="H32" s="22">
        <v>9</v>
      </c>
      <c r="I32" s="23">
        <v>0</v>
      </c>
      <c r="J32" s="24">
        <v>30</v>
      </c>
      <c r="K32" s="24">
        <v>0.25</v>
      </c>
      <c r="L32" s="25">
        <v>0.16</v>
      </c>
      <c r="M32" s="19">
        <v>2</v>
      </c>
      <c r="N32" s="19">
        <f>SUM(7+9+8)</f>
      </c>
      <c r="O32" s="19">
        <v>1</v>
      </c>
      <c r="P32" s="19">
        <v>0</v>
      </c>
      <c r="Q32" s="19">
        <v>0</v>
      </c>
      <c r="R32" s="19">
        <v>0</v>
      </c>
      <c r="S32" s="64">
        <f>SUM(M32:R32)</f>
      </c>
      <c r="T32" s="19">
        <v>2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64">
        <f>SUM(T32:Y32)</f>
      </c>
      <c r="AA32" s="19">
        <v>0</v>
      </c>
      <c r="AB32" s="19">
        <v>1</v>
      </c>
      <c r="AC32" s="19">
        <v>0</v>
      </c>
      <c r="AD32" s="19">
        <v>0</v>
      </c>
      <c r="AE32" s="19">
        <v>0</v>
      </c>
      <c r="AF32" s="19">
        <v>0</v>
      </c>
      <c r="AG32" s="64">
        <f>SUM(AA32:AF32)</f>
      </c>
      <c r="AH32" s="19">
        <v>9</v>
      </c>
      <c r="AI32" s="19">
        <f>SUM(17+43+10)</f>
      </c>
      <c r="AJ32" s="19">
        <v>7</v>
      </c>
      <c r="AK32" s="19">
        <v>0</v>
      </c>
      <c r="AL32" s="19">
        <v>0</v>
      </c>
      <c r="AM32" s="19">
        <v>0</v>
      </c>
      <c r="AN32" s="64">
        <f>SUM(AH32:AM32)</f>
      </c>
      <c r="AO32" s="19">
        <v>0</v>
      </c>
      <c r="AP32" s="19">
        <v>1</v>
      </c>
      <c r="AQ32" s="19">
        <v>0</v>
      </c>
      <c r="AR32" s="64">
        <f>SUM(AO32:AQ32)</f>
      </c>
      <c r="AS32" s="19">
        <f>SUM(2+7)</f>
      </c>
      <c r="AT32" s="19">
        <f>SUM(66+39+22)</f>
      </c>
      <c r="AU32" s="19">
        <v>29</v>
      </c>
      <c r="AV32" s="19">
        <v>0</v>
      </c>
      <c r="AW32" s="19">
        <v>0</v>
      </c>
      <c r="AX32" s="19">
        <v>0</v>
      </c>
      <c r="AY32" s="64">
        <f>SUM(AS32:AX32)</f>
      </c>
      <c r="AZ32" s="19">
        <v>14</v>
      </c>
      <c r="BA32" s="19">
        <v>17</v>
      </c>
      <c r="BB32" s="19">
        <v>7</v>
      </c>
      <c r="BC32" s="64">
        <f>SUM(AZ32:BB32)</f>
      </c>
      <c r="BD32" s="19">
        <f>SUM(M32:R32,T32:Y32,AA32:AF32,AH32:AM32,AO32:AQ32,AS32:AX32,AZ32:BB32)</f>
      </c>
      <c r="BE32" s="26"/>
    </row>
    <row x14ac:dyDescent="0.25" r="33" customHeight="1" ht="18.75">
      <c r="A33" s="19">
        <v>204</v>
      </c>
      <c r="B33" s="19">
        <v>6</v>
      </c>
      <c r="C33" s="19">
        <v>5</v>
      </c>
      <c r="D33" s="20">
        <v>44745</v>
      </c>
      <c r="E33" s="21" t="s">
        <v>43</v>
      </c>
      <c r="F33" s="21" t="s">
        <v>44</v>
      </c>
      <c r="G33" s="21" t="s">
        <v>48</v>
      </c>
      <c r="H33" s="22">
        <v>9</v>
      </c>
      <c r="I33" s="23">
        <v>0</v>
      </c>
      <c r="J33" s="24">
        <v>30</v>
      </c>
      <c r="K33" s="24">
        <v>0.25</v>
      </c>
      <c r="L33" s="25">
        <v>0.16</v>
      </c>
      <c r="M33" s="19">
        <v>1</v>
      </c>
      <c r="N33" s="19">
        <v>2</v>
      </c>
      <c r="O33" s="19">
        <v>1</v>
      </c>
      <c r="P33" s="19">
        <v>0</v>
      </c>
      <c r="Q33" s="19">
        <v>0</v>
      </c>
      <c r="R33" s="19">
        <v>1</v>
      </c>
      <c r="S33" s="64">
        <f>SUM(M33:R33)</f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64">
        <f>SUM(T33:Y33)</f>
      </c>
      <c r="AA33" s="19">
        <v>0</v>
      </c>
      <c r="AB33" s="19">
        <v>0</v>
      </c>
      <c r="AC33" s="19">
        <v>1</v>
      </c>
      <c r="AD33" s="19">
        <v>0</v>
      </c>
      <c r="AE33" s="19">
        <v>0</v>
      </c>
      <c r="AF33" s="19">
        <v>0</v>
      </c>
      <c r="AG33" s="64">
        <f>SUM(AA33:AF33)</f>
      </c>
      <c r="AH33" s="19">
        <v>0</v>
      </c>
      <c r="AI33" s="19">
        <v>2</v>
      </c>
      <c r="AJ33" s="19">
        <v>3</v>
      </c>
      <c r="AK33" s="19">
        <v>0</v>
      </c>
      <c r="AL33" s="19">
        <v>0</v>
      </c>
      <c r="AM33" s="19">
        <v>0</v>
      </c>
      <c r="AN33" s="64">
        <f>SUM(AH33:AM33)</f>
      </c>
      <c r="AO33" s="19">
        <v>0</v>
      </c>
      <c r="AP33" s="19">
        <v>0</v>
      </c>
      <c r="AQ33" s="19">
        <v>0</v>
      </c>
      <c r="AR33" s="64">
        <f>SUM(AO33:AQ33)</f>
      </c>
      <c r="AS33" s="19">
        <v>1</v>
      </c>
      <c r="AT33" s="19">
        <v>4</v>
      </c>
      <c r="AU33" s="19">
        <v>3</v>
      </c>
      <c r="AV33" s="19">
        <v>0</v>
      </c>
      <c r="AW33" s="19">
        <v>0</v>
      </c>
      <c r="AX33" s="19">
        <v>1</v>
      </c>
      <c r="AY33" s="64">
        <f>SUM(AS33:AX33)</f>
      </c>
      <c r="AZ33" s="19">
        <v>0</v>
      </c>
      <c r="BA33" s="19">
        <v>0</v>
      </c>
      <c r="BB33" s="19">
        <v>0</v>
      </c>
      <c r="BC33" s="64">
        <f>SUM(AZ33:BB33)</f>
      </c>
      <c r="BD33" s="19">
        <f>SUM(M33:R33,T33:Y33,AA33:AF33,AH33:AM33,AO33:AQ33,AS33:AX33,AZ33:BB33)</f>
      </c>
      <c r="BE33" s="19">
        <v>1</v>
      </c>
    </row>
    <row x14ac:dyDescent="0.25" r="34" customHeight="1" ht="18.75">
      <c r="A34" s="19">
        <v>205</v>
      </c>
      <c r="B34" s="19">
        <v>2</v>
      </c>
      <c r="C34" s="19">
        <v>0</v>
      </c>
      <c r="D34" s="20">
        <v>44732</v>
      </c>
      <c r="E34" s="21" t="s">
        <v>43</v>
      </c>
      <c r="F34" s="21" t="s">
        <v>44</v>
      </c>
      <c r="G34" s="21" t="s">
        <v>45</v>
      </c>
      <c r="H34" s="53"/>
      <c r="I34" s="23">
        <v>5</v>
      </c>
      <c r="J34" s="24">
        <v>0.35</v>
      </c>
      <c r="K34" s="24">
        <v>0.1</v>
      </c>
      <c r="L34" s="25">
        <v>0.71</v>
      </c>
      <c r="M34" s="19">
        <f>SUM(4+10+14+11+30+8+45)</f>
      </c>
      <c r="N34" s="19">
        <f>SUM(4+2+2+1)</f>
      </c>
      <c r="O34" s="19">
        <v>0</v>
      </c>
      <c r="P34" s="19">
        <v>0</v>
      </c>
      <c r="Q34" s="19">
        <v>0</v>
      </c>
      <c r="R34" s="19">
        <v>0</v>
      </c>
      <c r="S34" s="64">
        <f>SUM(M34:R34)</f>
      </c>
      <c r="T34" s="19">
        <v>5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64">
        <f>SUM(T34:Y34)</f>
      </c>
      <c r="AA34" s="19">
        <v>0</v>
      </c>
      <c r="AB34" s="19">
        <v>1</v>
      </c>
      <c r="AC34" s="19">
        <v>0</v>
      </c>
      <c r="AD34" s="19">
        <v>0</v>
      </c>
      <c r="AE34" s="19">
        <v>0</v>
      </c>
      <c r="AF34" s="19">
        <v>0</v>
      </c>
      <c r="AG34" s="64">
        <f>SUM(AA34:AF34)</f>
      </c>
      <c r="AH34" s="19">
        <f>SUM(32+34+18+71+26+20+22+20+9+12+16+62+9+31+39+24)</f>
      </c>
      <c r="AI34" s="19">
        <f>SUM(4+4+5+20+5)</f>
      </c>
      <c r="AJ34" s="19">
        <v>3</v>
      </c>
      <c r="AK34" s="19">
        <v>0</v>
      </c>
      <c r="AL34" s="19">
        <v>0</v>
      </c>
      <c r="AM34" s="19">
        <v>0</v>
      </c>
      <c r="AN34" s="64">
        <f>SUM(AH34:AM34)</f>
      </c>
      <c r="AO34" s="19">
        <v>0</v>
      </c>
      <c r="AP34" s="19">
        <v>0</v>
      </c>
      <c r="AQ34" s="19">
        <v>0</v>
      </c>
      <c r="AR34" s="64">
        <f>SUM(AO34:AQ34)</f>
      </c>
      <c r="AS34" s="19">
        <f>SUM(5+12+10+7)</f>
      </c>
      <c r="AT34" s="19">
        <v>6</v>
      </c>
      <c r="AU34" s="19">
        <v>20</v>
      </c>
      <c r="AV34" s="19">
        <v>0</v>
      </c>
      <c r="AW34" s="19">
        <v>0</v>
      </c>
      <c r="AX34" s="19">
        <v>0</v>
      </c>
      <c r="AY34" s="64">
        <f>SUM(AS34:AX34)</f>
      </c>
      <c r="AZ34" s="19">
        <v>30</v>
      </c>
      <c r="BA34" s="19">
        <v>2</v>
      </c>
      <c r="BB34" s="19">
        <v>5</v>
      </c>
      <c r="BC34" s="64">
        <f>SUM(AZ34:BB34)</f>
      </c>
      <c r="BD34" s="19">
        <f>SUM(M34:R34,T34:Y34,AA34:AF34,AH34:AM34,AO34:AQ34,AS34:AX34,AZ34:BB34)</f>
      </c>
      <c r="BE34" s="26"/>
    </row>
    <row x14ac:dyDescent="0.25" r="35" customHeight="1" ht="18.75">
      <c r="A35" s="19">
        <v>205</v>
      </c>
      <c r="B35" s="19">
        <v>2</v>
      </c>
      <c r="C35" s="19">
        <v>5</v>
      </c>
      <c r="D35" s="20">
        <v>44737</v>
      </c>
      <c r="E35" s="21" t="s">
        <v>43</v>
      </c>
      <c r="F35" s="21" t="s">
        <v>44</v>
      </c>
      <c r="G35" s="21" t="s">
        <v>45</v>
      </c>
      <c r="H35" s="53"/>
      <c r="I35" s="23">
        <v>5</v>
      </c>
      <c r="J35" s="24">
        <v>0.35</v>
      </c>
      <c r="K35" s="24">
        <v>0.1</v>
      </c>
      <c r="L35" s="25">
        <v>0.71</v>
      </c>
      <c r="M35" s="19">
        <f>SUM(9+18+7+2+3+17+12+9)</f>
      </c>
      <c r="N35" s="19">
        <f>SUM(6+2+27+1)</f>
      </c>
      <c r="O35" s="19">
        <v>4</v>
      </c>
      <c r="P35" s="19">
        <v>0</v>
      </c>
      <c r="Q35" s="19">
        <v>3</v>
      </c>
      <c r="R35" s="19">
        <v>0</v>
      </c>
      <c r="S35" s="64">
        <f>SUM(M35:R35)</f>
      </c>
      <c r="T35" s="19">
        <v>18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64">
        <f>SUM(T35:Y35)</f>
      </c>
      <c r="AA35" s="19">
        <v>0</v>
      </c>
      <c r="AB35" s="19">
        <v>1</v>
      </c>
      <c r="AC35" s="19">
        <v>1</v>
      </c>
      <c r="AD35" s="19">
        <v>0</v>
      </c>
      <c r="AE35" s="19">
        <v>0</v>
      </c>
      <c r="AF35" s="19">
        <v>1</v>
      </c>
      <c r="AG35" s="64">
        <f>SUM(AA35:AF35)</f>
      </c>
      <c r="AH35" s="19">
        <f>SUM(14+13+34+9+2+7+11+15+18+2)</f>
      </c>
      <c r="AI35" s="19">
        <f>SUM(42+4+13+58+1+32)</f>
      </c>
      <c r="AJ35" s="19">
        <v>16</v>
      </c>
      <c r="AK35" s="19">
        <v>1</v>
      </c>
      <c r="AL35" s="19">
        <v>9</v>
      </c>
      <c r="AM35" s="19">
        <v>1</v>
      </c>
      <c r="AN35" s="64">
        <f>SUM(AH35:AM35)</f>
      </c>
      <c r="AO35" s="19">
        <v>1</v>
      </c>
      <c r="AP35" s="19">
        <v>0</v>
      </c>
      <c r="AQ35" s="19">
        <v>1</v>
      </c>
      <c r="AR35" s="64">
        <f>SUM(AO35:AQ35)</f>
      </c>
      <c r="AS35" s="19">
        <v>14</v>
      </c>
      <c r="AT35" s="19">
        <v>21</v>
      </c>
      <c r="AU35" s="19">
        <v>10</v>
      </c>
      <c r="AV35" s="19">
        <v>2</v>
      </c>
      <c r="AW35" s="19">
        <v>0</v>
      </c>
      <c r="AX35" s="19">
        <v>0</v>
      </c>
      <c r="AY35" s="64">
        <f>SUM(AS35:AX35)</f>
      </c>
      <c r="AZ35" s="19">
        <v>2</v>
      </c>
      <c r="BA35" s="19">
        <v>2</v>
      </c>
      <c r="BB35" s="19">
        <v>0</v>
      </c>
      <c r="BC35" s="64">
        <f>SUM(AZ35:BB35)</f>
      </c>
      <c r="BD35" s="19">
        <f>SUM(M35:R35,T35:Y35,AA35:AF35,AH35:AM35,AO35:AQ35,AS35:AX35,AZ35:BB35)</f>
      </c>
      <c r="BE35" s="19">
        <v>1</v>
      </c>
    </row>
    <row x14ac:dyDescent="0.25" r="36" customHeight="1" ht="18.75">
      <c r="A36" s="19">
        <v>206</v>
      </c>
      <c r="B36" s="19">
        <v>12</v>
      </c>
      <c r="C36" s="19">
        <v>0</v>
      </c>
      <c r="D36" s="20">
        <v>44740</v>
      </c>
      <c r="E36" s="21" t="s">
        <v>43</v>
      </c>
      <c r="F36" s="1" t="s">
        <v>44</v>
      </c>
      <c r="G36" s="21" t="s">
        <v>48</v>
      </c>
      <c r="H36" s="22">
        <v>11.5</v>
      </c>
      <c r="I36" s="23">
        <v>0</v>
      </c>
      <c r="J36" s="24">
        <v>0.32</v>
      </c>
      <c r="K36" s="24">
        <v>0.28</v>
      </c>
      <c r="L36" s="25">
        <v>0.11</v>
      </c>
      <c r="M36" s="19">
        <f>SUM(20+15+10+19)</f>
      </c>
      <c r="N36" s="19">
        <f>SUM(59+35+67+32+28+13+51+21+12)</f>
      </c>
      <c r="O36" s="19">
        <f>SUM(7+4+4)</f>
      </c>
      <c r="P36" s="19">
        <v>0</v>
      </c>
      <c r="Q36" s="19">
        <v>0</v>
      </c>
      <c r="R36" s="19">
        <v>0</v>
      </c>
      <c r="S36" s="64">
        <f>SUM(M36:R36)</f>
      </c>
      <c r="T36" s="19">
        <v>7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64">
        <f>SUM(T36:Y36)</f>
      </c>
      <c r="AA36" s="19">
        <v>4</v>
      </c>
      <c r="AB36" s="19">
        <v>4</v>
      </c>
      <c r="AC36" s="19">
        <v>4</v>
      </c>
      <c r="AD36" s="19">
        <v>0</v>
      </c>
      <c r="AE36" s="19">
        <v>0</v>
      </c>
      <c r="AF36" s="19">
        <v>0</v>
      </c>
      <c r="AG36" s="64">
        <f>SUM(AA36:AF36)</f>
      </c>
      <c r="AH36" s="19">
        <v>4</v>
      </c>
      <c r="AI36" s="19">
        <v>13</v>
      </c>
      <c r="AJ36" s="19">
        <v>2</v>
      </c>
      <c r="AK36" s="19">
        <v>0</v>
      </c>
      <c r="AL36" s="19">
        <v>0</v>
      </c>
      <c r="AM36" s="19">
        <v>0</v>
      </c>
      <c r="AN36" s="64">
        <f>SUM(AH36:AM36)</f>
      </c>
      <c r="AO36" s="19">
        <v>0</v>
      </c>
      <c r="AP36" s="19">
        <v>0</v>
      </c>
      <c r="AQ36" s="19">
        <v>0</v>
      </c>
      <c r="AR36" s="64">
        <f>SUM(AO36:AQ36)</f>
      </c>
      <c r="AS36" s="19">
        <f>SUM(6+38+4)</f>
      </c>
      <c r="AT36" s="19">
        <f>SUM(14+4+42+30)</f>
      </c>
      <c r="AU36" s="19">
        <f>SUM(12+31+18)</f>
      </c>
      <c r="AV36" s="19">
        <v>0</v>
      </c>
      <c r="AW36" s="19">
        <v>0</v>
      </c>
      <c r="AX36" s="19">
        <v>0</v>
      </c>
      <c r="AY36" s="64">
        <f>SUM(AS36:AX36)</f>
      </c>
      <c r="AZ36" s="19">
        <v>0</v>
      </c>
      <c r="BA36" s="19">
        <v>0</v>
      </c>
      <c r="BB36" s="19">
        <v>0</v>
      </c>
      <c r="BC36" s="64">
        <f>SUM(AZ36:BB36)</f>
      </c>
      <c r="BD36" s="19">
        <f>SUM(M36:R36,T36:Y36,AA36:AF36,AH36:AM36,AO36:AQ36,AS36:AX36,AZ36:BB36)</f>
      </c>
      <c r="BE36" s="26"/>
    </row>
    <row x14ac:dyDescent="0.25" r="37" customHeight="1" ht="18.75">
      <c r="A37" s="19">
        <v>206</v>
      </c>
      <c r="B37" s="19">
        <v>12</v>
      </c>
      <c r="C37" s="19">
        <v>5</v>
      </c>
      <c r="D37" s="20">
        <v>44745</v>
      </c>
      <c r="E37" s="21" t="s">
        <v>43</v>
      </c>
      <c r="F37" s="1" t="s">
        <v>44</v>
      </c>
      <c r="G37" s="21" t="s">
        <v>48</v>
      </c>
      <c r="H37" s="22">
        <v>11.5</v>
      </c>
      <c r="I37" s="23">
        <v>0</v>
      </c>
      <c r="J37" s="24">
        <v>0.32</v>
      </c>
      <c r="K37" s="24">
        <v>0.28</v>
      </c>
      <c r="L37" s="25">
        <v>0.11</v>
      </c>
      <c r="M37" s="19">
        <v>4</v>
      </c>
      <c r="N37" s="19">
        <v>12</v>
      </c>
      <c r="O37" s="19">
        <v>10</v>
      </c>
      <c r="P37" s="19">
        <v>1</v>
      </c>
      <c r="Q37" s="19">
        <v>1</v>
      </c>
      <c r="R37" s="19">
        <v>2</v>
      </c>
      <c r="S37" s="64">
        <f>SUM(M37:R37)</f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64">
        <f>SUM(T37:Y37)</f>
      </c>
      <c r="AA37" s="19">
        <v>3</v>
      </c>
      <c r="AB37" s="19">
        <v>0</v>
      </c>
      <c r="AC37" s="19">
        <v>3</v>
      </c>
      <c r="AD37" s="19">
        <v>0</v>
      </c>
      <c r="AE37" s="19">
        <v>0</v>
      </c>
      <c r="AF37" s="19">
        <v>0</v>
      </c>
      <c r="AG37" s="64">
        <f>SUM(AA37:AF37)</f>
      </c>
      <c r="AH37" s="19">
        <v>0</v>
      </c>
      <c r="AI37" s="19">
        <v>2</v>
      </c>
      <c r="AJ37" s="19">
        <v>0</v>
      </c>
      <c r="AK37" s="19">
        <v>0</v>
      </c>
      <c r="AL37" s="19">
        <v>0</v>
      </c>
      <c r="AM37" s="19">
        <v>0</v>
      </c>
      <c r="AN37" s="64">
        <f>SUM(AH37:AM37)</f>
      </c>
      <c r="AO37" s="19">
        <v>0</v>
      </c>
      <c r="AP37" s="19">
        <v>0</v>
      </c>
      <c r="AQ37" s="19">
        <v>0</v>
      </c>
      <c r="AR37" s="64">
        <f>SUM(AO37:AQ37)</f>
      </c>
      <c r="AS37" s="19">
        <v>1</v>
      </c>
      <c r="AT37" s="19">
        <v>23</v>
      </c>
      <c r="AU37" s="19">
        <v>5</v>
      </c>
      <c r="AV37" s="19">
        <v>0</v>
      </c>
      <c r="AW37" s="19">
        <v>0</v>
      </c>
      <c r="AX37" s="19">
        <v>3</v>
      </c>
      <c r="AY37" s="64">
        <f>SUM(AS37:AX37)</f>
      </c>
      <c r="AZ37" s="19">
        <v>0</v>
      </c>
      <c r="BA37" s="19">
        <v>0</v>
      </c>
      <c r="BB37" s="19">
        <v>0</v>
      </c>
      <c r="BC37" s="64">
        <f>SUM(AZ37:BB37)</f>
      </c>
      <c r="BD37" s="19">
        <f>SUM(M37:R37,T37:Y37,AA37:AF37,AH37:AM37,AO37:AQ37,AS37:AX37,AZ37:BB37)</f>
      </c>
      <c r="BE37" s="19">
        <v>0</v>
      </c>
    </row>
    <row x14ac:dyDescent="0.25" r="38" customHeight="1" ht="18.75">
      <c r="A38" s="19">
        <v>207</v>
      </c>
      <c r="B38" s="19">
        <v>8</v>
      </c>
      <c r="C38" s="19">
        <v>0</v>
      </c>
      <c r="D38" s="20">
        <v>44740</v>
      </c>
      <c r="E38" s="21" t="s">
        <v>47</v>
      </c>
      <c r="F38" s="1" t="s">
        <v>44</v>
      </c>
      <c r="G38" s="21" t="s">
        <v>48</v>
      </c>
      <c r="H38" s="22">
        <v>9</v>
      </c>
      <c r="I38" s="54"/>
      <c r="J38" s="55"/>
      <c r="K38" s="55"/>
      <c r="L38" s="56"/>
      <c r="M38" s="19">
        <f>SUM(17+14+15)</f>
      </c>
      <c r="N38" s="19">
        <f>SUM(24+21+28)</f>
      </c>
      <c r="O38" s="19">
        <f>SUM(9+1+6)</f>
      </c>
      <c r="P38" s="19">
        <v>0</v>
      </c>
      <c r="Q38" s="19">
        <v>0</v>
      </c>
      <c r="R38" s="19">
        <v>0</v>
      </c>
      <c r="S38" s="64">
        <f>SUM(M38:R38)</f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64">
        <f>SUM(T38:Y38)</f>
      </c>
      <c r="AA38" s="19">
        <v>3</v>
      </c>
      <c r="AB38" s="19">
        <v>3</v>
      </c>
      <c r="AC38" s="19">
        <v>5</v>
      </c>
      <c r="AD38" s="19">
        <v>0</v>
      </c>
      <c r="AE38" s="19">
        <v>0</v>
      </c>
      <c r="AF38" s="19">
        <v>0</v>
      </c>
      <c r="AG38" s="64">
        <f>SUM(AA38:AF38)</f>
      </c>
      <c r="AH38" s="19">
        <f>SUM(8)</f>
      </c>
      <c r="AI38" s="19">
        <f>SUM(17+12+6)</f>
      </c>
      <c r="AJ38" s="19">
        <v>9</v>
      </c>
      <c r="AK38" s="19">
        <v>0</v>
      </c>
      <c r="AL38" s="19">
        <v>0</v>
      </c>
      <c r="AM38" s="19">
        <v>0</v>
      </c>
      <c r="AN38" s="64">
        <f>SUM(AH38:AM38)</f>
      </c>
      <c r="AO38" s="19">
        <v>1</v>
      </c>
      <c r="AP38" s="19">
        <v>0</v>
      </c>
      <c r="AQ38" s="19">
        <v>1</v>
      </c>
      <c r="AR38" s="64">
        <f>SUM(AO38:AQ38)</f>
      </c>
      <c r="AS38" s="19">
        <f>SUM(4+10+1)</f>
      </c>
      <c r="AT38" s="19">
        <f>SUM(4+8)</f>
      </c>
      <c r="AU38" s="19">
        <f>SUM(9+32+26)</f>
      </c>
      <c r="AV38" s="19">
        <v>0</v>
      </c>
      <c r="AW38" s="19">
        <v>0</v>
      </c>
      <c r="AX38" s="19">
        <v>0</v>
      </c>
      <c r="AY38" s="64">
        <f>SUM(AS38:AX38)</f>
      </c>
      <c r="AZ38" s="19">
        <v>0</v>
      </c>
      <c r="BA38" s="19">
        <v>0</v>
      </c>
      <c r="BB38" s="19">
        <v>0</v>
      </c>
      <c r="BC38" s="64">
        <f>SUM(AZ38:BB38)</f>
      </c>
      <c r="BD38" s="19">
        <f>SUM(M38:R38,T38:Y38,AA38:AF38,AH38:AM38,AO38:AQ38,AS38:AX38,AZ38:BB38)</f>
      </c>
      <c r="BE38" s="26"/>
    </row>
    <row x14ac:dyDescent="0.25" r="39" customHeight="1" ht="18.75">
      <c r="A39" s="19">
        <v>207</v>
      </c>
      <c r="B39" s="19">
        <v>8</v>
      </c>
      <c r="C39" s="19">
        <v>5</v>
      </c>
      <c r="D39" s="20">
        <v>44745</v>
      </c>
      <c r="E39" s="21" t="s">
        <v>47</v>
      </c>
      <c r="F39" s="1" t="s">
        <v>44</v>
      </c>
      <c r="G39" s="21" t="s">
        <v>48</v>
      </c>
      <c r="H39" s="22">
        <v>9</v>
      </c>
      <c r="I39" s="54"/>
      <c r="J39" s="55"/>
      <c r="K39" s="55"/>
      <c r="L39" s="56"/>
      <c r="M39" s="19">
        <v>0</v>
      </c>
      <c r="N39" s="19">
        <v>2</v>
      </c>
      <c r="O39" s="19">
        <v>1</v>
      </c>
      <c r="P39" s="19">
        <v>0</v>
      </c>
      <c r="Q39" s="19">
        <v>0</v>
      </c>
      <c r="R39" s="19">
        <v>0</v>
      </c>
      <c r="S39" s="64">
        <f>SUM(M39:R39)</f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64">
        <f>SUM(T39:Y39)</f>
      </c>
      <c r="AA39" s="19">
        <v>0</v>
      </c>
      <c r="AB39" s="19">
        <v>2</v>
      </c>
      <c r="AC39" s="19">
        <v>3</v>
      </c>
      <c r="AD39" s="19">
        <v>0</v>
      </c>
      <c r="AE39" s="19">
        <v>0</v>
      </c>
      <c r="AF39" s="19">
        <v>1</v>
      </c>
      <c r="AG39" s="64">
        <f>SUM(AA39:AF39)</f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64">
        <f>SUM(AH39:AM39)</f>
      </c>
      <c r="AO39" s="19">
        <v>0</v>
      </c>
      <c r="AP39" s="19">
        <v>0</v>
      </c>
      <c r="AQ39" s="19">
        <v>0</v>
      </c>
      <c r="AR39" s="64">
        <f>SUM(AO39:AQ39)</f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64">
        <f>SUM(AS39:AX39)</f>
      </c>
      <c r="AZ39" s="19">
        <v>1</v>
      </c>
      <c r="BA39" s="19">
        <v>0</v>
      </c>
      <c r="BB39" s="19">
        <v>0</v>
      </c>
      <c r="BC39" s="64">
        <f>SUM(AZ39:BB39)</f>
      </c>
      <c r="BD39" s="19">
        <f>SUM(M39:R39,T39:Y39,AA39:AF39,AH39:AM39,AO39:AQ39,AS39:AX39,AZ39:BB39)</f>
      </c>
      <c r="BE39" s="19">
        <v>0</v>
      </c>
    </row>
    <row x14ac:dyDescent="0.25" r="40" customHeight="1" ht="18.75">
      <c r="A40" s="19">
        <v>208</v>
      </c>
      <c r="B40" s="19">
        <v>9</v>
      </c>
      <c r="C40" s="19">
        <v>0</v>
      </c>
      <c r="D40" s="20">
        <v>44740</v>
      </c>
      <c r="E40" s="21" t="s">
        <v>43</v>
      </c>
      <c r="F40" s="1" t="s">
        <v>46</v>
      </c>
      <c r="G40" s="21" t="s">
        <v>48</v>
      </c>
      <c r="H40" s="22">
        <v>9</v>
      </c>
      <c r="I40" s="23">
        <v>1</v>
      </c>
      <c r="J40" s="24">
        <v>0.31</v>
      </c>
      <c r="K40" s="24">
        <v>0.27</v>
      </c>
      <c r="L40" s="25">
        <v>0.12</v>
      </c>
      <c r="M40" s="19">
        <f>SUM(16+27+17)</f>
      </c>
      <c r="N40" s="19">
        <f>SUM(45+53+17)</f>
      </c>
      <c r="O40" s="19">
        <v>6</v>
      </c>
      <c r="P40" s="19">
        <v>0</v>
      </c>
      <c r="Q40" s="19">
        <v>0</v>
      </c>
      <c r="R40" s="19">
        <v>0</v>
      </c>
      <c r="S40" s="64">
        <f>SUM(M40:R40)</f>
      </c>
      <c r="T40" s="19">
        <v>22</v>
      </c>
      <c r="U40" s="19">
        <v>1</v>
      </c>
      <c r="V40" s="19">
        <v>0</v>
      </c>
      <c r="W40" s="19">
        <v>0</v>
      </c>
      <c r="X40" s="19">
        <v>0</v>
      </c>
      <c r="Y40" s="19">
        <v>0</v>
      </c>
      <c r="Z40" s="64">
        <f>SUM(T40:Y40)</f>
      </c>
      <c r="AA40" s="19">
        <v>14</v>
      </c>
      <c r="AB40" s="19">
        <v>8</v>
      </c>
      <c r="AC40" s="19">
        <v>7</v>
      </c>
      <c r="AD40" s="19">
        <v>0</v>
      </c>
      <c r="AE40" s="19">
        <v>0</v>
      </c>
      <c r="AF40" s="19">
        <v>0</v>
      </c>
      <c r="AG40" s="64">
        <f>SUM(AA40:AF40)</f>
      </c>
      <c r="AH40" s="19">
        <f>SUM(4+6+8)</f>
      </c>
      <c r="AI40" s="19">
        <f>SUM(6+21+12)</f>
      </c>
      <c r="AJ40" s="19">
        <f>SUM(8)</f>
      </c>
      <c r="AK40" s="19">
        <v>0</v>
      </c>
      <c r="AL40" s="19">
        <v>0</v>
      </c>
      <c r="AM40" s="19">
        <v>0</v>
      </c>
      <c r="AN40" s="64">
        <f>SUM(AH40:AM40)</f>
      </c>
      <c r="AO40" s="19">
        <v>0</v>
      </c>
      <c r="AP40" s="19">
        <v>0</v>
      </c>
      <c r="AQ40" s="19">
        <v>0</v>
      </c>
      <c r="AR40" s="64">
        <f>SUM(AO40:AQ40)</f>
      </c>
      <c r="AS40" s="19">
        <v>15</v>
      </c>
      <c r="AT40" s="19">
        <f>59+22+10</f>
      </c>
      <c r="AU40" s="19">
        <v>22</v>
      </c>
      <c r="AV40" s="19">
        <v>0</v>
      </c>
      <c r="AW40" s="19">
        <v>0</v>
      </c>
      <c r="AX40" s="19">
        <v>0</v>
      </c>
      <c r="AY40" s="64">
        <f>SUM(AS40:AX40)</f>
      </c>
      <c r="AZ40" s="19">
        <v>0</v>
      </c>
      <c r="BA40" s="19">
        <v>0</v>
      </c>
      <c r="BB40" s="19">
        <v>0</v>
      </c>
      <c r="BC40" s="64">
        <f>SUM(AZ40:BB40)</f>
      </c>
      <c r="BD40" s="19">
        <f>SUM(M40:R40,T40:Y40,AA40:AF40,AH40:AM40,AO40:AQ40,AS40:AX40,AZ40:BB40)</f>
      </c>
      <c r="BE40" s="26"/>
    </row>
    <row x14ac:dyDescent="0.25" r="41" customHeight="1" ht="18.75">
      <c r="A41" s="19">
        <v>208</v>
      </c>
      <c r="B41" s="19">
        <v>9</v>
      </c>
      <c r="C41" s="19">
        <v>5</v>
      </c>
      <c r="D41" s="20">
        <v>44745</v>
      </c>
      <c r="E41" s="21" t="s">
        <v>43</v>
      </c>
      <c r="F41" s="1" t="s">
        <v>46</v>
      </c>
      <c r="G41" s="21" t="s">
        <v>48</v>
      </c>
      <c r="H41" s="22">
        <v>9</v>
      </c>
      <c r="I41" s="23">
        <v>1</v>
      </c>
      <c r="J41" s="24">
        <v>0.31</v>
      </c>
      <c r="K41" s="24">
        <v>0.27</v>
      </c>
      <c r="L41" s="25">
        <v>0.12</v>
      </c>
      <c r="M41" s="19">
        <v>2</v>
      </c>
      <c r="N41" s="19">
        <v>3</v>
      </c>
      <c r="O41" s="19">
        <v>2</v>
      </c>
      <c r="P41" s="19">
        <v>0</v>
      </c>
      <c r="Q41" s="19">
        <v>0</v>
      </c>
      <c r="R41" s="19">
        <v>1</v>
      </c>
      <c r="S41" s="64">
        <f>SUM(M41:R41)</f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64">
        <f>SUM(T41:Y41)</f>
      </c>
      <c r="AA41" s="19">
        <v>14</v>
      </c>
      <c r="AB41" s="19">
        <v>8</v>
      </c>
      <c r="AC41" s="19">
        <v>8</v>
      </c>
      <c r="AD41" s="19">
        <v>0</v>
      </c>
      <c r="AE41" s="19">
        <v>0</v>
      </c>
      <c r="AF41" s="19">
        <v>3</v>
      </c>
      <c r="AG41" s="64">
        <f>SUM(AA41:AF41)</f>
      </c>
      <c r="AH41" s="19">
        <v>0</v>
      </c>
      <c r="AI41" s="19">
        <v>1</v>
      </c>
      <c r="AJ41" s="19">
        <v>0</v>
      </c>
      <c r="AK41" s="19">
        <v>0</v>
      </c>
      <c r="AL41" s="19">
        <v>0</v>
      </c>
      <c r="AM41" s="19">
        <v>0</v>
      </c>
      <c r="AN41" s="64">
        <f>SUM(AH41:AM41)</f>
      </c>
      <c r="AO41" s="19">
        <v>1</v>
      </c>
      <c r="AP41" s="19">
        <v>0</v>
      </c>
      <c r="AQ41" s="19">
        <v>0</v>
      </c>
      <c r="AR41" s="64">
        <f>SUM(AO41:AQ41)</f>
      </c>
      <c r="AS41" s="19">
        <v>1</v>
      </c>
      <c r="AT41" s="19">
        <v>2</v>
      </c>
      <c r="AU41" s="19">
        <v>3</v>
      </c>
      <c r="AV41" s="19">
        <v>0</v>
      </c>
      <c r="AW41" s="19">
        <v>0</v>
      </c>
      <c r="AX41" s="19">
        <v>1</v>
      </c>
      <c r="AY41" s="64">
        <f>SUM(AS41:AX41)</f>
      </c>
      <c r="AZ41" s="19">
        <v>0</v>
      </c>
      <c r="BA41" s="19">
        <v>0</v>
      </c>
      <c r="BB41" s="19">
        <v>0</v>
      </c>
      <c r="BC41" s="64">
        <f>SUM(AZ41:BB41)</f>
      </c>
      <c r="BD41" s="19">
        <f>SUM(M41:R41,T41:Y41,AA41:AF41,AH41:AM41,AO41:AQ41,AS41:AX41,AZ41:BB41)</f>
      </c>
      <c r="BE41" s="19">
        <v>0</v>
      </c>
    </row>
    <row x14ac:dyDescent="0.25" r="42" customHeight="1" ht="18.75">
      <c r="A42" s="19">
        <v>209</v>
      </c>
      <c r="B42" s="19">
        <v>5</v>
      </c>
      <c r="C42" s="19">
        <v>0</v>
      </c>
      <c r="D42" s="20">
        <v>44740</v>
      </c>
      <c r="E42" s="21" t="s">
        <v>43</v>
      </c>
      <c r="F42" s="1" t="s">
        <v>44</v>
      </c>
      <c r="G42" s="21" t="s">
        <v>48</v>
      </c>
      <c r="H42" s="22">
        <v>9</v>
      </c>
      <c r="I42" s="23">
        <v>1</v>
      </c>
      <c r="J42" s="24">
        <v>0.32</v>
      </c>
      <c r="K42" s="24">
        <v>0.31</v>
      </c>
      <c r="L42" s="25">
        <v>0.05</v>
      </c>
      <c r="M42" s="19">
        <f>SUM(14)</f>
      </c>
      <c r="N42" s="19">
        <f>SUM(27+19+22)</f>
      </c>
      <c r="O42" s="19">
        <f>SUM(19+5)</f>
      </c>
      <c r="P42" s="19">
        <v>0</v>
      </c>
      <c r="Q42" s="19">
        <v>0</v>
      </c>
      <c r="R42" s="19">
        <v>0</v>
      </c>
      <c r="S42" s="64">
        <f>SUM(M42:R42)</f>
      </c>
      <c r="T42" s="19">
        <v>3</v>
      </c>
      <c r="U42" s="19">
        <v>1</v>
      </c>
      <c r="V42" s="19">
        <v>0</v>
      </c>
      <c r="W42" s="19">
        <v>0</v>
      </c>
      <c r="X42" s="19">
        <v>0</v>
      </c>
      <c r="Y42" s="19">
        <v>0</v>
      </c>
      <c r="Z42" s="64">
        <f>SUM(T42:Y42)</f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64">
        <f>SUM(AA42:AF42)</f>
      </c>
      <c r="AH42" s="19">
        <v>2</v>
      </c>
      <c r="AI42" s="19">
        <f>SUM(9+20+24+21+16+10)</f>
      </c>
      <c r="AJ42" s="19">
        <f>SUM(2+37+18)</f>
      </c>
      <c r="AK42" s="19">
        <v>0</v>
      </c>
      <c r="AL42" s="19">
        <v>0</v>
      </c>
      <c r="AM42" s="19">
        <v>0</v>
      </c>
      <c r="AN42" s="64">
        <f>SUM(AH42:AM42)</f>
      </c>
      <c r="AO42" s="19">
        <f>SUM(6+1+3)</f>
      </c>
      <c r="AP42" s="19">
        <f>SUM(4+12+11)</f>
      </c>
      <c r="AQ42" s="19">
        <f>SUM(13+23+15)</f>
      </c>
      <c r="AR42" s="64">
        <f>SUM(AO42:AQ42)</f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64">
        <f>SUM(AS42:AX42)</f>
      </c>
      <c r="AZ42" s="19">
        <v>0</v>
      </c>
      <c r="BA42" s="19">
        <v>0</v>
      </c>
      <c r="BB42" s="19">
        <v>0</v>
      </c>
      <c r="BC42" s="64">
        <f>SUM(AZ42:BB42)</f>
      </c>
      <c r="BD42" s="19">
        <f>SUM(M42:R42,T42:Y42,AA42:AF42,AH42:AM42,AO42:AQ42,AS42:AX42,AZ42:BB42)</f>
      </c>
      <c r="BE42" s="26"/>
    </row>
    <row x14ac:dyDescent="0.25" r="43" customHeight="1" ht="18.75">
      <c r="A43" s="19">
        <v>209</v>
      </c>
      <c r="B43" s="19">
        <v>5</v>
      </c>
      <c r="C43" s="19">
        <v>5</v>
      </c>
      <c r="D43" s="20">
        <v>44745</v>
      </c>
      <c r="E43" s="21" t="s">
        <v>43</v>
      </c>
      <c r="F43" s="1" t="s">
        <v>44</v>
      </c>
      <c r="G43" s="21" t="s">
        <v>48</v>
      </c>
      <c r="H43" s="22">
        <v>9</v>
      </c>
      <c r="I43" s="23">
        <v>1</v>
      </c>
      <c r="J43" s="24">
        <v>0.32</v>
      </c>
      <c r="K43" s="24">
        <v>0.31</v>
      </c>
      <c r="L43" s="25">
        <v>0.05</v>
      </c>
      <c r="M43" s="19">
        <v>0</v>
      </c>
      <c r="N43" s="19">
        <v>4</v>
      </c>
      <c r="O43" s="19">
        <v>0</v>
      </c>
      <c r="P43" s="19">
        <v>0</v>
      </c>
      <c r="Q43" s="19">
        <v>0</v>
      </c>
      <c r="R43" s="19">
        <v>1</v>
      </c>
      <c r="S43" s="64">
        <f>SUM(M43:R43)</f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64">
        <f>SUM(T43:Y43)</f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64">
        <f>SUM(AA43:AF43)</f>
      </c>
      <c r="AH43" s="19">
        <v>0</v>
      </c>
      <c r="AI43" s="19">
        <v>1</v>
      </c>
      <c r="AJ43" s="19">
        <v>0</v>
      </c>
      <c r="AK43" s="19">
        <v>0</v>
      </c>
      <c r="AL43" s="19">
        <v>0</v>
      </c>
      <c r="AM43" s="19">
        <v>1</v>
      </c>
      <c r="AN43" s="64">
        <f>SUM(AH43:AM43)</f>
      </c>
      <c r="AO43" s="19">
        <v>0</v>
      </c>
      <c r="AP43" s="19">
        <v>4</v>
      </c>
      <c r="AQ43" s="19">
        <v>22</v>
      </c>
      <c r="AR43" s="64">
        <f>SUM(AO43:AQ43)</f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64">
        <f>SUM(AS43:AX43)</f>
      </c>
      <c r="AZ43" s="19">
        <v>0</v>
      </c>
      <c r="BA43" s="19">
        <v>0</v>
      </c>
      <c r="BB43" s="19">
        <v>0</v>
      </c>
      <c r="BC43" s="64">
        <f>SUM(AZ43:BB43)</f>
      </c>
      <c r="BD43" s="19">
        <f>SUM(M43:R43,T43:Y43,AA43:AF43,AH43:AM43,AO43:AQ43,AS43:AX43,AZ43:BB43)</f>
      </c>
      <c r="BE43" s="19">
        <v>1</v>
      </c>
    </row>
    <row x14ac:dyDescent="0.25" r="44" customHeight="1" ht="18.75">
      <c r="A44" s="19">
        <v>210</v>
      </c>
      <c r="B44" s="19">
        <v>11</v>
      </c>
      <c r="C44" s="19">
        <v>0</v>
      </c>
      <c r="D44" s="20">
        <v>44740</v>
      </c>
      <c r="E44" s="21" t="s">
        <v>43</v>
      </c>
      <c r="F44" s="21" t="s">
        <v>46</v>
      </c>
      <c r="G44" s="21" t="s">
        <v>48</v>
      </c>
      <c r="H44" s="22">
        <v>11.5</v>
      </c>
      <c r="I44" s="23">
        <v>1</v>
      </c>
      <c r="J44" s="24">
        <v>0.29</v>
      </c>
      <c r="K44" s="24">
        <v>0.27</v>
      </c>
      <c r="L44" s="25">
        <v>0.07</v>
      </c>
      <c r="M44" s="19">
        <f>SUM(3+16+7)</f>
      </c>
      <c r="N44" s="19">
        <f>SUM(45+27+15+54+19+20)</f>
      </c>
      <c r="O44" s="19">
        <f>SUM(10+1+16)</f>
      </c>
      <c r="P44" s="19">
        <v>0</v>
      </c>
      <c r="Q44" s="19">
        <v>0</v>
      </c>
      <c r="R44" s="19">
        <v>0</v>
      </c>
      <c r="S44" s="64">
        <f>SUM(M44:R44)</f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64">
        <f>SUM(T44:Y44)</f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64">
        <f>SUM(AA44:AF44)</f>
      </c>
      <c r="AH44" s="19">
        <v>2</v>
      </c>
      <c r="AI44" s="19">
        <v>55</v>
      </c>
      <c r="AJ44" s="19">
        <v>12</v>
      </c>
      <c r="AK44" s="19">
        <v>0</v>
      </c>
      <c r="AL44" s="19">
        <v>0</v>
      </c>
      <c r="AM44" s="19">
        <v>0</v>
      </c>
      <c r="AN44" s="64">
        <f>SUM(AH44:AM44)</f>
      </c>
      <c r="AO44" s="19">
        <v>5</v>
      </c>
      <c r="AP44" s="19">
        <v>13</v>
      </c>
      <c r="AQ44" s="19">
        <v>26</v>
      </c>
      <c r="AR44" s="64">
        <f>SUM(AO44:AQ44)</f>
      </c>
      <c r="AS44" s="19">
        <v>2</v>
      </c>
      <c r="AT44" s="19">
        <v>2</v>
      </c>
      <c r="AU44" s="19">
        <v>5</v>
      </c>
      <c r="AV44" s="19">
        <v>0</v>
      </c>
      <c r="AW44" s="19">
        <v>0</v>
      </c>
      <c r="AX44" s="19">
        <v>0</v>
      </c>
      <c r="AY44" s="64">
        <f>SUM(AS44:AX44)</f>
      </c>
      <c r="AZ44" s="19">
        <v>0</v>
      </c>
      <c r="BA44" s="19">
        <v>0</v>
      </c>
      <c r="BB44" s="19">
        <v>0</v>
      </c>
      <c r="BC44" s="64">
        <f>SUM(AZ44:BB44)</f>
      </c>
      <c r="BD44" s="19">
        <f>SUM(M44:R44,T44:Y44,AA44:AF44,AH44:AM44,AO44:AQ44,AS44:AX44,AZ44:BB44)</f>
      </c>
      <c r="BE44" s="26"/>
    </row>
    <row x14ac:dyDescent="0.25" r="45" customHeight="1" ht="18.75">
      <c r="A45" s="19">
        <v>210</v>
      </c>
      <c r="B45" s="19">
        <v>11</v>
      </c>
      <c r="C45" s="19">
        <v>5</v>
      </c>
      <c r="D45" s="20">
        <v>44745</v>
      </c>
      <c r="E45" s="21" t="s">
        <v>43</v>
      </c>
      <c r="F45" s="21" t="s">
        <v>46</v>
      </c>
      <c r="G45" s="21" t="s">
        <v>48</v>
      </c>
      <c r="H45" s="22">
        <v>11.5</v>
      </c>
      <c r="I45" s="23">
        <v>1</v>
      </c>
      <c r="J45" s="24">
        <v>0.29</v>
      </c>
      <c r="K45" s="24">
        <v>0.27</v>
      </c>
      <c r="L45" s="25">
        <v>0.07</v>
      </c>
      <c r="M45" s="19">
        <v>1</v>
      </c>
      <c r="N45" s="19">
        <v>2</v>
      </c>
      <c r="O45" s="19">
        <v>4</v>
      </c>
      <c r="P45" s="19">
        <v>0</v>
      </c>
      <c r="Q45" s="19">
        <v>1</v>
      </c>
      <c r="R45" s="19">
        <v>2</v>
      </c>
      <c r="S45" s="64">
        <f>SUM(M45:R45)</f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64">
        <f>SUM(T45:Y45)</f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64">
        <f>SUM(AA45:AF45)</f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64">
        <f>SUM(AH45:AM45)</f>
      </c>
      <c r="AO45" s="19">
        <v>5</v>
      </c>
      <c r="AP45" s="19">
        <v>6</v>
      </c>
      <c r="AQ45" s="19">
        <v>9</v>
      </c>
      <c r="AR45" s="64">
        <f>SUM(AO45:AQ45)</f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64">
        <f>SUM(AS45:AX45)</f>
      </c>
      <c r="AZ45" s="19">
        <v>0</v>
      </c>
      <c r="BA45" s="19">
        <v>1</v>
      </c>
      <c r="BB45" s="19">
        <v>0</v>
      </c>
      <c r="BC45" s="64">
        <f>SUM(AZ45:BB45)</f>
      </c>
      <c r="BD45" s="19">
        <f>SUM(M45:R45,T45:Y45,AA45:AF45,AH45:AM45,AO45:AQ45,AS45:AX45,AZ45:BB45)</f>
      </c>
      <c r="BE45" s="19">
        <v>0</v>
      </c>
    </row>
    <row x14ac:dyDescent="0.25" r="46" customHeight="1" ht="18.75">
      <c r="A46" s="19">
        <v>211</v>
      </c>
      <c r="B46" s="19">
        <v>4</v>
      </c>
      <c r="C46" s="19">
        <v>0</v>
      </c>
      <c r="D46" s="20">
        <v>44732</v>
      </c>
      <c r="E46" s="21" t="s">
        <v>47</v>
      </c>
      <c r="F46" s="21" t="s">
        <v>46</v>
      </c>
      <c r="G46" s="21" t="s">
        <v>45</v>
      </c>
      <c r="H46" s="22">
        <v>9</v>
      </c>
      <c r="I46" s="54"/>
      <c r="J46" s="55"/>
      <c r="K46" s="55"/>
      <c r="L46" s="56"/>
      <c r="M46" s="19">
        <f>SUM(43+28+13+34+22+259+55+3+57+7+60)</f>
      </c>
      <c r="N46" s="19">
        <f>SUM(1+1+5+1)</f>
      </c>
      <c r="O46" s="19">
        <f>SUM(1+4+2+3+4)</f>
      </c>
      <c r="P46" s="19">
        <v>0</v>
      </c>
      <c r="Q46" s="19">
        <v>0</v>
      </c>
      <c r="R46" s="19">
        <v>0</v>
      </c>
      <c r="S46" s="64">
        <f>SUM(M46:R46)</f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64">
        <f>SUM(T46:Y46)</f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64">
        <f>SUM(AA46:AF46)</f>
      </c>
      <c r="AH46" s="19">
        <f>SUM(2+10+3+5+10)</f>
      </c>
      <c r="AI46" s="19">
        <f>SUM(3+8)</f>
      </c>
      <c r="AJ46" s="19">
        <v>1</v>
      </c>
      <c r="AK46" s="19">
        <v>0</v>
      </c>
      <c r="AL46" s="19">
        <v>0</v>
      </c>
      <c r="AM46" s="19">
        <v>0</v>
      </c>
      <c r="AN46" s="64">
        <f>SUM(AH46:AM46)</f>
      </c>
      <c r="AO46" s="19">
        <v>23</v>
      </c>
      <c r="AP46" s="19">
        <v>9</v>
      </c>
      <c r="AQ46" s="19">
        <v>24</v>
      </c>
      <c r="AR46" s="64">
        <f>SUM(AO46:AQ46)</f>
      </c>
      <c r="AS46" s="19">
        <v>4</v>
      </c>
      <c r="AT46" s="19">
        <v>1</v>
      </c>
      <c r="AU46" s="19">
        <v>12</v>
      </c>
      <c r="AV46" s="19">
        <v>0</v>
      </c>
      <c r="AW46" s="19">
        <v>0</v>
      </c>
      <c r="AX46" s="19">
        <v>0</v>
      </c>
      <c r="AY46" s="64">
        <f>SUM(AS46:AX46)</f>
      </c>
      <c r="AZ46" s="19">
        <v>0</v>
      </c>
      <c r="BA46" s="19">
        <v>0</v>
      </c>
      <c r="BB46" s="19">
        <v>0</v>
      </c>
      <c r="BC46" s="64">
        <f>SUM(AZ46:BB46)</f>
      </c>
      <c r="BD46" s="19">
        <f>SUM(M46:R46,T46:Y46,AA46:AF46,AH46:AM46,AO46:AQ46,AS46:AX46,AZ46:BB46)</f>
      </c>
      <c r="BE46" s="26"/>
    </row>
    <row x14ac:dyDescent="0.25" r="47" customHeight="1" ht="18.75">
      <c r="A47" s="19">
        <v>211</v>
      </c>
      <c r="B47" s="19">
        <v>4</v>
      </c>
      <c r="C47" s="19">
        <v>5</v>
      </c>
      <c r="D47" s="20">
        <v>44737</v>
      </c>
      <c r="E47" s="21" t="s">
        <v>47</v>
      </c>
      <c r="F47" s="21" t="s">
        <v>46</v>
      </c>
      <c r="G47" s="21" t="s">
        <v>45</v>
      </c>
      <c r="H47" s="22">
        <v>9</v>
      </c>
      <c r="I47" s="54"/>
      <c r="J47" s="55"/>
      <c r="K47" s="55"/>
      <c r="L47" s="56"/>
      <c r="M47" s="19">
        <f>SUM(6+1)</f>
      </c>
      <c r="N47" s="19">
        <v>7</v>
      </c>
      <c r="O47" s="19">
        <v>0</v>
      </c>
      <c r="P47" s="19">
        <v>2</v>
      </c>
      <c r="Q47" s="19">
        <v>0</v>
      </c>
      <c r="R47" s="19">
        <v>0</v>
      </c>
      <c r="S47" s="64">
        <f>SUM(M47:R47)</f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64">
        <f>SUM(T47:Y47)</f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64">
        <f>SUM(AA47:AF47)</f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64">
        <f>SUM(AH47:AM47)</f>
      </c>
      <c r="AO47" s="19">
        <v>0</v>
      </c>
      <c r="AP47" s="19">
        <v>3</v>
      </c>
      <c r="AQ47" s="19">
        <v>1</v>
      </c>
      <c r="AR47" s="64">
        <f>SUM(AO47:AQ47)</f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64">
        <f>SUM(AS47:AX47)</f>
      </c>
      <c r="AZ47" s="19">
        <v>0</v>
      </c>
      <c r="BA47" s="19">
        <v>0</v>
      </c>
      <c r="BB47" s="19">
        <v>0</v>
      </c>
      <c r="BC47" s="64">
        <f>SUM(AZ47:BB47)</f>
      </c>
      <c r="BD47" s="19">
        <f>SUM(M47:R47,T47:Y47,AA47:AF47,AH47:AM47,AO47:AQ47,AS47:AX47,AZ47:BB47)</f>
      </c>
      <c r="BE47" s="19">
        <v>4</v>
      </c>
    </row>
    <row x14ac:dyDescent="0.25" r="48" customHeight="1" ht="18.75">
      <c r="A48" s="19">
        <v>212</v>
      </c>
      <c r="B48" s="19">
        <v>3</v>
      </c>
      <c r="C48" s="19">
        <v>0</v>
      </c>
      <c r="D48" s="20">
        <v>44732</v>
      </c>
      <c r="E48" s="21" t="s">
        <v>47</v>
      </c>
      <c r="F48" s="21" t="s">
        <v>44</v>
      </c>
      <c r="G48" s="21" t="s">
        <v>45</v>
      </c>
      <c r="H48" s="22">
        <v>6</v>
      </c>
      <c r="I48" s="54"/>
      <c r="J48" s="55"/>
      <c r="K48" s="55"/>
      <c r="L48" s="56"/>
      <c r="M48" s="19">
        <f>SUM(32+34+5+12+20+25+43+23+40+36+74+27+21+89+15+37)</f>
      </c>
      <c r="N48" s="19">
        <f>SUM(3+2+2+5+4)</f>
      </c>
      <c r="O48" s="19">
        <f>SUM(4+2+6+4)</f>
      </c>
      <c r="P48" s="19">
        <v>0</v>
      </c>
      <c r="Q48" s="19">
        <v>0</v>
      </c>
      <c r="R48" s="19">
        <v>0</v>
      </c>
      <c r="S48" s="64">
        <f>SUM(M48:R48)</f>
      </c>
      <c r="T48" s="19">
        <v>2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64">
        <f>SUM(T48:Y48)</f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64">
        <f>SUM(AA48:AF48)</f>
      </c>
      <c r="AH48" s="19">
        <f>SUM(4+1+1+1)</f>
      </c>
      <c r="AI48" s="19">
        <v>3</v>
      </c>
      <c r="AJ48" s="19">
        <v>0</v>
      </c>
      <c r="AK48" s="19">
        <v>0</v>
      </c>
      <c r="AL48" s="19">
        <v>0</v>
      </c>
      <c r="AM48" s="19">
        <v>0</v>
      </c>
      <c r="AN48" s="64">
        <f>SUM(AH48:AM48)</f>
      </c>
      <c r="AO48" s="19">
        <v>7</v>
      </c>
      <c r="AP48" s="19">
        <v>4</v>
      </c>
      <c r="AQ48" s="19">
        <v>9</v>
      </c>
      <c r="AR48" s="64">
        <f>SUM(AO48:AQ48)</f>
      </c>
      <c r="AS48" s="19">
        <v>1</v>
      </c>
      <c r="AT48" s="19">
        <v>0</v>
      </c>
      <c r="AU48" s="19">
        <v>10</v>
      </c>
      <c r="AV48" s="19">
        <v>0</v>
      </c>
      <c r="AW48" s="19">
        <v>0</v>
      </c>
      <c r="AX48" s="19">
        <v>0</v>
      </c>
      <c r="AY48" s="64">
        <f>SUM(AS48:AX48)</f>
      </c>
      <c r="AZ48" s="19">
        <v>2</v>
      </c>
      <c r="BA48" s="19">
        <v>3</v>
      </c>
      <c r="BB48" s="19">
        <v>0</v>
      </c>
      <c r="BC48" s="64">
        <f>SUM(AZ48:BB48)</f>
      </c>
      <c r="BD48" s="19">
        <f>SUM(M48:R48,T48:Y48,AA48:AF48,AH48:AM48,AO48:AQ48,AS48:AX48,AZ48:BB48)</f>
      </c>
      <c r="BE48" s="26"/>
    </row>
    <row x14ac:dyDescent="0.25" r="49" customHeight="1" ht="18.75">
      <c r="A49" s="19">
        <v>212</v>
      </c>
      <c r="B49" s="19">
        <v>3</v>
      </c>
      <c r="C49" s="19">
        <v>5</v>
      </c>
      <c r="D49" s="20">
        <v>44737</v>
      </c>
      <c r="E49" s="21" t="s">
        <v>47</v>
      </c>
      <c r="F49" s="21" t="s">
        <v>44</v>
      </c>
      <c r="G49" s="21" t="s">
        <v>45</v>
      </c>
      <c r="H49" s="22">
        <v>6</v>
      </c>
      <c r="I49" s="54"/>
      <c r="J49" s="55"/>
      <c r="K49" s="55"/>
      <c r="L49" s="56"/>
      <c r="M49" s="19">
        <v>4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64">
        <f>SUM(M49:R49)</f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64">
        <f>SUM(T49:Y49)</f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64">
        <f>SUM(AA49:AF49)</f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64">
        <f>SUM(AH49:AM49)</f>
      </c>
      <c r="AO49" s="19">
        <v>0</v>
      </c>
      <c r="AP49" s="19">
        <v>0</v>
      </c>
      <c r="AQ49" s="19">
        <v>3</v>
      </c>
      <c r="AR49" s="64">
        <f>SUM(AO49:AQ49)</f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64">
        <f>SUM(AS49:AX49)</f>
      </c>
      <c r="AZ49" s="19">
        <v>0</v>
      </c>
      <c r="BA49" s="19">
        <v>0</v>
      </c>
      <c r="BB49" s="19">
        <v>3</v>
      </c>
      <c r="BC49" s="64">
        <f>SUM(AZ49:BB49)</f>
      </c>
      <c r="BD49" s="19">
        <f>SUM(M49:R49,T49:Y49,AA49:AF49,AH49:AM49,AO49:AQ49,AS49:AX49,AZ49:BB49)</f>
      </c>
      <c r="BE49" s="19">
        <v>4</v>
      </c>
    </row>
    <row x14ac:dyDescent="0.25" r="50" customHeight="1" ht="18.75">
      <c r="A50" s="19">
        <v>301</v>
      </c>
      <c r="B50" s="19">
        <v>10</v>
      </c>
      <c r="C50" s="19">
        <v>0</v>
      </c>
      <c r="D50" s="20">
        <v>44740</v>
      </c>
      <c r="E50" s="21" t="s">
        <v>43</v>
      </c>
      <c r="F50" s="21" t="s">
        <v>44</v>
      </c>
      <c r="G50" s="21" t="s">
        <v>48</v>
      </c>
      <c r="H50" s="22">
        <v>9</v>
      </c>
      <c r="I50" s="23">
        <v>0</v>
      </c>
      <c r="J50" s="24">
        <v>0.33</v>
      </c>
      <c r="K50" s="24">
        <v>0.31</v>
      </c>
      <c r="L50" s="25">
        <v>0.05</v>
      </c>
      <c r="M50" s="19">
        <v>148</v>
      </c>
      <c r="N50" s="19">
        <f>SUM(8+71+36+23+17+22+18+42+27+41+31+191+16+97+34)</f>
      </c>
      <c r="O50" s="19">
        <f>SUM(6+1+12+11+9)</f>
      </c>
      <c r="P50" s="19">
        <v>0</v>
      </c>
      <c r="Q50" s="19">
        <v>0</v>
      </c>
      <c r="R50" s="19">
        <v>0</v>
      </c>
      <c r="S50" s="64">
        <f>SUM(M50:R50)</f>
      </c>
      <c r="T50" s="19">
        <v>2</v>
      </c>
      <c r="U50" s="19">
        <v>1</v>
      </c>
      <c r="V50" s="19">
        <v>0</v>
      </c>
      <c r="W50" s="19">
        <v>0</v>
      </c>
      <c r="X50" s="19">
        <v>0</v>
      </c>
      <c r="Y50" s="19">
        <v>0</v>
      </c>
      <c r="Z50" s="64">
        <f>SUM(T50:Y50)</f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64">
        <f>SUM(AA50:AF50)</f>
      </c>
      <c r="AH50" s="19">
        <v>0</v>
      </c>
      <c r="AI50" s="19">
        <v>10</v>
      </c>
      <c r="AJ50" s="19">
        <v>1</v>
      </c>
      <c r="AK50" s="19">
        <v>0</v>
      </c>
      <c r="AL50" s="19">
        <v>0</v>
      </c>
      <c r="AM50" s="19">
        <v>0</v>
      </c>
      <c r="AN50" s="64">
        <f>SUM(AH50:AM50)</f>
      </c>
      <c r="AO50" s="19">
        <v>3</v>
      </c>
      <c r="AP50" s="19">
        <v>9</v>
      </c>
      <c r="AQ50" s="19">
        <v>3</v>
      </c>
      <c r="AR50" s="64">
        <f>SUM(AO50:AQ50)</f>
      </c>
      <c r="AS50" s="19">
        <v>0</v>
      </c>
      <c r="AT50" s="19">
        <v>0</v>
      </c>
      <c r="AU50" s="19">
        <v>4</v>
      </c>
      <c r="AV50" s="19">
        <v>0</v>
      </c>
      <c r="AW50" s="19">
        <v>0</v>
      </c>
      <c r="AX50" s="19">
        <v>0</v>
      </c>
      <c r="AY50" s="64">
        <f>SUM(AS50:AX50)</f>
      </c>
      <c r="AZ50" s="19">
        <v>0</v>
      </c>
      <c r="BA50" s="19">
        <v>0</v>
      </c>
      <c r="BB50" s="19">
        <v>0</v>
      </c>
      <c r="BC50" s="64">
        <f>SUM(AZ50:BB50)</f>
      </c>
      <c r="BD50" s="19">
        <f>SUM(M50:R50,T50:Y50,AA50:AF50,AH50:AM50,AO50:AQ50,AS50:AX50,AZ50:BB50)</f>
      </c>
      <c r="BE50" s="26"/>
    </row>
    <row x14ac:dyDescent="0.25" r="51" customHeight="1" ht="18.75">
      <c r="A51" s="19">
        <v>301</v>
      </c>
      <c r="B51" s="19">
        <v>10</v>
      </c>
      <c r="C51" s="19">
        <v>5</v>
      </c>
      <c r="D51" s="20">
        <v>44745</v>
      </c>
      <c r="E51" s="21" t="s">
        <v>43</v>
      </c>
      <c r="F51" s="21" t="s">
        <v>44</v>
      </c>
      <c r="G51" s="21" t="s">
        <v>48</v>
      </c>
      <c r="H51" s="22">
        <v>9</v>
      </c>
      <c r="I51" s="23">
        <v>0</v>
      </c>
      <c r="J51" s="24">
        <v>0.33</v>
      </c>
      <c r="K51" s="24">
        <v>0.31</v>
      </c>
      <c r="L51" s="25">
        <v>0.05</v>
      </c>
      <c r="M51" s="19">
        <v>3</v>
      </c>
      <c r="N51" s="19">
        <v>1</v>
      </c>
      <c r="O51" s="19">
        <v>0</v>
      </c>
      <c r="P51" s="19">
        <v>0</v>
      </c>
      <c r="Q51" s="19">
        <v>1</v>
      </c>
      <c r="R51" s="19">
        <v>5</v>
      </c>
      <c r="S51" s="64">
        <f>SUM(M51:R51)</f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64">
        <f>SUM(T51:Y51)</f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64">
        <f>SUM(AA51:AF51)</f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64">
        <f>SUM(AH51:AM51)</f>
      </c>
      <c r="AO51" s="19">
        <v>1</v>
      </c>
      <c r="AP51" s="19">
        <v>2</v>
      </c>
      <c r="AQ51" s="19">
        <v>1</v>
      </c>
      <c r="AR51" s="64">
        <f>SUM(AO51:AQ51)</f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64">
        <f>SUM(AS51:AX51)</f>
      </c>
      <c r="AZ51" s="19">
        <v>0</v>
      </c>
      <c r="BA51" s="19">
        <v>0</v>
      </c>
      <c r="BB51" s="19">
        <v>0</v>
      </c>
      <c r="BC51" s="64">
        <f>SUM(AZ51:BB51)</f>
      </c>
      <c r="BD51" s="19">
        <f>SUM(M51:R51,T51:Y51,AA51:AF51,AH51:AM51,AO51:AQ51,AS51:AX51,AZ51:BB51)</f>
      </c>
      <c r="BE51" s="19">
        <v>0</v>
      </c>
    </row>
    <row x14ac:dyDescent="0.25" r="52" customHeight="1" ht="18.75">
      <c r="A52" s="19">
        <v>302</v>
      </c>
      <c r="B52" s="19">
        <v>12</v>
      </c>
      <c r="C52" s="19">
        <v>0</v>
      </c>
      <c r="D52" s="20">
        <v>44740</v>
      </c>
      <c r="E52" s="21" t="s">
        <v>43</v>
      </c>
      <c r="F52" s="1" t="s">
        <v>46</v>
      </c>
      <c r="G52" s="21" t="s">
        <v>48</v>
      </c>
      <c r="H52" s="22">
        <v>11.5</v>
      </c>
      <c r="I52" s="23">
        <v>0</v>
      </c>
      <c r="J52" s="24">
        <v>0.31</v>
      </c>
      <c r="K52" s="24">
        <v>0.23</v>
      </c>
      <c r="L52" s="25">
        <v>0.26</v>
      </c>
      <c r="M52" s="19">
        <f>SUM(6)</f>
      </c>
      <c r="N52" s="19">
        <v>12</v>
      </c>
      <c r="O52" s="19">
        <v>1</v>
      </c>
      <c r="P52" s="19">
        <v>0</v>
      </c>
      <c r="Q52" s="19">
        <v>0</v>
      </c>
      <c r="R52" s="19">
        <v>0</v>
      </c>
      <c r="S52" s="64">
        <f>SUM(M52:R52)</f>
      </c>
      <c r="T52" s="19">
        <v>1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64">
        <f>SUM(T52:Y52)</f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64">
        <f>SUM(AA52:AF52)</f>
      </c>
      <c r="AH52" s="19">
        <v>3</v>
      </c>
      <c r="AI52" s="19">
        <v>4</v>
      </c>
      <c r="AJ52" s="19">
        <v>1</v>
      </c>
      <c r="AK52" s="19">
        <v>0</v>
      </c>
      <c r="AL52" s="19">
        <v>0</v>
      </c>
      <c r="AM52" s="19">
        <v>0</v>
      </c>
      <c r="AN52" s="64">
        <f>SUM(AH52:AM52)</f>
      </c>
      <c r="AO52" s="19">
        <v>0</v>
      </c>
      <c r="AP52" s="19">
        <v>0</v>
      </c>
      <c r="AQ52" s="19">
        <v>0</v>
      </c>
      <c r="AR52" s="64">
        <f>SUM(AO52:AQ52)</f>
      </c>
      <c r="AS52" s="19">
        <v>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64">
        <f>SUM(AS52:AX52)</f>
      </c>
      <c r="AZ52" s="19">
        <v>0</v>
      </c>
      <c r="BA52" s="19">
        <v>0</v>
      </c>
      <c r="BB52" s="19">
        <v>0</v>
      </c>
      <c r="BC52" s="64">
        <f>SUM(AZ52:BB52)</f>
      </c>
      <c r="BD52" s="19">
        <f>SUM(M52:R52,T52:Y52,AA52:AF52,AH52:AM52,AO52:AQ52,AS52:AX52,AZ52:BB52)</f>
      </c>
      <c r="BE52" s="26"/>
    </row>
    <row x14ac:dyDescent="0.25" r="53" customHeight="1" ht="18.75">
      <c r="A53" s="19">
        <v>302</v>
      </c>
      <c r="B53" s="19">
        <v>12</v>
      </c>
      <c r="C53" s="19">
        <v>5</v>
      </c>
      <c r="D53" s="20">
        <v>44745</v>
      </c>
      <c r="E53" s="21" t="s">
        <v>43</v>
      </c>
      <c r="F53" s="1" t="s">
        <v>46</v>
      </c>
      <c r="G53" s="21" t="s">
        <v>48</v>
      </c>
      <c r="H53" s="22">
        <v>11.5</v>
      </c>
      <c r="I53" s="23">
        <v>0</v>
      </c>
      <c r="J53" s="24">
        <v>0.31</v>
      </c>
      <c r="K53" s="24">
        <v>0.23</v>
      </c>
      <c r="L53" s="25">
        <v>0.26</v>
      </c>
      <c r="M53" s="19">
        <v>1</v>
      </c>
      <c r="N53" s="19">
        <v>5</v>
      </c>
      <c r="O53" s="19">
        <v>2</v>
      </c>
      <c r="P53" s="19">
        <v>0</v>
      </c>
      <c r="Q53" s="19">
        <v>2</v>
      </c>
      <c r="R53" s="19">
        <v>0</v>
      </c>
      <c r="S53" s="64">
        <f>SUM(M53:R53)</f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64">
        <f>SUM(T53:Y53)</f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64">
        <f>SUM(AA53:AF53)</f>
      </c>
      <c r="AH53" s="19">
        <v>0</v>
      </c>
      <c r="AI53" s="19">
        <v>1</v>
      </c>
      <c r="AJ53" s="19">
        <v>0</v>
      </c>
      <c r="AK53" s="19">
        <v>0</v>
      </c>
      <c r="AL53" s="19">
        <v>0</v>
      </c>
      <c r="AM53" s="19">
        <v>1</v>
      </c>
      <c r="AN53" s="64">
        <f>SUM(AH53:AM53)</f>
      </c>
      <c r="AO53" s="19">
        <v>0</v>
      </c>
      <c r="AP53" s="19">
        <v>0</v>
      </c>
      <c r="AQ53" s="19">
        <v>0</v>
      </c>
      <c r="AR53" s="64">
        <f>SUM(AO53:AQ53)</f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64">
        <f>SUM(AS53:AX53)</f>
      </c>
      <c r="AZ53" s="19">
        <v>0</v>
      </c>
      <c r="BA53" s="19">
        <v>0</v>
      </c>
      <c r="BB53" s="19">
        <v>0</v>
      </c>
      <c r="BC53" s="64">
        <f>SUM(AZ53:BB53)</f>
      </c>
      <c r="BD53" s="19">
        <f>SUM(M53:R53,T53:Y53,AA53:AF53,AH53:AM53,AO53:AQ53,AS53:AX53,AZ53:BB53)</f>
      </c>
      <c r="BE53" s="19">
        <v>3</v>
      </c>
    </row>
    <row x14ac:dyDescent="0.25" r="54" customHeight="1" ht="18.75">
      <c r="A54" s="19">
        <v>303</v>
      </c>
      <c r="B54" s="19">
        <v>4</v>
      </c>
      <c r="C54" s="19">
        <v>0</v>
      </c>
      <c r="D54" s="20">
        <v>44732</v>
      </c>
      <c r="E54" s="21" t="s">
        <v>47</v>
      </c>
      <c r="F54" s="21" t="s">
        <v>46</v>
      </c>
      <c r="G54" s="21" t="s">
        <v>45</v>
      </c>
      <c r="H54" s="22">
        <v>9</v>
      </c>
      <c r="I54" s="54"/>
      <c r="J54" s="55"/>
      <c r="K54" s="55"/>
      <c r="L54" s="56"/>
      <c r="M54" s="19">
        <f>SUM(2+2+6+4+6+17+4)</f>
      </c>
      <c r="N54" s="19">
        <f>SUM(2+1)</f>
      </c>
      <c r="O54" s="19">
        <v>0</v>
      </c>
      <c r="P54" s="19">
        <v>0</v>
      </c>
      <c r="Q54" s="19">
        <v>0</v>
      </c>
      <c r="R54" s="19">
        <v>0</v>
      </c>
      <c r="S54" s="64">
        <f>SUM(M54:R54)</f>
      </c>
      <c r="T54" s="19">
        <v>1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64">
        <f>SUM(T54:Y54)</f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64">
        <f>SUM(AA54:AF54)</f>
      </c>
      <c r="AH54" s="19">
        <f>SUM(3+4+10+4)</f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64">
        <f>SUM(AH54:AM54)</f>
      </c>
      <c r="AO54" s="19">
        <v>7</v>
      </c>
      <c r="AP54" s="19">
        <v>1</v>
      </c>
      <c r="AQ54" s="19">
        <v>0</v>
      </c>
      <c r="AR54" s="64">
        <f>SUM(AO54:AQ54)</f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64">
        <f>SUM(AS54:AX54)</f>
      </c>
      <c r="AZ54" s="19">
        <v>0</v>
      </c>
      <c r="BA54" s="19">
        <v>0</v>
      </c>
      <c r="BB54" s="19">
        <v>0</v>
      </c>
      <c r="BC54" s="64">
        <f>SUM(AZ54:BB54)</f>
      </c>
      <c r="BD54" s="19">
        <f>SUM(M54:R54,T54:Y54,AA54:AF54,AH54:AM54,AO54:AQ54,AS54:AX54,AZ54:BB54)</f>
      </c>
      <c r="BE54" s="26"/>
    </row>
    <row x14ac:dyDescent="0.25" r="55" customHeight="1" ht="18.75">
      <c r="A55" s="19">
        <v>303</v>
      </c>
      <c r="B55" s="19">
        <v>4</v>
      </c>
      <c r="C55" s="19">
        <v>5</v>
      </c>
      <c r="D55" s="20">
        <v>44737</v>
      </c>
      <c r="E55" s="21" t="s">
        <v>47</v>
      </c>
      <c r="F55" s="21" t="s">
        <v>46</v>
      </c>
      <c r="G55" s="21" t="s">
        <v>45</v>
      </c>
      <c r="H55" s="22">
        <v>9</v>
      </c>
      <c r="I55" s="54"/>
      <c r="J55" s="55"/>
      <c r="K55" s="55"/>
      <c r="L55" s="56"/>
      <c r="M55" s="19">
        <v>2</v>
      </c>
      <c r="N55" s="19">
        <v>1</v>
      </c>
      <c r="O55" s="19">
        <v>0</v>
      </c>
      <c r="P55" s="19">
        <v>0</v>
      </c>
      <c r="Q55" s="19">
        <v>0</v>
      </c>
      <c r="R55" s="19">
        <v>0</v>
      </c>
      <c r="S55" s="64">
        <f>SUM(M55:R55)</f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64">
        <f>SUM(T55:Y55)</f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64">
        <f>SUM(AA55:AF55)</f>
      </c>
      <c r="AH55" s="19">
        <v>1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64">
        <f>SUM(AH55:AM55)</f>
      </c>
      <c r="AO55" s="19">
        <v>0</v>
      </c>
      <c r="AP55" s="19">
        <v>0</v>
      </c>
      <c r="AQ55" s="19">
        <v>0</v>
      </c>
      <c r="AR55" s="64">
        <f>SUM(AO55:AQ55)</f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64">
        <f>SUM(AS55:AX55)</f>
      </c>
      <c r="AZ55" s="19">
        <v>0</v>
      </c>
      <c r="BA55" s="19">
        <v>0</v>
      </c>
      <c r="BB55" s="19">
        <v>0</v>
      </c>
      <c r="BC55" s="64">
        <f>SUM(AZ55:BB55)</f>
      </c>
      <c r="BD55" s="19">
        <f>SUM(M55:R55,T55:Y55,AA55:AF55,AH55:AM55,AO55:AQ55,AS55:AX55,AZ55:BB55)</f>
      </c>
      <c r="BE55" s="19">
        <v>5</v>
      </c>
    </row>
    <row x14ac:dyDescent="0.25" r="56" customHeight="1" ht="18.75">
      <c r="A56" s="19">
        <v>304</v>
      </c>
      <c r="B56" s="19">
        <v>3</v>
      </c>
      <c r="C56" s="19">
        <v>0</v>
      </c>
      <c r="D56" s="20">
        <v>44732</v>
      </c>
      <c r="E56" s="21" t="s">
        <v>47</v>
      </c>
      <c r="F56" s="21" t="s">
        <v>44</v>
      </c>
      <c r="G56" s="21" t="s">
        <v>45</v>
      </c>
      <c r="H56" s="22">
        <v>6</v>
      </c>
      <c r="I56" s="54"/>
      <c r="J56" s="55"/>
      <c r="K56" s="55"/>
      <c r="L56" s="56"/>
      <c r="M56" s="19">
        <f>SUM(25+38+10+12+35+10+41+32+12)</f>
      </c>
      <c r="N56" s="19">
        <f>SUM(2+1+2)</f>
      </c>
      <c r="O56" s="19">
        <v>4</v>
      </c>
      <c r="P56" s="19">
        <v>0</v>
      </c>
      <c r="Q56" s="19">
        <v>0</v>
      </c>
      <c r="R56" s="19">
        <v>0</v>
      </c>
      <c r="S56" s="64">
        <f>SUM(M56:R56)</f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64">
        <f>SUM(T56:Y56)</f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64">
        <f>SUM(AA56:AF56)</f>
      </c>
      <c r="AH56" s="19">
        <f>SUM(15+9+3+11+6+10)</f>
      </c>
      <c r="AI56" s="19">
        <f>SUM(6)</f>
      </c>
      <c r="AJ56" s="19">
        <v>1</v>
      </c>
      <c r="AK56" s="19">
        <v>0</v>
      </c>
      <c r="AL56" s="19">
        <v>0</v>
      </c>
      <c r="AM56" s="19">
        <v>0</v>
      </c>
      <c r="AN56" s="64">
        <f>SUM(AH56:AM56)</f>
      </c>
      <c r="AO56" s="19">
        <v>0</v>
      </c>
      <c r="AP56" s="19">
        <v>0</v>
      </c>
      <c r="AQ56" s="19">
        <v>0</v>
      </c>
      <c r="AR56" s="64">
        <f>SUM(AO56:AQ56)</f>
      </c>
      <c r="AS56" s="19">
        <v>0</v>
      </c>
      <c r="AT56" s="19">
        <v>0</v>
      </c>
      <c r="AU56" s="19">
        <v>5</v>
      </c>
      <c r="AV56" s="19">
        <v>0</v>
      </c>
      <c r="AW56" s="19">
        <v>0</v>
      </c>
      <c r="AX56" s="19">
        <v>0</v>
      </c>
      <c r="AY56" s="64">
        <f>SUM(AS56:AX56)</f>
      </c>
      <c r="AZ56" s="19">
        <v>3</v>
      </c>
      <c r="BA56" s="19">
        <v>1</v>
      </c>
      <c r="BB56" s="19">
        <v>2</v>
      </c>
      <c r="BC56" s="64">
        <f>SUM(AZ56:BB56)</f>
      </c>
      <c r="BD56" s="19">
        <f>SUM(M56:R56,T56:Y56,AA56:AF56,AH56:AM56,AO56:AQ56,AS56:AX56,AZ56:BB56)</f>
      </c>
      <c r="BE56" s="26"/>
    </row>
    <row x14ac:dyDescent="0.25" r="57" customHeight="1" ht="18.75">
      <c r="A57" s="19">
        <v>304</v>
      </c>
      <c r="B57" s="19">
        <v>3</v>
      </c>
      <c r="C57" s="19">
        <v>5</v>
      </c>
      <c r="D57" s="20">
        <v>44737</v>
      </c>
      <c r="E57" s="21" t="s">
        <v>47</v>
      </c>
      <c r="F57" s="21" t="s">
        <v>44</v>
      </c>
      <c r="G57" s="21" t="s">
        <v>45</v>
      </c>
      <c r="H57" s="22">
        <v>6</v>
      </c>
      <c r="I57" s="54"/>
      <c r="J57" s="55"/>
      <c r="K57" s="55"/>
      <c r="L57" s="56"/>
      <c r="M57" s="19">
        <v>1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64">
        <f>SUM(M57:R57)</f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64">
        <f>SUM(T57:Y57)</f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64">
        <f>SUM(AA57:AF57)</f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64">
        <f>SUM(AH57:AM57)</f>
      </c>
      <c r="AO57" s="19">
        <v>0</v>
      </c>
      <c r="AP57" s="19">
        <v>0</v>
      </c>
      <c r="AQ57" s="19">
        <v>0</v>
      </c>
      <c r="AR57" s="64">
        <f>SUM(AO57:AQ57)</f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64">
        <f>SUM(AS57:AX57)</f>
      </c>
      <c r="AZ57" s="19">
        <v>0</v>
      </c>
      <c r="BA57" s="19">
        <v>0</v>
      </c>
      <c r="BB57" s="19">
        <v>0</v>
      </c>
      <c r="BC57" s="64">
        <f>SUM(AZ57:BB57)</f>
      </c>
      <c r="BD57" s="19">
        <f>SUM(M57:R57,T57:Y57,AA57:AF57,AH57:AM57,AO57:AQ57,AS57:AX57,AZ57:BB57)</f>
      </c>
      <c r="BE57" s="19">
        <v>16</v>
      </c>
    </row>
    <row x14ac:dyDescent="0.25" r="58" customHeight="1" ht="18.75">
      <c r="A58" s="19">
        <v>305</v>
      </c>
      <c r="B58" s="19">
        <v>11</v>
      </c>
      <c r="C58" s="19">
        <v>0</v>
      </c>
      <c r="D58" s="20">
        <v>44740</v>
      </c>
      <c r="E58" s="21" t="s">
        <v>43</v>
      </c>
      <c r="F58" s="1" t="s">
        <v>44</v>
      </c>
      <c r="G58" s="21" t="s">
        <v>48</v>
      </c>
      <c r="H58" s="22">
        <v>11.5</v>
      </c>
      <c r="I58" s="23">
        <v>1</v>
      </c>
      <c r="J58" s="24">
        <v>0.31</v>
      </c>
      <c r="K58" s="24">
        <v>0.29</v>
      </c>
      <c r="L58" s="25">
        <v>0.06</v>
      </c>
      <c r="M58" s="19">
        <f>SUM(15+3+15+11+20)</f>
      </c>
      <c r="N58" s="19">
        <f>SUM(27+24+21+4+43+16+11+45+55+97+13)</f>
      </c>
      <c r="O58" s="19">
        <f>SUM(4+43+6+3+3)</f>
      </c>
      <c r="P58" s="19">
        <v>0</v>
      </c>
      <c r="Q58" s="19">
        <v>0</v>
      </c>
      <c r="R58" s="19">
        <v>0</v>
      </c>
      <c r="S58" s="64">
        <f>SUM(M58:R58)</f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64">
        <f>SUM(T58:Y58)</f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64">
        <f>SUM(AA58:AF58)</f>
      </c>
      <c r="AH58" s="19">
        <v>0</v>
      </c>
      <c r="AI58" s="19">
        <v>7</v>
      </c>
      <c r="AJ58" s="19">
        <v>5</v>
      </c>
      <c r="AK58" s="19">
        <v>0</v>
      </c>
      <c r="AL58" s="19">
        <v>0</v>
      </c>
      <c r="AM58" s="19">
        <v>0</v>
      </c>
      <c r="AN58" s="64">
        <f>SUM(AH58:AM58)</f>
      </c>
      <c r="AO58" s="19">
        <v>0</v>
      </c>
      <c r="AP58" s="19">
        <v>1</v>
      </c>
      <c r="AQ58" s="19">
        <v>0</v>
      </c>
      <c r="AR58" s="64">
        <f>SUM(AO58:AQ58)</f>
      </c>
      <c r="AS58" s="19">
        <v>1</v>
      </c>
      <c r="AT58" s="19">
        <v>1</v>
      </c>
      <c r="AU58" s="19">
        <v>1</v>
      </c>
      <c r="AV58" s="19">
        <v>0</v>
      </c>
      <c r="AW58" s="19">
        <v>0</v>
      </c>
      <c r="AX58" s="19">
        <v>0</v>
      </c>
      <c r="AY58" s="64">
        <f>SUM(AS58:AX58)</f>
      </c>
      <c r="AZ58" s="19">
        <v>0</v>
      </c>
      <c r="BA58" s="19">
        <v>0</v>
      </c>
      <c r="BB58" s="19">
        <v>2</v>
      </c>
      <c r="BC58" s="64">
        <f>SUM(AZ58:BB58)</f>
      </c>
      <c r="BD58" s="19">
        <f>SUM(M58:R58,T58:Y58,AA58:AF58,AH58:AM58,AO58:AQ58,AS58:AX58,AZ58:BB58)</f>
      </c>
      <c r="BE58" s="26"/>
    </row>
    <row x14ac:dyDescent="0.25" r="59" customHeight="1" ht="18.75">
      <c r="A59" s="19">
        <v>305</v>
      </c>
      <c r="B59" s="19">
        <v>11</v>
      </c>
      <c r="C59" s="19">
        <v>5</v>
      </c>
      <c r="D59" s="20">
        <v>44745</v>
      </c>
      <c r="E59" s="21" t="s">
        <v>43</v>
      </c>
      <c r="F59" s="1" t="s">
        <v>44</v>
      </c>
      <c r="G59" s="21" t="s">
        <v>48</v>
      </c>
      <c r="H59" s="22">
        <v>11.5</v>
      </c>
      <c r="I59" s="23">
        <v>1</v>
      </c>
      <c r="J59" s="24">
        <v>0.31</v>
      </c>
      <c r="K59" s="24">
        <v>0.29</v>
      </c>
      <c r="L59" s="25">
        <v>0.06</v>
      </c>
      <c r="M59" s="19">
        <v>2</v>
      </c>
      <c r="N59" s="19">
        <v>19</v>
      </c>
      <c r="O59" s="19">
        <v>22</v>
      </c>
      <c r="P59" s="19">
        <v>3</v>
      </c>
      <c r="Q59" s="19">
        <v>4</v>
      </c>
      <c r="R59" s="19">
        <v>5</v>
      </c>
      <c r="S59" s="64">
        <f>SUM(M59:R59)</f>
      </c>
      <c r="T59" s="19">
        <v>1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64">
        <f>SUM(T59:Y59)</f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64">
        <f>SUM(AA59:AF59)</f>
      </c>
      <c r="AH59" s="19">
        <v>0</v>
      </c>
      <c r="AI59" s="19">
        <v>1</v>
      </c>
      <c r="AJ59" s="19">
        <v>1</v>
      </c>
      <c r="AK59" s="19">
        <v>0</v>
      </c>
      <c r="AL59" s="19">
        <v>0</v>
      </c>
      <c r="AM59" s="19">
        <v>0</v>
      </c>
      <c r="AN59" s="64">
        <f>SUM(AH59:AM59)</f>
      </c>
      <c r="AO59" s="19">
        <v>0</v>
      </c>
      <c r="AP59" s="19">
        <v>0</v>
      </c>
      <c r="AQ59" s="19">
        <v>0</v>
      </c>
      <c r="AR59" s="64">
        <f>SUM(AO59:AQ59)</f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64">
        <f>SUM(AS59:AX59)</f>
      </c>
      <c r="AZ59" s="19">
        <v>0</v>
      </c>
      <c r="BA59" s="19">
        <v>0</v>
      </c>
      <c r="BB59" s="19">
        <v>0</v>
      </c>
      <c r="BC59" s="64">
        <f>SUM(AZ59:BB59)</f>
      </c>
      <c r="BD59" s="19">
        <f>SUM(M59:R59,T59:Y59,AA59:AF59,AH59:AM59,AO59:AQ59,AS59:AX59,AZ59:BB59)</f>
      </c>
      <c r="BE59" s="19">
        <v>0</v>
      </c>
    </row>
    <row x14ac:dyDescent="0.25" r="60" customHeight="1" ht="18.75">
      <c r="A60" s="19">
        <v>306</v>
      </c>
      <c r="B60" s="19">
        <v>1</v>
      </c>
      <c r="C60" s="19">
        <v>0</v>
      </c>
      <c r="D60" s="20">
        <v>44732</v>
      </c>
      <c r="E60" s="21" t="s">
        <v>43</v>
      </c>
      <c r="F60" s="21" t="s">
        <v>46</v>
      </c>
      <c r="G60" s="21" t="s">
        <v>45</v>
      </c>
      <c r="H60" s="53"/>
      <c r="I60" s="23">
        <v>1</v>
      </c>
      <c r="J60" s="24">
        <v>0.34</v>
      </c>
      <c r="K60" s="24">
        <v>0.22</v>
      </c>
      <c r="L60" s="25">
        <v>0.35</v>
      </c>
      <c r="M60" s="19">
        <f>SUM(19+12+43+25+11+25+28+26+11)</f>
      </c>
      <c r="N60" s="19">
        <v>9</v>
      </c>
      <c r="O60" s="19">
        <v>9</v>
      </c>
      <c r="P60" s="19">
        <v>0</v>
      </c>
      <c r="Q60" s="19">
        <v>0</v>
      </c>
      <c r="R60" s="19">
        <v>0</v>
      </c>
      <c r="S60" s="64">
        <f>SUM(M60:R60)</f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64">
        <f>SUM(T60:Y60)</f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64">
        <f>SUM(AA60:AF60)</f>
      </c>
      <c r="AH60" s="19">
        <f>SUM(3+2+4+1+31)</f>
      </c>
      <c r="AI60" s="19">
        <f>SUM(8)</f>
      </c>
      <c r="AJ60" s="19">
        <v>0</v>
      </c>
      <c r="AK60" s="19">
        <v>0</v>
      </c>
      <c r="AL60" s="19">
        <v>0</v>
      </c>
      <c r="AM60" s="19">
        <v>0</v>
      </c>
      <c r="AN60" s="64">
        <f>SUM(AH60:AM60)</f>
      </c>
      <c r="AO60" s="19">
        <f>SUM(6+7+5+4+10+16)</f>
      </c>
      <c r="AP60" s="19">
        <v>3</v>
      </c>
      <c r="AQ60" s="19">
        <v>1</v>
      </c>
      <c r="AR60" s="64">
        <f>SUM(AO60:AQ60)</f>
      </c>
      <c r="AS60" s="19">
        <v>0</v>
      </c>
      <c r="AT60" s="19">
        <v>0</v>
      </c>
      <c r="AU60" s="19">
        <v>2</v>
      </c>
      <c r="AV60" s="19">
        <v>0</v>
      </c>
      <c r="AW60" s="19">
        <v>0</v>
      </c>
      <c r="AX60" s="19">
        <v>0</v>
      </c>
      <c r="AY60" s="64">
        <f>SUM(AS60:AX60)</f>
      </c>
      <c r="AZ60" s="19">
        <v>2</v>
      </c>
      <c r="BA60" s="19">
        <v>0</v>
      </c>
      <c r="BB60" s="19">
        <v>1</v>
      </c>
      <c r="BC60" s="64">
        <f>SUM(AZ60:BB60)</f>
      </c>
      <c r="BD60" s="19">
        <f>SUM(M60:R60,T60:Y60,AA60:AF60,AH60:AM60,AO60:AQ60,AS60:AX60,AZ60:BB60)</f>
      </c>
      <c r="BE60" s="26"/>
    </row>
    <row x14ac:dyDescent="0.25" r="61" customHeight="1" ht="18.75">
      <c r="A61" s="19">
        <v>306</v>
      </c>
      <c r="B61" s="19">
        <v>1</v>
      </c>
      <c r="C61" s="19">
        <v>5</v>
      </c>
      <c r="D61" s="20">
        <v>44737</v>
      </c>
      <c r="E61" s="21" t="s">
        <v>43</v>
      </c>
      <c r="F61" s="21" t="s">
        <v>46</v>
      </c>
      <c r="G61" s="21" t="s">
        <v>45</v>
      </c>
      <c r="H61" s="53"/>
      <c r="I61" s="23">
        <v>1</v>
      </c>
      <c r="J61" s="24">
        <v>0.34</v>
      </c>
      <c r="K61" s="24">
        <v>0.22</v>
      </c>
      <c r="L61" s="25">
        <v>0.35</v>
      </c>
      <c r="M61" s="19">
        <f>SUM(10+1+9+2+16+15+17)</f>
      </c>
      <c r="N61" s="19">
        <f>SUM(14+15+3+22+1)</f>
      </c>
      <c r="O61" s="19">
        <v>10</v>
      </c>
      <c r="P61" s="19">
        <v>1</v>
      </c>
      <c r="Q61" s="19">
        <v>2</v>
      </c>
      <c r="R61" s="19">
        <v>0</v>
      </c>
      <c r="S61" s="64">
        <f>SUM(M61:R61)</f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64">
        <f>SUM(T61:Y61)</f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64">
        <f>SUM(AA61:AF61)</f>
      </c>
      <c r="AH61" s="19">
        <v>2</v>
      </c>
      <c r="AI61" s="19">
        <v>2</v>
      </c>
      <c r="AJ61" s="19">
        <v>1</v>
      </c>
      <c r="AK61" s="19">
        <v>0</v>
      </c>
      <c r="AL61" s="19">
        <v>0</v>
      </c>
      <c r="AM61" s="19">
        <v>0</v>
      </c>
      <c r="AN61" s="64">
        <f>SUM(AH61:AM61)</f>
      </c>
      <c r="AO61" s="19">
        <v>0</v>
      </c>
      <c r="AP61" s="19">
        <v>0</v>
      </c>
      <c r="AQ61" s="19">
        <v>0</v>
      </c>
      <c r="AR61" s="64">
        <f>SUM(AO61:AQ61)</f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64">
        <f>SUM(AS61:AX61)</f>
      </c>
      <c r="AZ61" s="19">
        <v>0</v>
      </c>
      <c r="BA61" s="19">
        <v>0</v>
      </c>
      <c r="BB61" s="19">
        <v>0</v>
      </c>
      <c r="BC61" s="64">
        <f>SUM(AZ61:BB61)</f>
      </c>
      <c r="BD61" s="19">
        <f>SUM(M61:R61,T61:Y61,AA61:AF61,AH61:AM61,AO61:AQ61,AS61:AX61,AZ61:BB61)</f>
      </c>
      <c r="BE61" s="19">
        <v>0</v>
      </c>
    </row>
    <row x14ac:dyDescent="0.25" r="62" customHeight="1" ht="18.75">
      <c r="A62" s="19">
        <v>307</v>
      </c>
      <c r="B62" s="19">
        <v>2</v>
      </c>
      <c r="C62" s="19">
        <v>0</v>
      </c>
      <c r="D62" s="20">
        <v>44732</v>
      </c>
      <c r="E62" s="21" t="s">
        <v>43</v>
      </c>
      <c r="F62" s="21" t="s">
        <v>44</v>
      </c>
      <c r="G62" s="21" t="s">
        <v>45</v>
      </c>
      <c r="H62" s="53"/>
      <c r="I62" s="23">
        <v>5</v>
      </c>
      <c r="J62" s="24">
        <v>0.4</v>
      </c>
      <c r="K62" s="24">
        <v>0.07</v>
      </c>
      <c r="L62" s="25">
        <v>0.83</v>
      </c>
      <c r="M62" s="19">
        <f>SUM(1+10+7+12+22+10+12)</f>
      </c>
      <c r="N62" s="19">
        <v>1</v>
      </c>
      <c r="O62" s="19">
        <v>0</v>
      </c>
      <c r="P62" s="19">
        <v>0</v>
      </c>
      <c r="Q62" s="19">
        <v>0</v>
      </c>
      <c r="R62" s="19">
        <v>0</v>
      </c>
      <c r="S62" s="64">
        <f>SUM(M62:R62)</f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64">
        <f>SUM(T62:Y62)</f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64">
        <f>SUM(AA62:AF62)</f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64">
        <f>SUM(AH62:AM62)</f>
      </c>
      <c r="AO62" s="19">
        <v>0</v>
      </c>
      <c r="AP62" s="19">
        <v>0</v>
      </c>
      <c r="AQ62" s="19">
        <v>0</v>
      </c>
      <c r="AR62" s="64">
        <f>SUM(AO62:AQ62)</f>
      </c>
      <c r="AS62" s="19">
        <v>0</v>
      </c>
      <c r="AT62" s="19">
        <v>0</v>
      </c>
      <c r="AU62" s="19">
        <v>2</v>
      </c>
      <c r="AV62" s="19">
        <v>0</v>
      </c>
      <c r="AW62" s="19">
        <v>0</v>
      </c>
      <c r="AX62" s="19">
        <v>0</v>
      </c>
      <c r="AY62" s="64">
        <f>SUM(AS62:AX62)</f>
      </c>
      <c r="AZ62" s="19">
        <v>0</v>
      </c>
      <c r="BA62" s="19">
        <v>0</v>
      </c>
      <c r="BB62" s="19">
        <v>0</v>
      </c>
      <c r="BC62" s="64">
        <f>SUM(AZ62:BB62)</f>
      </c>
      <c r="BD62" s="19">
        <f>SUM(M62:R62,T62:Y62,AA62:AF62,AH62:AM62,AO62:AQ62,AS62:AX62,AZ62:BB62)</f>
      </c>
      <c r="BE62" s="26"/>
    </row>
    <row x14ac:dyDescent="0.25" r="63" customHeight="1" ht="18.75">
      <c r="A63" s="19">
        <v>307</v>
      </c>
      <c r="B63" s="19">
        <v>2</v>
      </c>
      <c r="C63" s="19">
        <v>5</v>
      </c>
      <c r="D63" s="20">
        <v>44737</v>
      </c>
      <c r="E63" s="21" t="s">
        <v>43</v>
      </c>
      <c r="F63" s="21" t="s">
        <v>44</v>
      </c>
      <c r="G63" s="21" t="s">
        <v>45</v>
      </c>
      <c r="H63" s="53"/>
      <c r="I63" s="23">
        <v>5</v>
      </c>
      <c r="J63" s="24">
        <v>0.4</v>
      </c>
      <c r="K63" s="24">
        <v>0.07</v>
      </c>
      <c r="L63" s="25">
        <v>0.83</v>
      </c>
      <c r="M63" s="19">
        <f>SUM(10+24+14+7+10)</f>
      </c>
      <c r="N63" s="19">
        <f>SUM(3+12+16)</f>
      </c>
      <c r="O63" s="19">
        <v>5</v>
      </c>
      <c r="P63" s="19">
        <v>1</v>
      </c>
      <c r="Q63" s="19">
        <v>0</v>
      </c>
      <c r="R63" s="19">
        <v>0</v>
      </c>
      <c r="S63" s="64">
        <f>SUM(M63:R63)</f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64">
        <f>SUM(T63:Y63)</f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64">
        <f>SUM(AA63:AF63)</f>
      </c>
      <c r="AH63" s="19">
        <f>SUM(4+5+3+4)</f>
      </c>
      <c r="AI63" s="19">
        <f>SUM(19+5+4+4)</f>
      </c>
      <c r="AJ63" s="19">
        <v>2</v>
      </c>
      <c r="AK63" s="19">
        <v>1</v>
      </c>
      <c r="AL63" s="19">
        <v>1</v>
      </c>
      <c r="AM63" s="19">
        <v>0</v>
      </c>
      <c r="AN63" s="64">
        <f>SUM(AH63:AM63)</f>
      </c>
      <c r="AO63" s="19">
        <v>0</v>
      </c>
      <c r="AP63" s="19">
        <v>0</v>
      </c>
      <c r="AQ63" s="19">
        <v>0</v>
      </c>
      <c r="AR63" s="64">
        <f>SUM(AO63:AQ63)</f>
      </c>
      <c r="AS63" s="19">
        <v>0</v>
      </c>
      <c r="AT63" s="19">
        <v>0</v>
      </c>
      <c r="AU63" s="19">
        <v>1</v>
      </c>
      <c r="AV63" s="19">
        <v>0</v>
      </c>
      <c r="AW63" s="19">
        <v>0</v>
      </c>
      <c r="AX63" s="19">
        <v>0</v>
      </c>
      <c r="AY63" s="64">
        <f>SUM(AS63:AX63)</f>
      </c>
      <c r="AZ63" s="19">
        <v>0</v>
      </c>
      <c r="BA63" s="19">
        <v>0</v>
      </c>
      <c r="BB63" s="19">
        <v>0</v>
      </c>
      <c r="BC63" s="64">
        <f>SUM(AZ63:BB63)</f>
      </c>
      <c r="BD63" s="19">
        <f>SUM(M63:R63,T63:Y63,AA63:AF63,AH63:AM63,AO63:AQ63,AS63:AX63,AZ63:BB63)</f>
      </c>
      <c r="BE63" s="19">
        <v>1</v>
      </c>
    </row>
    <row x14ac:dyDescent="0.25" r="64" customHeight="1" ht="18.75">
      <c r="A64" s="19">
        <v>308</v>
      </c>
      <c r="B64" s="19">
        <v>8</v>
      </c>
      <c r="C64" s="19">
        <v>0</v>
      </c>
      <c r="D64" s="20">
        <v>44740</v>
      </c>
      <c r="E64" s="21" t="s">
        <v>47</v>
      </c>
      <c r="F64" s="1" t="s">
        <v>44</v>
      </c>
      <c r="G64" s="21" t="s">
        <v>48</v>
      </c>
      <c r="H64" s="22">
        <v>9</v>
      </c>
      <c r="I64" s="54"/>
      <c r="J64" s="55"/>
      <c r="K64" s="55"/>
      <c r="L64" s="56"/>
      <c r="M64" s="19">
        <f>SUM(1+1+104+1)</f>
      </c>
      <c r="N64" s="19">
        <f>SUM(7+10+12+11+4)</f>
      </c>
      <c r="O64" s="19">
        <f>SUM(1+7+1)</f>
      </c>
      <c r="P64" s="19">
        <v>0</v>
      </c>
      <c r="Q64" s="19">
        <v>0</v>
      </c>
      <c r="R64" s="19">
        <v>0</v>
      </c>
      <c r="S64" s="64">
        <f>SUM(M64:R64)</f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64">
        <f>SUM(T64:Y64)</f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64">
        <f>SUM(AA64:AF64)</f>
      </c>
      <c r="AH64" s="19">
        <v>1</v>
      </c>
      <c r="AI64" s="19">
        <v>14</v>
      </c>
      <c r="AJ64" s="19">
        <v>6</v>
      </c>
      <c r="AK64" s="19">
        <v>0</v>
      </c>
      <c r="AL64" s="19">
        <v>0</v>
      </c>
      <c r="AM64" s="19">
        <v>0</v>
      </c>
      <c r="AN64" s="64">
        <f>SUM(AH64:AM64)</f>
      </c>
      <c r="AO64" s="19">
        <v>0</v>
      </c>
      <c r="AP64" s="19">
        <v>0</v>
      </c>
      <c r="AQ64" s="19">
        <v>1</v>
      </c>
      <c r="AR64" s="64">
        <f>SUM(AO64:AQ64)</f>
      </c>
      <c r="AS64" s="19">
        <v>2</v>
      </c>
      <c r="AT64" s="19">
        <v>1</v>
      </c>
      <c r="AU64" s="19">
        <v>2</v>
      </c>
      <c r="AV64" s="19">
        <v>0</v>
      </c>
      <c r="AW64" s="19">
        <v>0</v>
      </c>
      <c r="AX64" s="19">
        <v>0</v>
      </c>
      <c r="AY64" s="64">
        <f>SUM(AS64:AX64)</f>
      </c>
      <c r="AZ64" s="19">
        <v>0</v>
      </c>
      <c r="BA64" s="19">
        <v>0</v>
      </c>
      <c r="BB64" s="19">
        <v>0</v>
      </c>
      <c r="BC64" s="64">
        <f>SUM(AZ64:BB64)</f>
      </c>
      <c r="BD64" s="19">
        <f>SUM(M64:R64,T64:Y64,AA64:AF64,AH64:AM64,AO64:AQ64,AS64:AX64,AZ64:BB64)</f>
      </c>
      <c r="BE64" s="26"/>
    </row>
    <row x14ac:dyDescent="0.25" r="65" customHeight="1" ht="18.75">
      <c r="A65" s="19">
        <v>308</v>
      </c>
      <c r="B65" s="19">
        <v>8</v>
      </c>
      <c r="C65" s="19">
        <v>5</v>
      </c>
      <c r="D65" s="20">
        <v>44745</v>
      </c>
      <c r="E65" s="21" t="s">
        <v>47</v>
      </c>
      <c r="F65" s="1" t="s">
        <v>44</v>
      </c>
      <c r="G65" s="21" t="s">
        <v>48</v>
      </c>
      <c r="H65" s="22">
        <v>9</v>
      </c>
      <c r="I65" s="54"/>
      <c r="J65" s="55"/>
      <c r="K65" s="55"/>
      <c r="L65" s="56"/>
      <c r="M65" s="19">
        <v>1</v>
      </c>
      <c r="N65" s="19">
        <v>7</v>
      </c>
      <c r="O65" s="19">
        <v>1</v>
      </c>
      <c r="P65" s="19">
        <v>0</v>
      </c>
      <c r="Q65" s="19">
        <v>0</v>
      </c>
      <c r="R65" s="19">
        <v>0</v>
      </c>
      <c r="S65" s="64">
        <f>SUM(M65:R65)</f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64">
        <f>SUM(T65:Y65)</f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64">
        <f>SUM(AA65:AF65)</f>
      </c>
      <c r="AH65" s="19">
        <v>0</v>
      </c>
      <c r="AI65" s="19">
        <v>0</v>
      </c>
      <c r="AJ65" s="19">
        <v>1</v>
      </c>
      <c r="AK65" s="19">
        <v>0</v>
      </c>
      <c r="AL65" s="19">
        <v>0</v>
      </c>
      <c r="AM65" s="19">
        <v>1</v>
      </c>
      <c r="AN65" s="64">
        <f>SUM(AH65:AM65)</f>
      </c>
      <c r="AO65" s="19">
        <v>0</v>
      </c>
      <c r="AP65" s="19">
        <v>0</v>
      </c>
      <c r="AQ65" s="19">
        <v>0</v>
      </c>
      <c r="AR65" s="64">
        <f>SUM(AO65:AQ65)</f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64">
        <f>SUM(AS65:AX65)</f>
      </c>
      <c r="AZ65" s="19">
        <v>0</v>
      </c>
      <c r="BA65" s="19">
        <v>0</v>
      </c>
      <c r="BB65" s="19">
        <v>0</v>
      </c>
      <c r="BC65" s="64">
        <f>SUM(AZ65:BB65)</f>
      </c>
      <c r="BD65" s="19">
        <f>SUM(M65:R65,T65:Y65,AA65:AF65,AH65:AM65,AO65:AQ65,AS65:AX65,AZ65:BB65)</f>
      </c>
      <c r="BE65" s="19">
        <v>0</v>
      </c>
    </row>
    <row x14ac:dyDescent="0.25" r="66" customHeight="1" ht="18.75">
      <c r="A66" s="19">
        <v>309</v>
      </c>
      <c r="B66" s="19">
        <v>5</v>
      </c>
      <c r="C66" s="19">
        <v>0</v>
      </c>
      <c r="D66" s="20">
        <v>44740</v>
      </c>
      <c r="E66" s="21" t="s">
        <v>43</v>
      </c>
      <c r="F66" s="1" t="s">
        <v>44</v>
      </c>
      <c r="G66" s="21" t="s">
        <v>48</v>
      </c>
      <c r="H66" s="22">
        <v>9</v>
      </c>
      <c r="I66" s="23">
        <v>1</v>
      </c>
      <c r="J66" s="24">
        <v>0.3</v>
      </c>
      <c r="K66" s="24">
        <v>0.29</v>
      </c>
      <c r="L66" s="25">
        <v>0.03</v>
      </c>
      <c r="M66" s="19">
        <f>SUM(9+13+12+7+13)</f>
      </c>
      <c r="N66" s="19">
        <f>SUM(45+19+86+52+120+55+106+22)</f>
      </c>
      <c r="O66" s="19">
        <f>SUM(6+12+14+1)</f>
      </c>
      <c r="P66" s="19">
        <v>0</v>
      </c>
      <c r="Q66" s="19">
        <v>0</v>
      </c>
      <c r="R66" s="19">
        <v>0</v>
      </c>
      <c r="S66" s="64">
        <f>SUM(M66:R66)</f>
      </c>
      <c r="T66" s="19">
        <v>1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64">
        <f>SUM(T66:Y66)</f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64">
        <f>SUM(AA66:AF66)</f>
      </c>
      <c r="AH66" s="19">
        <v>4</v>
      </c>
      <c r="AI66" s="19">
        <v>12</v>
      </c>
      <c r="AJ66" s="19">
        <v>8</v>
      </c>
      <c r="AK66" s="19">
        <v>0</v>
      </c>
      <c r="AL66" s="19">
        <v>0</v>
      </c>
      <c r="AM66" s="19">
        <v>0</v>
      </c>
      <c r="AN66" s="64">
        <f>SUM(AH66:AM66)</f>
      </c>
      <c r="AO66" s="19">
        <v>0</v>
      </c>
      <c r="AP66" s="19">
        <v>0</v>
      </c>
      <c r="AQ66" s="19">
        <v>0</v>
      </c>
      <c r="AR66" s="64">
        <f>SUM(AO66:AQ66)</f>
      </c>
      <c r="AS66" s="19">
        <v>2</v>
      </c>
      <c r="AT66" s="19">
        <v>2</v>
      </c>
      <c r="AU66" s="19">
        <v>1</v>
      </c>
      <c r="AV66" s="19">
        <v>0</v>
      </c>
      <c r="AW66" s="19">
        <v>0</v>
      </c>
      <c r="AX66" s="19">
        <v>0</v>
      </c>
      <c r="AY66" s="64">
        <f>SUM(AS66:AX66)</f>
      </c>
      <c r="AZ66" s="19">
        <v>0</v>
      </c>
      <c r="BA66" s="19">
        <v>0</v>
      </c>
      <c r="BB66" s="19">
        <v>2</v>
      </c>
      <c r="BC66" s="64">
        <f>SUM(AZ66:BB66)</f>
      </c>
      <c r="BD66" s="19">
        <f>SUM(M66:R66,T66:Y66,AA66:AF66,AH66:AM66,AO66:AQ66,AS66:AX66,AZ66:BB66)</f>
      </c>
      <c r="BE66" s="26"/>
    </row>
    <row x14ac:dyDescent="0.25" r="67" customHeight="1" ht="18.75">
      <c r="A67" s="19">
        <v>309</v>
      </c>
      <c r="B67" s="19">
        <v>5</v>
      </c>
      <c r="C67" s="19">
        <v>5</v>
      </c>
      <c r="D67" s="20">
        <v>44745</v>
      </c>
      <c r="E67" s="21" t="s">
        <v>43</v>
      </c>
      <c r="F67" s="1" t="s">
        <v>44</v>
      </c>
      <c r="G67" s="21" t="s">
        <v>48</v>
      </c>
      <c r="H67" s="22">
        <v>9</v>
      </c>
      <c r="I67" s="23">
        <v>1</v>
      </c>
      <c r="J67" s="24">
        <v>0.3</v>
      </c>
      <c r="K67" s="24">
        <v>0.29</v>
      </c>
      <c r="L67" s="25">
        <v>0.03</v>
      </c>
      <c r="M67" s="19">
        <v>1</v>
      </c>
      <c r="N67" s="19">
        <v>3</v>
      </c>
      <c r="O67" s="19">
        <v>0</v>
      </c>
      <c r="P67" s="19">
        <v>0</v>
      </c>
      <c r="Q67" s="19">
        <v>0</v>
      </c>
      <c r="R67" s="19">
        <v>2</v>
      </c>
      <c r="S67" s="64">
        <f>SUM(M67:R67)</f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64">
        <f>SUM(T67:Y67)</f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64">
        <f>SUM(AA67:AF67)</f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64">
        <f>SUM(AH67:AM67)</f>
      </c>
      <c r="AO67" s="19">
        <v>0</v>
      </c>
      <c r="AP67" s="19">
        <v>0</v>
      </c>
      <c r="AQ67" s="19">
        <v>0</v>
      </c>
      <c r="AR67" s="64">
        <f>SUM(AO67:AQ67)</f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64">
        <f>SUM(AS67:AX67)</f>
      </c>
      <c r="AZ67" s="19">
        <v>0</v>
      </c>
      <c r="BA67" s="19">
        <v>0</v>
      </c>
      <c r="BB67" s="19">
        <v>0</v>
      </c>
      <c r="BC67" s="64">
        <f>SUM(AZ67:BB67)</f>
      </c>
      <c r="BD67" s="19">
        <f>SUM(M67:R67,T67:Y67,AA67:AF67,AH67:AM67,AO67:AQ67,AS67:AX67,AZ67:BB67)</f>
      </c>
      <c r="BE67" s="19">
        <v>0</v>
      </c>
    </row>
    <row x14ac:dyDescent="0.25" r="68" customHeight="1" ht="18.75">
      <c r="A68" s="19">
        <v>310</v>
      </c>
      <c r="B68" s="19">
        <v>6</v>
      </c>
      <c r="C68" s="19">
        <v>0</v>
      </c>
      <c r="D68" s="20">
        <v>44740</v>
      </c>
      <c r="E68" s="21" t="s">
        <v>43</v>
      </c>
      <c r="F68" s="21" t="s">
        <v>46</v>
      </c>
      <c r="G68" s="21" t="s">
        <v>48</v>
      </c>
      <c r="H68" s="22">
        <v>9</v>
      </c>
      <c r="I68" s="23">
        <v>0</v>
      </c>
      <c r="J68" s="24">
        <v>0.32</v>
      </c>
      <c r="K68" s="24">
        <v>0.31</v>
      </c>
      <c r="L68" s="25">
        <v>0.02</v>
      </c>
      <c r="M68" s="19">
        <f>SUM(17+8+20+9)</f>
      </c>
      <c r="N68" s="19">
        <f>SUM(216+14+84+23+47)</f>
      </c>
      <c r="O68" s="19">
        <f>SUM(3+8+74+5+1)</f>
      </c>
      <c r="P68" s="19">
        <v>0</v>
      </c>
      <c r="Q68" s="19">
        <v>0</v>
      </c>
      <c r="R68" s="19">
        <v>0</v>
      </c>
      <c r="S68" s="64">
        <f>SUM(M68:R68)</f>
      </c>
      <c r="T68" s="19">
        <v>20</v>
      </c>
      <c r="U68" s="19">
        <v>4</v>
      </c>
      <c r="V68" s="19">
        <v>0</v>
      </c>
      <c r="W68" s="19">
        <v>0</v>
      </c>
      <c r="X68" s="19">
        <v>0</v>
      </c>
      <c r="Y68" s="19">
        <v>0</v>
      </c>
      <c r="Z68" s="64">
        <f>SUM(T68:Y68)</f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64">
        <f>SUM(AA68:AF68)</f>
      </c>
      <c r="AH68" s="19">
        <v>2</v>
      </c>
      <c r="AI68" s="19">
        <v>2</v>
      </c>
      <c r="AJ68" s="19">
        <v>1</v>
      </c>
      <c r="AK68" s="19">
        <v>0</v>
      </c>
      <c r="AL68" s="19">
        <v>0</v>
      </c>
      <c r="AM68" s="19">
        <v>0</v>
      </c>
      <c r="AN68" s="64">
        <f>SUM(AH68:AM68)</f>
      </c>
      <c r="AO68" s="19">
        <v>2</v>
      </c>
      <c r="AP68" s="19">
        <v>1</v>
      </c>
      <c r="AQ68" s="19">
        <v>1</v>
      </c>
      <c r="AR68" s="64">
        <f>SUM(AO68:AQ68)</f>
      </c>
      <c r="AS68" s="19">
        <v>0</v>
      </c>
      <c r="AT68" s="19">
        <v>1</v>
      </c>
      <c r="AU68" s="19">
        <v>2</v>
      </c>
      <c r="AV68" s="19">
        <v>0</v>
      </c>
      <c r="AW68" s="19">
        <v>0</v>
      </c>
      <c r="AX68" s="19">
        <v>0</v>
      </c>
      <c r="AY68" s="64">
        <f>SUM(AS68:AX68)</f>
      </c>
      <c r="AZ68" s="19">
        <v>0</v>
      </c>
      <c r="BA68" s="19">
        <v>0</v>
      </c>
      <c r="BB68" s="19">
        <v>0</v>
      </c>
      <c r="BC68" s="64">
        <f>SUM(AZ68:BB68)</f>
      </c>
      <c r="BD68" s="19">
        <f>SUM(M68:R68,T68:Y68,AA68:AF68,AH68:AM68,AO68:AQ68,AS68:AX68,AZ68:BB68)</f>
      </c>
      <c r="BE68" s="26"/>
    </row>
    <row x14ac:dyDescent="0.25" r="69" customHeight="1" ht="18.75">
      <c r="A69" s="19">
        <v>310</v>
      </c>
      <c r="B69" s="19">
        <v>6</v>
      </c>
      <c r="C69" s="19">
        <v>5</v>
      </c>
      <c r="D69" s="20">
        <v>44745</v>
      </c>
      <c r="E69" s="21" t="s">
        <v>43</v>
      </c>
      <c r="F69" s="21" t="s">
        <v>46</v>
      </c>
      <c r="G69" s="21" t="s">
        <v>48</v>
      </c>
      <c r="H69" s="22">
        <v>9</v>
      </c>
      <c r="I69" s="23">
        <v>0</v>
      </c>
      <c r="J69" s="24">
        <v>0.32</v>
      </c>
      <c r="K69" s="24">
        <v>0.31</v>
      </c>
      <c r="L69" s="25">
        <v>0.02</v>
      </c>
      <c r="M69" s="19">
        <v>1</v>
      </c>
      <c r="N69" s="19">
        <v>4</v>
      </c>
      <c r="O69" s="19">
        <v>2</v>
      </c>
      <c r="P69" s="19">
        <v>0</v>
      </c>
      <c r="Q69" s="19">
        <v>3</v>
      </c>
      <c r="R69" s="19">
        <v>0</v>
      </c>
      <c r="S69" s="64">
        <f>SUM(M69:R69)</f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64">
        <f>SUM(T69:Y69)</f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64">
        <f>SUM(AA69:AF69)</f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64">
        <f>SUM(AH69:AM69)</f>
      </c>
      <c r="AO69" s="19">
        <v>0</v>
      </c>
      <c r="AP69" s="19">
        <v>0</v>
      </c>
      <c r="AQ69" s="19">
        <v>0</v>
      </c>
      <c r="AR69" s="64">
        <f>SUM(AO69:AQ69)</f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64">
        <f>SUM(AS69:AX69)</f>
      </c>
      <c r="AZ69" s="19">
        <v>0</v>
      </c>
      <c r="BA69" s="19">
        <v>0</v>
      </c>
      <c r="BB69" s="19">
        <v>0</v>
      </c>
      <c r="BC69" s="64">
        <f>SUM(AZ69:BB69)</f>
      </c>
      <c r="BD69" s="19">
        <f>SUM(M69:R69,T69:Y69,AA69:AF69,AH69:AM69,AO69:AQ69,AS69:AX69,AZ69:BB69)</f>
      </c>
      <c r="BE69" s="19">
        <v>3</v>
      </c>
    </row>
    <row x14ac:dyDescent="0.25" r="70" customHeight="1" ht="18.75">
      <c r="A70" s="19">
        <v>311</v>
      </c>
      <c r="B70" s="19">
        <v>9</v>
      </c>
      <c r="C70" s="19">
        <v>0</v>
      </c>
      <c r="D70" s="20">
        <v>44740</v>
      </c>
      <c r="E70" s="21" t="s">
        <v>43</v>
      </c>
      <c r="F70" s="1" t="s">
        <v>46</v>
      </c>
      <c r="G70" s="21" t="s">
        <v>48</v>
      </c>
      <c r="H70" s="22">
        <v>9.5</v>
      </c>
      <c r="I70" s="23">
        <v>1</v>
      </c>
      <c r="J70" s="24">
        <v>0.32</v>
      </c>
      <c r="K70" s="24">
        <v>0.28</v>
      </c>
      <c r="L70" s="25">
        <v>0.14</v>
      </c>
      <c r="M70" s="19">
        <f>SUM(1+3+3)</f>
      </c>
      <c r="N70" s="19">
        <f>SUM(24+32+13+4)</f>
      </c>
      <c r="O70" s="19">
        <v>4</v>
      </c>
      <c r="P70" s="19">
        <v>0</v>
      </c>
      <c r="Q70" s="19">
        <v>0</v>
      </c>
      <c r="R70" s="19">
        <v>0</v>
      </c>
      <c r="S70" s="64">
        <f>SUM(M70:R70)</f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64">
        <f>SUM(T70:Y70)</f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64">
        <f>SUM(AA70:AF70)</f>
      </c>
      <c r="AH70" s="19">
        <v>2</v>
      </c>
      <c r="AI70" s="19">
        <v>23</v>
      </c>
      <c r="AJ70" s="19">
        <v>6</v>
      </c>
      <c r="AK70" s="19">
        <v>0</v>
      </c>
      <c r="AL70" s="19">
        <v>0</v>
      </c>
      <c r="AM70" s="19">
        <v>0</v>
      </c>
      <c r="AN70" s="64">
        <f>SUM(AH70:AM70)</f>
      </c>
      <c r="AO70" s="19">
        <v>0</v>
      </c>
      <c r="AP70" s="19">
        <v>0</v>
      </c>
      <c r="AQ70" s="19">
        <v>0</v>
      </c>
      <c r="AR70" s="64">
        <f>SUM(AO70:AQ70)</f>
      </c>
      <c r="AS70" s="19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64">
        <f>SUM(AS70:AX70)</f>
      </c>
      <c r="AZ70" s="19">
        <v>0</v>
      </c>
      <c r="BA70" s="19">
        <v>0</v>
      </c>
      <c r="BB70" s="19">
        <v>0</v>
      </c>
      <c r="BC70" s="64">
        <f>SUM(AZ70:BB70)</f>
      </c>
      <c r="BD70" s="19">
        <f>SUM(M70:R70,T70:Y70,AA70:AF70,AH70:AM70,AO70:AQ70,AS70:AX70,AZ70:BB70)</f>
      </c>
      <c r="BE70" s="26"/>
    </row>
    <row x14ac:dyDescent="0.25" r="71" customHeight="1" ht="18.75">
      <c r="A71" s="19">
        <v>311</v>
      </c>
      <c r="B71" s="19">
        <v>9</v>
      </c>
      <c r="C71" s="19">
        <v>5</v>
      </c>
      <c r="D71" s="20">
        <v>44745</v>
      </c>
      <c r="E71" s="21" t="s">
        <v>43</v>
      </c>
      <c r="F71" s="1" t="s">
        <v>46</v>
      </c>
      <c r="G71" s="21" t="s">
        <v>48</v>
      </c>
      <c r="H71" s="22">
        <v>9.5</v>
      </c>
      <c r="I71" s="23">
        <v>1</v>
      </c>
      <c r="J71" s="55"/>
      <c r="K71" s="55"/>
      <c r="L71" s="56"/>
      <c r="M71" s="19">
        <v>0</v>
      </c>
      <c r="N71" s="19">
        <v>7</v>
      </c>
      <c r="O71" s="19">
        <v>8</v>
      </c>
      <c r="P71" s="19">
        <v>0</v>
      </c>
      <c r="Q71" s="19">
        <v>0</v>
      </c>
      <c r="R71" s="19">
        <v>0</v>
      </c>
      <c r="S71" s="64">
        <f>SUM(M71:R71)</f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64">
        <f>SUM(T71:Y71)</f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64">
        <f>SUM(AA71:AF71)</f>
      </c>
      <c r="AH71" s="19">
        <v>1</v>
      </c>
      <c r="AI71" s="19">
        <v>0</v>
      </c>
      <c r="AJ71" s="19">
        <v>1</v>
      </c>
      <c r="AK71" s="19">
        <v>0</v>
      </c>
      <c r="AL71" s="19">
        <v>1</v>
      </c>
      <c r="AM71" s="19">
        <v>0</v>
      </c>
      <c r="AN71" s="64">
        <f>SUM(AH71:AM71)</f>
      </c>
      <c r="AO71" s="19">
        <v>0</v>
      </c>
      <c r="AP71" s="19">
        <v>0</v>
      </c>
      <c r="AQ71" s="19">
        <v>0</v>
      </c>
      <c r="AR71" s="64">
        <f>SUM(AO71:AQ71)</f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64">
        <f>SUM(AS71:AX71)</f>
      </c>
      <c r="AZ71" s="19">
        <v>0</v>
      </c>
      <c r="BA71" s="19">
        <v>0</v>
      </c>
      <c r="BB71" s="19">
        <v>0</v>
      </c>
      <c r="BC71" s="64">
        <f>SUM(AZ71:BB71)</f>
      </c>
      <c r="BD71" s="19">
        <f>SUM(M71:R71,T71:Y71,AA71:AF71,AH71:AM71,AO71:AQ71,AS71:AX71,AZ71:BB71)</f>
      </c>
      <c r="BE71" s="19">
        <v>3</v>
      </c>
    </row>
    <row x14ac:dyDescent="0.25" r="72" customHeight="1" ht="18.75">
      <c r="A72" s="19">
        <v>312</v>
      </c>
      <c r="B72" s="19">
        <v>7</v>
      </c>
      <c r="C72" s="19">
        <v>0</v>
      </c>
      <c r="D72" s="20">
        <v>44740</v>
      </c>
      <c r="E72" s="21" t="s">
        <v>47</v>
      </c>
      <c r="F72" s="1" t="s">
        <v>44</v>
      </c>
      <c r="G72" s="21" t="s">
        <v>48</v>
      </c>
      <c r="H72" s="22">
        <v>6</v>
      </c>
      <c r="I72" s="27"/>
      <c r="J72" s="24"/>
      <c r="K72" s="24"/>
      <c r="L72" s="25"/>
      <c r="M72" s="19">
        <f>SUM(2+15+4+23)</f>
      </c>
      <c r="N72" s="19">
        <f>SUM(7+60+10+8+8+27)</f>
      </c>
      <c r="O72" s="19">
        <v>8</v>
      </c>
      <c r="P72" s="19">
        <v>0</v>
      </c>
      <c r="Q72" s="19">
        <v>0</v>
      </c>
      <c r="R72" s="19">
        <v>0</v>
      </c>
      <c r="S72" s="64">
        <f>SUM(M72:R72)</f>
      </c>
      <c r="T72" s="19">
        <v>1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64">
        <f>SUM(T72:Y72)</f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64">
        <f>SUM(AA72:AF72)</f>
      </c>
      <c r="AH72" s="19">
        <v>5</v>
      </c>
      <c r="AI72" s="19">
        <v>23</v>
      </c>
      <c r="AJ72" s="19">
        <v>4</v>
      </c>
      <c r="AK72" s="19">
        <v>0</v>
      </c>
      <c r="AL72" s="19">
        <v>0</v>
      </c>
      <c r="AM72" s="19">
        <v>0</v>
      </c>
      <c r="AN72" s="64">
        <f>SUM(AH72:AM72)</f>
      </c>
      <c r="AO72" s="19">
        <v>0</v>
      </c>
      <c r="AP72" s="19">
        <v>0</v>
      </c>
      <c r="AQ72" s="19">
        <v>0</v>
      </c>
      <c r="AR72" s="64">
        <f>SUM(AO72:AQ72)</f>
      </c>
      <c r="AS72" s="19">
        <v>0</v>
      </c>
      <c r="AT72" s="19">
        <v>1</v>
      </c>
      <c r="AU72" s="19">
        <v>1</v>
      </c>
      <c r="AV72" s="19">
        <v>0</v>
      </c>
      <c r="AW72" s="19">
        <v>0</v>
      </c>
      <c r="AX72" s="19">
        <v>0</v>
      </c>
      <c r="AY72" s="64">
        <f>SUM(AS72:AX72)</f>
      </c>
      <c r="AZ72" s="19">
        <v>0</v>
      </c>
      <c r="BA72" s="19">
        <v>0</v>
      </c>
      <c r="BB72" s="19">
        <v>0</v>
      </c>
      <c r="BC72" s="64">
        <f>SUM(AZ72:BB72)</f>
      </c>
      <c r="BD72" s="19">
        <f>SUM(M72:R72,T72:Y72,AA72:AF72,AH72:AM72,AO72:AQ72,AS72:AX72,AZ72:BB72)</f>
      </c>
      <c r="BE72" s="26"/>
    </row>
    <row x14ac:dyDescent="0.25" r="73" customHeight="1" ht="18.75">
      <c r="A73" s="28">
        <v>312</v>
      </c>
      <c r="B73" s="28">
        <v>7</v>
      </c>
      <c r="C73" s="28">
        <v>5</v>
      </c>
      <c r="D73" s="20">
        <v>44745</v>
      </c>
      <c r="E73" s="9" t="s">
        <v>47</v>
      </c>
      <c r="F73" s="9" t="s">
        <v>44</v>
      </c>
      <c r="G73" s="21" t="s">
        <v>48</v>
      </c>
      <c r="H73" s="29">
        <v>6</v>
      </c>
      <c r="I73" s="11"/>
      <c r="J73" s="31"/>
      <c r="K73" s="31"/>
      <c r="L73" s="32"/>
      <c r="M73" s="28">
        <v>0</v>
      </c>
      <c r="N73" s="28">
        <v>1</v>
      </c>
      <c r="O73" s="28">
        <v>0</v>
      </c>
      <c r="P73" s="28">
        <v>0</v>
      </c>
      <c r="Q73" s="28">
        <v>0</v>
      </c>
      <c r="R73" s="28">
        <v>0</v>
      </c>
      <c r="S73" s="65">
        <f>SUM(M73:R73)</f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65">
        <f>SUM(T73:Y73)</f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65">
        <f>SUM(AA73:AF73)</f>
      </c>
      <c r="AH73" s="28">
        <v>0</v>
      </c>
      <c r="AI73" s="28">
        <v>0</v>
      </c>
      <c r="AJ73" s="28">
        <v>0</v>
      </c>
      <c r="AK73" s="28">
        <v>0</v>
      </c>
      <c r="AL73" s="28">
        <v>1</v>
      </c>
      <c r="AM73" s="28">
        <v>0</v>
      </c>
      <c r="AN73" s="65">
        <f>SUM(AH73:AM73)</f>
      </c>
      <c r="AO73" s="28">
        <v>0</v>
      </c>
      <c r="AP73" s="28">
        <v>0</v>
      </c>
      <c r="AQ73" s="28">
        <v>0</v>
      </c>
      <c r="AR73" s="65">
        <f>SUM(AO73:AQ73)</f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8">
        <v>0</v>
      </c>
      <c r="AY73" s="65">
        <f>SUM(AS73:AX73)</f>
      </c>
      <c r="AZ73" s="28">
        <v>1</v>
      </c>
      <c r="BA73" s="28">
        <v>1</v>
      </c>
      <c r="BB73" s="28">
        <v>4</v>
      </c>
      <c r="BC73" s="65">
        <f>SUM(AZ73:BB73)</f>
      </c>
      <c r="BD73" s="28">
        <f>SUM(M73:R73,T73:Y73,AA73:AF73,AH73:AM73,AO73:AQ73,AS73:AX73,AZ73:BB73)</f>
      </c>
      <c r="BE73" s="28">
        <v>2</v>
      </c>
    </row>
    <row x14ac:dyDescent="0.25" r="74" customHeight="1" ht="18.75">
      <c r="A74" s="26"/>
      <c r="B74" s="26"/>
      <c r="C74" s="26"/>
      <c r="D74" s="52"/>
      <c r="E74" s="1"/>
      <c r="F74" s="1"/>
      <c r="G74" s="1"/>
      <c r="H74" s="53"/>
      <c r="I74" s="54"/>
      <c r="J74" s="55"/>
      <c r="K74" s="55"/>
      <c r="L74" s="5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x14ac:dyDescent="0.25" r="75" customHeight="1" ht="18.75">
      <c r="A75" s="26" t="s">
        <v>50</v>
      </c>
      <c r="B75" s="26"/>
      <c r="C75" s="26"/>
      <c r="D75" s="52"/>
      <c r="E75" s="1"/>
      <c r="F75" s="1"/>
      <c r="G75" s="1"/>
      <c r="H75" s="53"/>
      <c r="I75" s="54"/>
      <c r="J75" s="55"/>
      <c r="K75" s="55"/>
      <c r="L75" s="5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5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7" width="13.576428571428572" customWidth="1" bestFit="1"/>
    <col min="2" max="2" style="57" width="13.576428571428572" customWidth="1" bestFit="1"/>
    <col min="3" max="3" style="57" width="20.576428571428572" customWidth="1" bestFit="1"/>
    <col min="4" max="4" style="58" width="14.576428571428572" customWidth="1" bestFit="1"/>
    <col min="5" max="5" style="6" width="14.719285714285713" customWidth="1" bestFit="1"/>
    <col min="6" max="6" style="6" width="14.719285714285713" customWidth="1" bestFit="1"/>
    <col min="7" max="7" style="6" width="14.719285714285713" customWidth="1" bestFit="1"/>
    <col min="8" max="8" style="59" width="6.576428571428571" customWidth="1" bestFit="1"/>
    <col min="9" max="9" style="60" width="4.576428571428571" customWidth="1" bestFit="1"/>
    <col min="10" max="10" style="61" width="13.147857142857141" customWidth="1" bestFit="1"/>
    <col min="11" max="11" style="61" width="12.719285714285713" customWidth="1" bestFit="1"/>
    <col min="12" max="12" style="62" width="9.719285714285713" customWidth="1" bestFit="1"/>
    <col min="13" max="13" style="62" width="13.719285714285713" customWidth="1" bestFit="1"/>
    <col min="14" max="14" style="62" width="12.576428571428572" customWidth="1" bestFit="1"/>
    <col min="15" max="15" style="62" width="13.290714285714287" customWidth="1" bestFit="1"/>
    <col min="16" max="16" style="62" width="12.719285714285713" customWidth="1" bestFit="1"/>
    <col min="17" max="17" style="62" width="10.719285714285713" customWidth="1" bestFit="1"/>
    <col min="18" max="18" style="62" width="10.719285714285713" customWidth="1" bestFit="1"/>
    <col min="19" max="19" style="62" width="10.719285714285713" customWidth="1" bestFit="1"/>
    <col min="20" max="20" style="62" width="13.719285714285713" customWidth="1" bestFit="1"/>
    <col min="21" max="21" style="62" width="12.862142857142858" customWidth="1" bestFit="1"/>
    <col min="22" max="22" style="62" width="13.576428571428572" customWidth="1" bestFit="1"/>
    <col min="23" max="23" style="62" width="11.43357142857143" customWidth="1" bestFit="1"/>
    <col min="24" max="24" style="62" width="23.862142857142857" customWidth="1" bestFit="1"/>
    <col min="25" max="25" style="57" width="23.862142857142857" customWidth="1" bestFit="1"/>
  </cols>
  <sheetData>
    <row x14ac:dyDescent="0.25" r="1" customHeight="1" ht="18.75">
      <c r="A1" s="7" t="s">
        <v>18</v>
      </c>
      <c r="B1" s="7" t="s">
        <v>19</v>
      </c>
      <c r="C1" s="7" t="s">
        <v>20</v>
      </c>
      <c r="D1" s="8" t="s">
        <v>21</v>
      </c>
      <c r="E1" s="9" t="s">
        <v>22</v>
      </c>
      <c r="F1" s="9" t="s">
        <v>23</v>
      </c>
      <c r="G1" s="9" t="s">
        <v>24</v>
      </c>
      <c r="H1" s="10" t="s">
        <v>25</v>
      </c>
      <c r="I1" s="11" t="s">
        <v>26</v>
      </c>
      <c r="J1" s="12" t="s">
        <v>27</v>
      </c>
      <c r="K1" s="12" t="s">
        <v>28</v>
      </c>
      <c r="L1" s="13" t="s">
        <v>29</v>
      </c>
      <c r="M1" s="14" t="s">
        <v>30</v>
      </c>
      <c r="N1" s="14" t="s">
        <v>31</v>
      </c>
      <c r="O1" s="14" t="s">
        <v>32</v>
      </c>
      <c r="P1" s="15" t="s">
        <v>33</v>
      </c>
      <c r="Q1" s="16" t="s">
        <v>34</v>
      </c>
      <c r="R1" s="16" t="s">
        <v>35</v>
      </c>
      <c r="S1" s="16" t="s">
        <v>36</v>
      </c>
      <c r="T1" s="17" t="s">
        <v>37</v>
      </c>
      <c r="U1" s="15" t="s">
        <v>38</v>
      </c>
      <c r="V1" s="15" t="s">
        <v>39</v>
      </c>
      <c r="W1" s="15" t="s">
        <v>40</v>
      </c>
      <c r="X1" s="17" t="s">
        <v>41</v>
      </c>
      <c r="Y1" s="18" t="s">
        <v>42</v>
      </c>
    </row>
    <row x14ac:dyDescent="0.25" r="2" customHeight="1" ht="18.75">
      <c r="A2" s="19">
        <v>101</v>
      </c>
      <c r="B2" s="19">
        <v>1</v>
      </c>
      <c r="C2" s="19">
        <v>0</v>
      </c>
      <c r="D2" s="20">
        <v>44732</v>
      </c>
      <c r="E2" s="21" t="s">
        <v>43</v>
      </c>
      <c r="F2" s="21" t="s">
        <v>44</v>
      </c>
      <c r="G2" s="21" t="s">
        <v>45</v>
      </c>
      <c r="H2" s="22"/>
      <c r="I2" s="23">
        <v>1</v>
      </c>
      <c r="J2" s="24">
        <v>0.3</v>
      </c>
      <c r="K2" s="24">
        <v>0.13</v>
      </c>
      <c r="L2" s="25">
        <v>0.58</v>
      </c>
      <c r="M2" s="19">
        <v>185</v>
      </c>
      <c r="N2" s="19">
        <v>0</v>
      </c>
      <c r="O2" s="19">
        <v>1</v>
      </c>
      <c r="P2" s="19">
        <v>27</v>
      </c>
      <c r="Q2" s="19">
        <v>0</v>
      </c>
      <c r="R2" s="19">
        <v>1</v>
      </c>
      <c r="S2" s="19">
        <v>0</v>
      </c>
      <c r="T2" s="19">
        <v>1</v>
      </c>
      <c r="U2" s="19">
        <v>0</v>
      </c>
      <c r="V2" s="19">
        <v>0</v>
      </c>
      <c r="W2" s="19">
        <v>214</v>
      </c>
      <c r="X2" s="19">
        <f>W2-T2</f>
      </c>
      <c r="Y2" s="26"/>
    </row>
    <row x14ac:dyDescent="0.25" r="3" customHeight="1" ht="18.75">
      <c r="A3" s="19">
        <v>202</v>
      </c>
      <c r="B3" s="19">
        <v>1</v>
      </c>
      <c r="C3" s="19">
        <v>0</v>
      </c>
      <c r="D3" s="20">
        <v>44732</v>
      </c>
      <c r="E3" s="21" t="s">
        <v>43</v>
      </c>
      <c r="F3" s="21" t="s">
        <v>44</v>
      </c>
      <c r="G3" s="21" t="s">
        <v>45</v>
      </c>
      <c r="H3" s="22"/>
      <c r="I3" s="23">
        <v>1</v>
      </c>
      <c r="J3" s="24">
        <v>0.32</v>
      </c>
      <c r="K3" s="24">
        <v>0.16</v>
      </c>
      <c r="L3" s="25">
        <v>0.49</v>
      </c>
      <c r="M3" s="19">
        <v>679</v>
      </c>
      <c r="N3" s="19">
        <v>0</v>
      </c>
      <c r="O3" s="19">
        <v>1</v>
      </c>
      <c r="P3" s="19">
        <v>65</v>
      </c>
      <c r="Q3" s="19">
        <v>3</v>
      </c>
      <c r="R3" s="19">
        <v>1</v>
      </c>
      <c r="S3" s="19">
        <v>5</v>
      </c>
      <c r="T3" s="19">
        <v>9</v>
      </c>
      <c r="U3" s="19">
        <v>5</v>
      </c>
      <c r="V3" s="19">
        <v>1</v>
      </c>
      <c r="W3" s="19">
        <v>760</v>
      </c>
      <c r="X3" s="19">
        <f>W3-T3</f>
      </c>
      <c r="Y3" s="26"/>
    </row>
    <row x14ac:dyDescent="0.25" r="4" customHeight="1" ht="18.75">
      <c r="A4" s="19">
        <v>306</v>
      </c>
      <c r="B4" s="19">
        <v>1</v>
      </c>
      <c r="C4" s="19">
        <v>0</v>
      </c>
      <c r="D4" s="20">
        <v>44732</v>
      </c>
      <c r="E4" s="21" t="s">
        <v>43</v>
      </c>
      <c r="F4" s="21" t="s">
        <v>46</v>
      </c>
      <c r="G4" s="21" t="s">
        <v>45</v>
      </c>
      <c r="H4" s="22"/>
      <c r="I4" s="23">
        <v>1</v>
      </c>
      <c r="J4" s="24">
        <v>0.34</v>
      </c>
      <c r="K4" s="24">
        <v>0.22</v>
      </c>
      <c r="L4" s="25">
        <v>0.35</v>
      </c>
      <c r="M4" s="19">
        <v>218</v>
      </c>
      <c r="N4" s="19">
        <v>0</v>
      </c>
      <c r="O4" s="19">
        <v>0</v>
      </c>
      <c r="P4" s="19">
        <v>49</v>
      </c>
      <c r="Q4" s="19">
        <f>SUM(6+7+5+4+10+16)</f>
      </c>
      <c r="R4" s="19">
        <v>3</v>
      </c>
      <c r="S4" s="19">
        <v>1</v>
      </c>
      <c r="T4" s="19">
        <v>52</v>
      </c>
      <c r="U4" s="19">
        <v>2</v>
      </c>
      <c r="V4" s="19">
        <v>3</v>
      </c>
      <c r="W4" s="19">
        <v>324</v>
      </c>
      <c r="X4" s="19">
        <f>W4-T4</f>
      </c>
      <c r="Y4" s="26"/>
    </row>
    <row x14ac:dyDescent="0.25" r="5" customHeight="1" ht="18.75">
      <c r="A5" s="19">
        <v>102</v>
      </c>
      <c r="B5" s="19">
        <v>2</v>
      </c>
      <c r="C5" s="19">
        <v>0</v>
      </c>
      <c r="D5" s="20">
        <v>44732</v>
      </c>
      <c r="E5" s="21" t="s">
        <v>43</v>
      </c>
      <c r="F5" s="21" t="s">
        <v>46</v>
      </c>
      <c r="G5" s="21" t="s">
        <v>45</v>
      </c>
      <c r="H5" s="22"/>
      <c r="I5" s="23">
        <v>5</v>
      </c>
      <c r="J5" s="24">
        <v>0.37</v>
      </c>
      <c r="K5" s="24">
        <v>0.13</v>
      </c>
      <c r="L5" s="25">
        <v>0.65</v>
      </c>
      <c r="M5" s="19">
        <v>11</v>
      </c>
      <c r="N5" s="19">
        <v>2</v>
      </c>
      <c r="O5" s="19">
        <v>1</v>
      </c>
      <c r="P5" s="19">
        <v>103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117</v>
      </c>
      <c r="X5" s="19">
        <f>W5-T5</f>
      </c>
      <c r="Y5" s="26"/>
    </row>
    <row x14ac:dyDescent="0.25" r="6" customHeight="1" ht="18.75">
      <c r="A6" s="19">
        <v>205</v>
      </c>
      <c r="B6" s="19">
        <v>2</v>
      </c>
      <c r="C6" s="19">
        <v>0</v>
      </c>
      <c r="D6" s="20">
        <v>44732</v>
      </c>
      <c r="E6" s="21" t="s">
        <v>43</v>
      </c>
      <c r="F6" s="21" t="s">
        <v>44</v>
      </c>
      <c r="G6" s="21" t="s">
        <v>45</v>
      </c>
      <c r="H6" s="22"/>
      <c r="I6" s="23">
        <v>5</v>
      </c>
      <c r="J6" s="24">
        <v>0.35</v>
      </c>
      <c r="K6" s="24">
        <v>0.1</v>
      </c>
      <c r="L6" s="25">
        <v>0.71</v>
      </c>
      <c r="M6" s="19">
        <v>131</v>
      </c>
      <c r="N6" s="19">
        <v>5</v>
      </c>
      <c r="O6" s="19">
        <v>1</v>
      </c>
      <c r="P6" s="19">
        <v>486</v>
      </c>
      <c r="Q6" s="19">
        <v>0</v>
      </c>
      <c r="R6" s="19">
        <v>0</v>
      </c>
      <c r="S6" s="19">
        <v>0</v>
      </c>
      <c r="T6" s="19">
        <v>0</v>
      </c>
      <c r="U6" s="19">
        <v>60</v>
      </c>
      <c r="V6" s="19">
        <v>37</v>
      </c>
      <c r="W6" s="19">
        <v>720</v>
      </c>
      <c r="X6" s="19">
        <f>W6-T6</f>
      </c>
      <c r="Y6" s="26"/>
    </row>
    <row x14ac:dyDescent="0.25" r="7" customHeight="1" ht="18.75">
      <c r="A7" s="19">
        <v>307</v>
      </c>
      <c r="B7" s="19">
        <v>2</v>
      </c>
      <c r="C7" s="19">
        <v>0</v>
      </c>
      <c r="D7" s="20">
        <v>44732</v>
      </c>
      <c r="E7" s="21" t="s">
        <v>43</v>
      </c>
      <c r="F7" s="21" t="s">
        <v>44</v>
      </c>
      <c r="G7" s="21" t="s">
        <v>45</v>
      </c>
      <c r="H7" s="22"/>
      <c r="I7" s="23">
        <v>5</v>
      </c>
      <c r="J7" s="24">
        <v>0.4</v>
      </c>
      <c r="K7" s="24">
        <v>0.07</v>
      </c>
      <c r="L7" s="25">
        <v>0.83</v>
      </c>
      <c r="M7" s="19">
        <v>75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2</v>
      </c>
      <c r="V7" s="19">
        <v>0</v>
      </c>
      <c r="W7" s="19">
        <v>77</v>
      </c>
      <c r="X7" s="19">
        <f>W7-T7</f>
      </c>
      <c r="Y7" s="26"/>
    </row>
    <row x14ac:dyDescent="0.25" r="8" customHeight="1" ht="18.75">
      <c r="A8" s="19">
        <v>103</v>
      </c>
      <c r="B8" s="19">
        <v>3</v>
      </c>
      <c r="C8" s="19">
        <v>0</v>
      </c>
      <c r="D8" s="20">
        <v>44732</v>
      </c>
      <c r="E8" s="21" t="s">
        <v>47</v>
      </c>
      <c r="F8" s="21" t="s">
        <v>44</v>
      </c>
      <c r="G8" s="21" t="s">
        <v>45</v>
      </c>
      <c r="H8" s="22">
        <v>6</v>
      </c>
      <c r="I8" s="27"/>
      <c r="J8" s="24"/>
      <c r="K8" s="24"/>
      <c r="L8" s="25"/>
      <c r="M8" s="19">
        <v>37</v>
      </c>
      <c r="N8" s="19">
        <v>0</v>
      </c>
      <c r="O8" s="19">
        <v>0</v>
      </c>
      <c r="P8" s="19">
        <v>66</v>
      </c>
      <c r="Q8" s="19">
        <v>0</v>
      </c>
      <c r="R8" s="19">
        <v>0</v>
      </c>
      <c r="S8" s="19">
        <v>0</v>
      </c>
      <c r="T8" s="19">
        <v>0</v>
      </c>
      <c r="U8" s="19">
        <v>2</v>
      </c>
      <c r="V8" s="19">
        <v>1</v>
      </c>
      <c r="W8" s="19">
        <v>106</v>
      </c>
      <c r="X8" s="19">
        <f>W8-T8</f>
      </c>
      <c r="Y8" s="26"/>
    </row>
    <row x14ac:dyDescent="0.25" r="9" customHeight="1" ht="18.75">
      <c r="A9" s="19">
        <v>212</v>
      </c>
      <c r="B9" s="19">
        <v>3</v>
      </c>
      <c r="C9" s="19">
        <v>0</v>
      </c>
      <c r="D9" s="20">
        <v>44732</v>
      </c>
      <c r="E9" s="21" t="s">
        <v>47</v>
      </c>
      <c r="F9" s="21" t="s">
        <v>44</v>
      </c>
      <c r="G9" s="21" t="s">
        <v>45</v>
      </c>
      <c r="H9" s="22">
        <v>6</v>
      </c>
      <c r="I9" s="27"/>
      <c r="J9" s="24"/>
      <c r="K9" s="24"/>
      <c r="L9" s="25"/>
      <c r="M9" s="19">
        <v>565</v>
      </c>
      <c r="N9" s="19">
        <v>2</v>
      </c>
      <c r="O9" s="19">
        <v>0</v>
      </c>
      <c r="P9" s="19">
        <v>10</v>
      </c>
      <c r="Q9" s="19">
        <v>7</v>
      </c>
      <c r="R9" s="19">
        <v>4</v>
      </c>
      <c r="S9" s="19">
        <v>9</v>
      </c>
      <c r="T9" s="19">
        <v>20</v>
      </c>
      <c r="U9" s="19">
        <v>11</v>
      </c>
      <c r="V9" s="19">
        <v>5</v>
      </c>
      <c r="W9" s="19">
        <v>613</v>
      </c>
      <c r="X9" s="19">
        <f>W9-T9</f>
      </c>
      <c r="Y9" s="26"/>
    </row>
    <row x14ac:dyDescent="0.25" r="10" customHeight="1" ht="18.75">
      <c r="A10" s="19">
        <v>304</v>
      </c>
      <c r="B10" s="19">
        <v>3</v>
      </c>
      <c r="C10" s="19">
        <v>0</v>
      </c>
      <c r="D10" s="20">
        <v>44732</v>
      </c>
      <c r="E10" s="21" t="s">
        <v>47</v>
      </c>
      <c r="F10" s="21" t="s">
        <v>44</v>
      </c>
      <c r="G10" s="21" t="s">
        <v>45</v>
      </c>
      <c r="H10" s="22">
        <v>6</v>
      </c>
      <c r="I10" s="27"/>
      <c r="J10" s="24"/>
      <c r="K10" s="24"/>
      <c r="L10" s="25"/>
      <c r="M10" s="19">
        <v>224</v>
      </c>
      <c r="N10" s="19">
        <v>0</v>
      </c>
      <c r="O10" s="19">
        <v>0</v>
      </c>
      <c r="P10" s="19">
        <v>61</v>
      </c>
      <c r="Q10" s="19">
        <v>0</v>
      </c>
      <c r="R10" s="19">
        <v>0</v>
      </c>
      <c r="S10" s="19">
        <v>0</v>
      </c>
      <c r="T10" s="19">
        <v>0</v>
      </c>
      <c r="U10" s="19">
        <v>5</v>
      </c>
      <c r="V10" s="19">
        <v>6</v>
      </c>
      <c r="W10" s="19">
        <v>296</v>
      </c>
      <c r="X10" s="19">
        <f>W10-T10</f>
      </c>
      <c r="Y10" s="26"/>
    </row>
    <row x14ac:dyDescent="0.25" r="11" customHeight="1" ht="18.75">
      <c r="A11" s="19">
        <v>104</v>
      </c>
      <c r="B11" s="19">
        <v>4</v>
      </c>
      <c r="C11" s="19">
        <v>0</v>
      </c>
      <c r="D11" s="20">
        <v>44732</v>
      </c>
      <c r="E11" s="21" t="s">
        <v>47</v>
      </c>
      <c r="F11" s="21" t="s">
        <v>46</v>
      </c>
      <c r="G11" s="21" t="s">
        <v>45</v>
      </c>
      <c r="H11" s="22">
        <v>9</v>
      </c>
      <c r="I11" s="27"/>
      <c r="J11" s="24"/>
      <c r="K11" s="24"/>
      <c r="L11" s="25"/>
      <c r="M11" s="19">
        <v>67</v>
      </c>
      <c r="N11" s="19">
        <v>0</v>
      </c>
      <c r="O11" s="19">
        <v>2</v>
      </c>
      <c r="P11" s="19">
        <v>71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5</v>
      </c>
      <c r="W11" s="19">
        <v>145</v>
      </c>
      <c r="X11" s="19">
        <f>W11-T11</f>
      </c>
      <c r="Y11" s="26"/>
    </row>
    <row x14ac:dyDescent="0.25" r="12" customHeight="1" ht="18.75">
      <c r="A12" s="19">
        <v>211</v>
      </c>
      <c r="B12" s="19">
        <v>4</v>
      </c>
      <c r="C12" s="19">
        <v>0</v>
      </c>
      <c r="D12" s="20">
        <v>44732</v>
      </c>
      <c r="E12" s="21" t="s">
        <v>47</v>
      </c>
      <c r="F12" s="21" t="s">
        <v>46</v>
      </c>
      <c r="G12" s="21" t="s">
        <v>45</v>
      </c>
      <c r="H12" s="22">
        <v>9</v>
      </c>
      <c r="I12" s="27"/>
      <c r="J12" s="24"/>
      <c r="K12" s="24"/>
      <c r="L12" s="25"/>
      <c r="M12" s="19">
        <v>603</v>
      </c>
      <c r="N12" s="19">
        <v>0</v>
      </c>
      <c r="O12" s="19">
        <v>0</v>
      </c>
      <c r="P12" s="19">
        <v>42</v>
      </c>
      <c r="Q12" s="19">
        <v>23</v>
      </c>
      <c r="R12" s="19">
        <v>9</v>
      </c>
      <c r="S12" s="19">
        <v>24</v>
      </c>
      <c r="T12" s="19">
        <v>56</v>
      </c>
      <c r="U12" s="19">
        <v>17</v>
      </c>
      <c r="V12" s="19">
        <v>0</v>
      </c>
      <c r="W12" s="19">
        <v>718</v>
      </c>
      <c r="X12" s="19">
        <f>W12-T12</f>
      </c>
      <c r="Y12" s="26"/>
    </row>
    <row x14ac:dyDescent="0.25" r="13" customHeight="1" ht="18.75">
      <c r="A13" s="19">
        <v>303</v>
      </c>
      <c r="B13" s="19">
        <v>4</v>
      </c>
      <c r="C13" s="19">
        <v>0</v>
      </c>
      <c r="D13" s="20">
        <v>44732</v>
      </c>
      <c r="E13" s="21" t="s">
        <v>47</v>
      </c>
      <c r="F13" s="21" t="s">
        <v>46</v>
      </c>
      <c r="G13" s="21" t="s">
        <v>45</v>
      </c>
      <c r="H13" s="22">
        <v>9</v>
      </c>
      <c r="I13" s="27"/>
      <c r="J13" s="24"/>
      <c r="K13" s="24"/>
      <c r="L13" s="25"/>
      <c r="M13" s="19">
        <v>44</v>
      </c>
      <c r="N13" s="19">
        <v>1</v>
      </c>
      <c r="O13" s="19">
        <v>0</v>
      </c>
      <c r="P13" s="19">
        <v>21</v>
      </c>
      <c r="Q13" s="19">
        <v>7</v>
      </c>
      <c r="R13" s="19">
        <v>1</v>
      </c>
      <c r="S13" s="19">
        <v>0</v>
      </c>
      <c r="T13" s="19">
        <v>8</v>
      </c>
      <c r="U13" s="19">
        <v>0</v>
      </c>
      <c r="V13" s="19">
        <v>0</v>
      </c>
      <c r="W13" s="19">
        <v>74</v>
      </c>
      <c r="X13" s="19">
        <f>W13-T13</f>
      </c>
      <c r="Y13" s="26"/>
    </row>
    <row x14ac:dyDescent="0.25" r="14" customHeight="1" ht="18.75">
      <c r="A14" s="19">
        <v>105</v>
      </c>
      <c r="B14" s="19">
        <v>5</v>
      </c>
      <c r="C14" s="19">
        <v>0</v>
      </c>
      <c r="D14" s="20">
        <v>44740</v>
      </c>
      <c r="E14" s="21" t="s">
        <v>43</v>
      </c>
      <c r="F14" s="1" t="s">
        <v>46</v>
      </c>
      <c r="G14" s="21" t="s">
        <v>48</v>
      </c>
      <c r="H14" s="22">
        <v>9</v>
      </c>
      <c r="I14" s="23">
        <v>1</v>
      </c>
      <c r="J14" s="24">
        <v>0.32</v>
      </c>
      <c r="K14" s="24">
        <v>0.29</v>
      </c>
      <c r="L14" s="25">
        <v>0.08</v>
      </c>
      <c r="M14" s="19">
        <v>76</v>
      </c>
      <c r="N14" s="19">
        <v>3</v>
      </c>
      <c r="O14" s="19">
        <v>0</v>
      </c>
      <c r="P14" s="19">
        <v>8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2</v>
      </c>
      <c r="W14" s="19">
        <v>89</v>
      </c>
      <c r="X14" s="19">
        <f>W14-T14</f>
      </c>
      <c r="Y14" s="26"/>
    </row>
    <row x14ac:dyDescent="0.25" r="15" customHeight="1" ht="18.75">
      <c r="A15" s="19">
        <v>209</v>
      </c>
      <c r="B15" s="19">
        <v>5</v>
      </c>
      <c r="C15" s="19">
        <v>0</v>
      </c>
      <c r="D15" s="20">
        <v>44740</v>
      </c>
      <c r="E15" s="21" t="s">
        <v>43</v>
      </c>
      <c r="F15" s="1" t="s">
        <v>44</v>
      </c>
      <c r="G15" s="21" t="s">
        <v>48</v>
      </c>
      <c r="H15" s="22">
        <v>9</v>
      </c>
      <c r="I15" s="23">
        <v>1</v>
      </c>
      <c r="J15" s="24">
        <v>0.32</v>
      </c>
      <c r="K15" s="24">
        <v>0.31</v>
      </c>
      <c r="L15" s="25">
        <v>0.05</v>
      </c>
      <c r="M15" s="19">
        <v>106</v>
      </c>
      <c r="N15" s="19">
        <v>4</v>
      </c>
      <c r="O15" s="19">
        <v>0</v>
      </c>
      <c r="P15" s="19">
        <v>159</v>
      </c>
      <c r="Q15" s="19">
        <f>SUM(6+1+3)</f>
      </c>
      <c r="R15" s="19">
        <f>SUM(4+12+11)</f>
      </c>
      <c r="S15" s="19">
        <f>SUM(13+23+15)</f>
      </c>
      <c r="T15" s="19">
        <v>88</v>
      </c>
      <c r="U15" s="19">
        <v>0</v>
      </c>
      <c r="V15" s="19">
        <v>0</v>
      </c>
      <c r="W15" s="19">
        <v>357</v>
      </c>
      <c r="X15" s="19">
        <f>W15-T15</f>
      </c>
      <c r="Y15" s="26"/>
    </row>
    <row x14ac:dyDescent="0.25" r="16" customHeight="1" ht="18.75">
      <c r="A16" s="19">
        <v>309</v>
      </c>
      <c r="B16" s="19">
        <v>5</v>
      </c>
      <c r="C16" s="19">
        <v>0</v>
      </c>
      <c r="D16" s="20">
        <v>44740</v>
      </c>
      <c r="E16" s="21" t="s">
        <v>43</v>
      </c>
      <c r="F16" s="1" t="s">
        <v>44</v>
      </c>
      <c r="G16" s="21" t="s">
        <v>48</v>
      </c>
      <c r="H16" s="22">
        <v>9</v>
      </c>
      <c r="I16" s="23">
        <v>1</v>
      </c>
      <c r="J16" s="24">
        <v>0.3</v>
      </c>
      <c r="K16" s="24">
        <v>0.29</v>
      </c>
      <c r="L16" s="25">
        <v>0.03</v>
      </c>
      <c r="M16" s="19">
        <v>592</v>
      </c>
      <c r="N16" s="19">
        <v>1</v>
      </c>
      <c r="O16" s="19">
        <v>0</v>
      </c>
      <c r="P16" s="19">
        <v>24</v>
      </c>
      <c r="Q16" s="19">
        <v>0</v>
      </c>
      <c r="R16" s="19">
        <v>0</v>
      </c>
      <c r="S16" s="19">
        <v>0</v>
      </c>
      <c r="T16" s="19">
        <v>0</v>
      </c>
      <c r="U16" s="19">
        <v>5</v>
      </c>
      <c r="V16" s="19">
        <v>2</v>
      </c>
      <c r="W16" s="19">
        <v>624</v>
      </c>
      <c r="X16" s="19">
        <f>W16-T16</f>
      </c>
      <c r="Y16" s="26"/>
    </row>
    <row x14ac:dyDescent="0.25" r="17" customHeight="1" ht="18.75">
      <c r="A17" s="19">
        <v>106</v>
      </c>
      <c r="B17" s="19">
        <v>6</v>
      </c>
      <c r="C17" s="19">
        <v>0</v>
      </c>
      <c r="D17" s="20">
        <v>44740</v>
      </c>
      <c r="E17" s="21" t="s">
        <v>43</v>
      </c>
      <c r="F17" s="21" t="s">
        <v>44</v>
      </c>
      <c r="G17" s="21" t="s">
        <v>48</v>
      </c>
      <c r="H17" s="22">
        <v>9</v>
      </c>
      <c r="I17" s="23">
        <v>0</v>
      </c>
      <c r="J17" s="24">
        <v>0.3</v>
      </c>
      <c r="K17" s="24">
        <v>0.23</v>
      </c>
      <c r="L17" s="25">
        <v>0.23</v>
      </c>
      <c r="M17" s="19">
        <v>59</v>
      </c>
      <c r="N17" s="19">
        <v>0</v>
      </c>
      <c r="O17" s="19">
        <v>0</v>
      </c>
      <c r="P17" s="19">
        <v>12</v>
      </c>
      <c r="Q17" s="19">
        <v>1</v>
      </c>
      <c r="R17" s="19">
        <v>7</v>
      </c>
      <c r="S17" s="19">
        <v>15</v>
      </c>
      <c r="T17" s="19">
        <v>23</v>
      </c>
      <c r="U17" s="19">
        <v>2</v>
      </c>
      <c r="V17" s="19">
        <v>1</v>
      </c>
      <c r="W17" s="19">
        <v>97</v>
      </c>
      <c r="X17" s="19">
        <f>W17-T17</f>
      </c>
      <c r="Y17" s="26"/>
    </row>
    <row x14ac:dyDescent="0.25" r="18" customHeight="1" ht="18.75">
      <c r="A18" s="19">
        <v>204</v>
      </c>
      <c r="B18" s="19">
        <v>6</v>
      </c>
      <c r="C18" s="19">
        <v>0</v>
      </c>
      <c r="D18" s="20">
        <v>44740</v>
      </c>
      <c r="E18" s="21" t="s">
        <v>43</v>
      </c>
      <c r="F18" s="21" t="s">
        <v>44</v>
      </c>
      <c r="G18" s="21" t="s">
        <v>48</v>
      </c>
      <c r="H18" s="22">
        <v>9</v>
      </c>
      <c r="I18" s="23">
        <v>0</v>
      </c>
      <c r="J18" s="24">
        <v>30</v>
      </c>
      <c r="K18" s="24">
        <v>0.25</v>
      </c>
      <c r="L18" s="25">
        <v>0.16</v>
      </c>
      <c r="M18" s="19">
        <v>27</v>
      </c>
      <c r="N18" s="19">
        <v>2</v>
      </c>
      <c r="O18" s="19">
        <v>1</v>
      </c>
      <c r="P18" s="19">
        <v>86</v>
      </c>
      <c r="Q18" s="19">
        <v>0</v>
      </c>
      <c r="R18" s="19">
        <v>1</v>
      </c>
      <c r="S18" s="19">
        <v>0</v>
      </c>
      <c r="T18" s="19">
        <v>1</v>
      </c>
      <c r="U18" s="19">
        <v>165</v>
      </c>
      <c r="V18" s="19">
        <v>38</v>
      </c>
      <c r="W18" s="19">
        <v>320</v>
      </c>
      <c r="X18" s="19">
        <f>W18-T18</f>
      </c>
      <c r="Y18" s="26"/>
    </row>
    <row x14ac:dyDescent="0.25" r="19" customHeight="1" ht="18.75">
      <c r="A19" s="19">
        <v>310</v>
      </c>
      <c r="B19" s="19">
        <v>6</v>
      </c>
      <c r="C19" s="19">
        <v>0</v>
      </c>
      <c r="D19" s="20">
        <v>44740</v>
      </c>
      <c r="E19" s="21" t="s">
        <v>43</v>
      </c>
      <c r="F19" s="21" t="s">
        <v>46</v>
      </c>
      <c r="G19" s="21" t="s">
        <v>48</v>
      </c>
      <c r="H19" s="22">
        <v>9</v>
      </c>
      <c r="I19" s="23">
        <v>0</v>
      </c>
      <c r="J19" s="24">
        <v>0.32</v>
      </c>
      <c r="K19" s="24">
        <v>0.31</v>
      </c>
      <c r="L19" s="25">
        <v>0.02</v>
      </c>
      <c r="M19" s="19">
        <v>529</v>
      </c>
      <c r="N19" s="19">
        <v>24</v>
      </c>
      <c r="O19" s="19">
        <v>0</v>
      </c>
      <c r="P19" s="19">
        <v>5</v>
      </c>
      <c r="Q19" s="19">
        <v>2</v>
      </c>
      <c r="R19" s="19">
        <v>1</v>
      </c>
      <c r="S19" s="19">
        <v>1</v>
      </c>
      <c r="T19" s="19">
        <v>4</v>
      </c>
      <c r="U19" s="19">
        <v>3</v>
      </c>
      <c r="V19" s="19">
        <v>0</v>
      </c>
      <c r="W19" s="19">
        <v>565</v>
      </c>
      <c r="X19" s="19">
        <f>W19-T19</f>
      </c>
      <c r="Y19" s="26"/>
    </row>
    <row x14ac:dyDescent="0.25" r="20" customHeight="1" ht="18.75">
      <c r="A20" s="19">
        <v>107</v>
      </c>
      <c r="B20" s="19">
        <v>7</v>
      </c>
      <c r="C20" s="19">
        <v>0</v>
      </c>
      <c r="D20" s="20">
        <v>44740</v>
      </c>
      <c r="E20" s="21" t="s">
        <v>47</v>
      </c>
      <c r="F20" s="21" t="s">
        <v>44</v>
      </c>
      <c r="G20" s="21" t="s">
        <v>48</v>
      </c>
      <c r="H20" s="22">
        <v>6</v>
      </c>
      <c r="I20" s="27"/>
      <c r="J20" s="24"/>
      <c r="K20" s="24"/>
      <c r="L20" s="25"/>
      <c r="M20" s="19">
        <v>29</v>
      </c>
      <c r="N20" s="19">
        <v>8</v>
      </c>
      <c r="O20" s="19">
        <v>1</v>
      </c>
      <c r="P20" s="19">
        <v>32</v>
      </c>
      <c r="Q20" s="19">
        <v>6</v>
      </c>
      <c r="R20" s="19">
        <v>7</v>
      </c>
      <c r="S20" s="19">
        <v>7</v>
      </c>
      <c r="T20" s="19">
        <v>20</v>
      </c>
      <c r="U20" s="19">
        <v>0</v>
      </c>
      <c r="V20" s="19">
        <v>1</v>
      </c>
      <c r="W20" s="19">
        <v>91</v>
      </c>
      <c r="X20" s="19">
        <f>W20-T20</f>
      </c>
      <c r="Y20" s="26"/>
    </row>
    <row x14ac:dyDescent="0.25" r="21" customHeight="1" ht="18.75">
      <c r="A21" s="19">
        <v>203</v>
      </c>
      <c r="B21" s="19">
        <v>7</v>
      </c>
      <c r="C21" s="19">
        <v>0</v>
      </c>
      <c r="D21" s="20">
        <v>44740</v>
      </c>
      <c r="E21" s="21" t="s">
        <v>47</v>
      </c>
      <c r="F21" s="1" t="s">
        <v>44</v>
      </c>
      <c r="G21" s="21" t="s">
        <v>48</v>
      </c>
      <c r="H21" s="22">
        <v>6</v>
      </c>
      <c r="I21" s="27"/>
      <c r="J21" s="24"/>
      <c r="K21" s="24"/>
      <c r="L21" s="25"/>
      <c r="M21" s="19">
        <v>83</v>
      </c>
      <c r="N21" s="19">
        <v>16</v>
      </c>
      <c r="O21" s="19">
        <v>0</v>
      </c>
      <c r="P21" s="19">
        <v>3</v>
      </c>
      <c r="Q21" s="19">
        <v>6</v>
      </c>
      <c r="R21" s="19">
        <v>8</v>
      </c>
      <c r="S21" s="19">
        <v>9</v>
      </c>
      <c r="T21" s="19">
        <v>23</v>
      </c>
      <c r="U21" s="19">
        <v>2</v>
      </c>
      <c r="V21" s="19">
        <v>6</v>
      </c>
      <c r="W21" s="19">
        <v>133</v>
      </c>
      <c r="X21" s="19">
        <f>W21-T21</f>
      </c>
      <c r="Y21" s="26"/>
    </row>
    <row x14ac:dyDescent="0.25" r="22" customHeight="1" ht="18.75">
      <c r="A22" s="19">
        <v>312</v>
      </c>
      <c r="B22" s="19">
        <v>7</v>
      </c>
      <c r="C22" s="19">
        <v>0</v>
      </c>
      <c r="D22" s="20">
        <v>44740</v>
      </c>
      <c r="E22" s="21" t="s">
        <v>47</v>
      </c>
      <c r="F22" s="1" t="s">
        <v>44</v>
      </c>
      <c r="G22" s="21" t="s">
        <v>48</v>
      </c>
      <c r="H22" s="22">
        <v>6</v>
      </c>
      <c r="I22" s="27"/>
      <c r="J22" s="24"/>
      <c r="K22" s="24"/>
      <c r="L22" s="25"/>
      <c r="M22" s="19">
        <v>172</v>
      </c>
      <c r="N22" s="19">
        <v>1</v>
      </c>
      <c r="O22" s="19">
        <v>0</v>
      </c>
      <c r="P22" s="19">
        <v>32</v>
      </c>
      <c r="Q22" s="19">
        <v>0</v>
      </c>
      <c r="R22" s="19">
        <v>0</v>
      </c>
      <c r="S22" s="19">
        <v>0</v>
      </c>
      <c r="T22" s="19">
        <v>0</v>
      </c>
      <c r="U22" s="19">
        <v>2</v>
      </c>
      <c r="V22" s="19">
        <v>0</v>
      </c>
      <c r="W22" s="19">
        <v>207</v>
      </c>
      <c r="X22" s="19">
        <f>W22-T22</f>
      </c>
      <c r="Y22" s="26"/>
    </row>
    <row x14ac:dyDescent="0.25" r="23" customHeight="1" ht="18.75">
      <c r="A23" s="19">
        <v>108</v>
      </c>
      <c r="B23" s="19">
        <v>8</v>
      </c>
      <c r="C23" s="19">
        <v>0</v>
      </c>
      <c r="D23" s="20">
        <v>44740</v>
      </c>
      <c r="E23" s="1" t="s">
        <v>47</v>
      </c>
      <c r="F23" s="21" t="s">
        <v>46</v>
      </c>
      <c r="G23" s="21" t="s">
        <v>48</v>
      </c>
      <c r="H23" s="22">
        <v>9</v>
      </c>
      <c r="I23" s="27"/>
      <c r="J23" s="24"/>
      <c r="K23" s="24"/>
      <c r="L23" s="25"/>
      <c r="M23" s="19">
        <v>53</v>
      </c>
      <c r="N23" s="19">
        <v>1</v>
      </c>
      <c r="O23" s="19">
        <v>0</v>
      </c>
      <c r="P23" s="19">
        <v>18</v>
      </c>
      <c r="Q23" s="19">
        <v>13</v>
      </c>
      <c r="R23" s="19">
        <v>3</v>
      </c>
      <c r="S23" s="19">
        <v>1</v>
      </c>
      <c r="T23" s="19">
        <v>17</v>
      </c>
      <c r="U23" s="19">
        <v>0</v>
      </c>
      <c r="V23" s="19">
        <v>2</v>
      </c>
      <c r="W23" s="19">
        <v>91</v>
      </c>
      <c r="X23" s="19">
        <f>W23-T23</f>
      </c>
      <c r="Y23" s="26"/>
    </row>
    <row x14ac:dyDescent="0.25" r="24" customHeight="1" ht="18.75">
      <c r="A24" s="19">
        <v>207</v>
      </c>
      <c r="B24" s="19">
        <v>8</v>
      </c>
      <c r="C24" s="19">
        <v>0</v>
      </c>
      <c r="D24" s="20">
        <v>44740</v>
      </c>
      <c r="E24" s="21" t="s">
        <v>47</v>
      </c>
      <c r="F24" s="1" t="s">
        <v>44</v>
      </c>
      <c r="G24" s="21" t="s">
        <v>48</v>
      </c>
      <c r="H24" s="22">
        <v>9</v>
      </c>
      <c r="I24" s="27"/>
      <c r="J24" s="24"/>
      <c r="K24" s="24"/>
      <c r="L24" s="25"/>
      <c r="M24" s="19">
        <v>135</v>
      </c>
      <c r="N24" s="19">
        <v>0</v>
      </c>
      <c r="O24" s="19">
        <v>11</v>
      </c>
      <c r="P24" s="19">
        <v>52</v>
      </c>
      <c r="Q24" s="19">
        <v>1</v>
      </c>
      <c r="R24" s="19">
        <v>0</v>
      </c>
      <c r="S24" s="19">
        <v>1</v>
      </c>
      <c r="T24" s="19">
        <v>2</v>
      </c>
      <c r="U24" s="19">
        <v>94</v>
      </c>
      <c r="V24" s="19">
        <v>0</v>
      </c>
      <c r="W24" s="19">
        <v>294</v>
      </c>
      <c r="X24" s="19">
        <f>W24-T24</f>
      </c>
      <c r="Y24" s="26"/>
    </row>
    <row x14ac:dyDescent="0.25" r="25" customHeight="1" ht="18.75">
      <c r="A25" s="19">
        <v>308</v>
      </c>
      <c r="B25" s="19">
        <v>8</v>
      </c>
      <c r="C25" s="19">
        <v>0</v>
      </c>
      <c r="D25" s="20">
        <v>44740</v>
      </c>
      <c r="E25" s="21" t="s">
        <v>47</v>
      </c>
      <c r="F25" s="1" t="s">
        <v>44</v>
      </c>
      <c r="G25" s="21" t="s">
        <v>48</v>
      </c>
      <c r="H25" s="22">
        <v>9</v>
      </c>
      <c r="I25" s="27"/>
      <c r="J25" s="24"/>
      <c r="K25" s="24"/>
      <c r="L25" s="25"/>
      <c r="M25" s="19">
        <v>160</v>
      </c>
      <c r="N25" s="19">
        <v>0</v>
      </c>
      <c r="O25" s="19">
        <v>0</v>
      </c>
      <c r="P25" s="19">
        <v>21</v>
      </c>
      <c r="Q25" s="19">
        <v>0</v>
      </c>
      <c r="R25" s="19">
        <v>0</v>
      </c>
      <c r="S25" s="19">
        <v>1</v>
      </c>
      <c r="T25" s="19">
        <v>1</v>
      </c>
      <c r="U25" s="19">
        <v>5</v>
      </c>
      <c r="V25" s="19">
        <v>0</v>
      </c>
      <c r="W25" s="19">
        <v>187</v>
      </c>
      <c r="X25" s="19">
        <f>W25-T25</f>
      </c>
      <c r="Y25" s="26"/>
    </row>
    <row x14ac:dyDescent="0.25" r="26" customHeight="1" ht="18.75">
      <c r="A26" s="19">
        <v>109</v>
      </c>
      <c r="B26" s="19">
        <v>9</v>
      </c>
      <c r="C26" s="19">
        <v>0</v>
      </c>
      <c r="D26" s="20">
        <v>44740</v>
      </c>
      <c r="E26" s="21" t="s">
        <v>43</v>
      </c>
      <c r="F26" s="1" t="s">
        <v>46</v>
      </c>
      <c r="G26" s="21" t="s">
        <v>48</v>
      </c>
      <c r="H26" s="22">
        <v>9</v>
      </c>
      <c r="I26" s="23">
        <v>1</v>
      </c>
      <c r="J26" s="24">
        <v>0.29</v>
      </c>
      <c r="K26" s="24">
        <v>0.25</v>
      </c>
      <c r="L26" s="25">
        <v>0.14</v>
      </c>
      <c r="M26" s="19">
        <v>35</v>
      </c>
      <c r="N26" s="19">
        <v>2</v>
      </c>
      <c r="O26" s="19">
        <v>0</v>
      </c>
      <c r="P26" s="19">
        <v>27</v>
      </c>
      <c r="Q26" s="19">
        <v>5</v>
      </c>
      <c r="R26" s="19">
        <v>0</v>
      </c>
      <c r="S26" s="19">
        <v>1</v>
      </c>
      <c r="T26" s="19">
        <v>6</v>
      </c>
      <c r="U26" s="19">
        <v>0</v>
      </c>
      <c r="V26" s="19">
        <v>2</v>
      </c>
      <c r="W26" s="19">
        <v>72</v>
      </c>
      <c r="X26" s="19">
        <f>W26-T26</f>
      </c>
      <c r="Y26" s="26"/>
    </row>
    <row x14ac:dyDescent="0.25" r="27" customHeight="1" ht="18.75">
      <c r="A27" s="19">
        <v>208</v>
      </c>
      <c r="B27" s="19">
        <v>9</v>
      </c>
      <c r="C27" s="19">
        <v>0</v>
      </c>
      <c r="D27" s="20">
        <v>44740</v>
      </c>
      <c r="E27" s="21" t="s">
        <v>43</v>
      </c>
      <c r="F27" s="1" t="s">
        <v>46</v>
      </c>
      <c r="G27" s="21" t="s">
        <v>48</v>
      </c>
      <c r="H27" s="22">
        <v>9</v>
      </c>
      <c r="I27" s="23">
        <v>1</v>
      </c>
      <c r="J27" s="24">
        <v>0.31</v>
      </c>
      <c r="K27" s="24">
        <v>0.27</v>
      </c>
      <c r="L27" s="25">
        <v>0.12</v>
      </c>
      <c r="M27" s="19">
        <v>181</v>
      </c>
      <c r="N27" s="19">
        <v>23</v>
      </c>
      <c r="O27" s="19">
        <v>29</v>
      </c>
      <c r="P27" s="19">
        <v>65</v>
      </c>
      <c r="Q27" s="19">
        <v>0</v>
      </c>
      <c r="R27" s="19">
        <v>0</v>
      </c>
      <c r="S27" s="19">
        <v>0</v>
      </c>
      <c r="T27" s="19">
        <v>0</v>
      </c>
      <c r="U27" s="19">
        <v>128</v>
      </c>
      <c r="V27" s="19">
        <v>0</v>
      </c>
      <c r="W27" s="19">
        <v>426</v>
      </c>
      <c r="X27" s="19">
        <f>W27-T27</f>
      </c>
      <c r="Y27" s="26"/>
    </row>
    <row x14ac:dyDescent="0.25" r="28" customHeight="1" ht="18.75">
      <c r="A28" s="19">
        <v>311</v>
      </c>
      <c r="B28" s="19">
        <v>9</v>
      </c>
      <c r="C28" s="19">
        <v>0</v>
      </c>
      <c r="D28" s="20">
        <v>44740</v>
      </c>
      <c r="E28" s="21" t="s">
        <v>43</v>
      </c>
      <c r="F28" s="1" t="s">
        <v>46</v>
      </c>
      <c r="G28" s="21" t="s">
        <v>48</v>
      </c>
      <c r="H28" s="22">
        <v>9.5</v>
      </c>
      <c r="I28" s="23">
        <v>1</v>
      </c>
      <c r="J28" s="24">
        <v>0.32</v>
      </c>
      <c r="K28" s="24">
        <v>0.28</v>
      </c>
      <c r="L28" s="25">
        <v>0.14</v>
      </c>
      <c r="M28" s="19">
        <v>84</v>
      </c>
      <c r="N28" s="19">
        <v>0</v>
      </c>
      <c r="O28" s="19">
        <v>0</v>
      </c>
      <c r="P28" s="19">
        <v>31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115</v>
      </c>
      <c r="X28" s="19">
        <f>W28-T28</f>
      </c>
      <c r="Y28" s="26"/>
    </row>
    <row x14ac:dyDescent="0.25" r="29" customHeight="1" ht="18.75">
      <c r="A29" s="19">
        <v>110</v>
      </c>
      <c r="B29" s="19">
        <v>10</v>
      </c>
      <c r="C29" s="19">
        <v>0</v>
      </c>
      <c r="D29" s="20">
        <v>44740</v>
      </c>
      <c r="E29" s="21" t="s">
        <v>43</v>
      </c>
      <c r="F29" s="21" t="s">
        <v>44</v>
      </c>
      <c r="G29" s="21" t="s">
        <v>48</v>
      </c>
      <c r="H29" s="22">
        <v>9</v>
      </c>
      <c r="I29" s="23">
        <v>0</v>
      </c>
      <c r="J29" s="24">
        <v>0.3</v>
      </c>
      <c r="K29" s="24">
        <v>0.26</v>
      </c>
      <c r="L29" s="25">
        <v>0.14</v>
      </c>
      <c r="M29" s="19">
        <v>27</v>
      </c>
      <c r="N29" s="19">
        <v>13</v>
      </c>
      <c r="O29" s="19">
        <v>0</v>
      </c>
      <c r="P29" s="19">
        <v>35</v>
      </c>
      <c r="Q29" s="19">
        <v>3</v>
      </c>
      <c r="R29" s="19">
        <v>2</v>
      </c>
      <c r="S29" s="19">
        <v>1</v>
      </c>
      <c r="T29" s="19">
        <v>6</v>
      </c>
      <c r="U29" s="19">
        <v>9</v>
      </c>
      <c r="V29" s="19">
        <v>1</v>
      </c>
      <c r="W29" s="19">
        <v>91</v>
      </c>
      <c r="X29" s="19">
        <f>W29-T29</f>
      </c>
      <c r="Y29" s="26"/>
    </row>
    <row x14ac:dyDescent="0.25" r="30" customHeight="1" ht="18.75">
      <c r="A30" s="19">
        <v>201</v>
      </c>
      <c r="B30" s="19">
        <v>10</v>
      </c>
      <c r="C30" s="19">
        <v>0</v>
      </c>
      <c r="D30" s="20">
        <v>44740</v>
      </c>
      <c r="E30" s="21" t="s">
        <v>43</v>
      </c>
      <c r="F30" s="21" t="s">
        <v>44</v>
      </c>
      <c r="G30" s="21" t="s">
        <v>48</v>
      </c>
      <c r="H30" s="22">
        <v>9</v>
      </c>
      <c r="I30" s="23">
        <v>0</v>
      </c>
      <c r="J30" s="24">
        <v>0.29</v>
      </c>
      <c r="K30" s="24">
        <v>0.23</v>
      </c>
      <c r="L30" s="25">
        <v>0.22</v>
      </c>
      <c r="M30" s="19">
        <v>112</v>
      </c>
      <c r="N30" s="19">
        <v>0</v>
      </c>
      <c r="O30" s="19">
        <v>0</v>
      </c>
      <c r="P30" s="19">
        <v>41</v>
      </c>
      <c r="Q30" s="19">
        <v>4</v>
      </c>
      <c r="R30" s="19">
        <v>1</v>
      </c>
      <c r="S30" s="19">
        <v>7</v>
      </c>
      <c r="T30" s="19">
        <v>12</v>
      </c>
      <c r="U30" s="19">
        <v>0</v>
      </c>
      <c r="V30" s="19">
        <v>1</v>
      </c>
      <c r="W30" s="19">
        <v>166</v>
      </c>
      <c r="X30" s="19">
        <f>W30-T30</f>
      </c>
      <c r="Y30" s="26"/>
    </row>
    <row x14ac:dyDescent="0.25" r="31" customHeight="1" ht="18.75">
      <c r="A31" s="19">
        <v>301</v>
      </c>
      <c r="B31" s="19">
        <v>10</v>
      </c>
      <c r="C31" s="19">
        <v>0</v>
      </c>
      <c r="D31" s="20">
        <v>44740</v>
      </c>
      <c r="E31" s="21" t="s">
        <v>43</v>
      </c>
      <c r="F31" s="21" t="s">
        <v>44</v>
      </c>
      <c r="G31" s="21" t="s">
        <v>48</v>
      </c>
      <c r="H31" s="22">
        <v>9</v>
      </c>
      <c r="I31" s="23">
        <v>0</v>
      </c>
      <c r="J31" s="24">
        <v>0.33</v>
      </c>
      <c r="K31" s="24">
        <v>0.31</v>
      </c>
      <c r="L31" s="25">
        <v>0.05</v>
      </c>
      <c r="M31" s="19">
        <v>861</v>
      </c>
      <c r="N31" s="19">
        <v>3</v>
      </c>
      <c r="O31" s="19">
        <v>0</v>
      </c>
      <c r="P31" s="19">
        <v>11</v>
      </c>
      <c r="Q31" s="19">
        <v>3</v>
      </c>
      <c r="R31" s="19">
        <v>9</v>
      </c>
      <c r="S31" s="19">
        <v>3</v>
      </c>
      <c r="T31" s="19">
        <v>15</v>
      </c>
      <c r="U31" s="19">
        <v>4</v>
      </c>
      <c r="V31" s="19">
        <v>0</v>
      </c>
      <c r="W31" s="19">
        <v>894</v>
      </c>
      <c r="X31" s="19">
        <f>W31-T31</f>
      </c>
      <c r="Y31" s="26"/>
    </row>
    <row x14ac:dyDescent="0.25" r="32" customHeight="1" ht="18.75">
      <c r="A32" s="19">
        <v>111</v>
      </c>
      <c r="B32" s="19">
        <v>11</v>
      </c>
      <c r="C32" s="19">
        <v>0</v>
      </c>
      <c r="D32" s="20">
        <v>44740</v>
      </c>
      <c r="E32" s="21" t="s">
        <v>43</v>
      </c>
      <c r="F32" s="1" t="s">
        <v>46</v>
      </c>
      <c r="G32" s="21" t="s">
        <v>48</v>
      </c>
      <c r="H32" s="22">
        <v>11.5</v>
      </c>
      <c r="I32" s="23">
        <v>1</v>
      </c>
      <c r="J32" s="24">
        <v>0.33</v>
      </c>
      <c r="K32" s="24">
        <v>0.23</v>
      </c>
      <c r="L32" s="25">
        <v>0.3</v>
      </c>
      <c r="M32" s="19">
        <v>16</v>
      </c>
      <c r="N32" s="19">
        <v>4</v>
      </c>
      <c r="O32" s="19">
        <v>0</v>
      </c>
      <c r="P32" s="19">
        <v>24</v>
      </c>
      <c r="Q32" s="19">
        <v>7</v>
      </c>
      <c r="R32" s="19">
        <v>5</v>
      </c>
      <c r="S32" s="19">
        <v>3</v>
      </c>
      <c r="T32" s="19">
        <v>15</v>
      </c>
      <c r="U32" s="19">
        <v>61</v>
      </c>
      <c r="V32" s="19">
        <v>6</v>
      </c>
      <c r="W32" s="19">
        <v>126</v>
      </c>
      <c r="X32" s="19">
        <f>W32-T32</f>
      </c>
      <c r="Y32" s="26"/>
    </row>
    <row x14ac:dyDescent="0.25" r="33" customHeight="1" ht="18.75">
      <c r="A33" s="19">
        <v>210</v>
      </c>
      <c r="B33" s="19">
        <v>11</v>
      </c>
      <c r="C33" s="19">
        <v>0</v>
      </c>
      <c r="D33" s="20">
        <v>44740</v>
      </c>
      <c r="E33" s="21" t="s">
        <v>43</v>
      </c>
      <c r="F33" s="21" t="s">
        <v>46</v>
      </c>
      <c r="G33" s="21" t="s">
        <v>48</v>
      </c>
      <c r="H33" s="22">
        <v>11.5</v>
      </c>
      <c r="I33" s="23">
        <v>1</v>
      </c>
      <c r="J33" s="24">
        <v>0.29</v>
      </c>
      <c r="K33" s="24">
        <v>0.27</v>
      </c>
      <c r="L33" s="25">
        <v>0.07</v>
      </c>
      <c r="M33" s="19">
        <v>233</v>
      </c>
      <c r="N33" s="19">
        <v>0</v>
      </c>
      <c r="O33" s="19">
        <v>0</v>
      </c>
      <c r="P33" s="19">
        <v>69</v>
      </c>
      <c r="Q33" s="19">
        <v>5</v>
      </c>
      <c r="R33" s="19">
        <v>13</v>
      </c>
      <c r="S33" s="19">
        <v>26</v>
      </c>
      <c r="T33" s="19">
        <v>44</v>
      </c>
      <c r="U33" s="19">
        <v>9</v>
      </c>
      <c r="V33" s="19">
        <v>0</v>
      </c>
      <c r="W33" s="19">
        <v>355</v>
      </c>
      <c r="X33" s="19">
        <f>W33-T33</f>
      </c>
      <c r="Y33" s="26"/>
    </row>
    <row x14ac:dyDescent="0.25" r="34" customHeight="1" ht="18.75">
      <c r="A34" s="19">
        <v>305</v>
      </c>
      <c r="B34" s="19">
        <v>11</v>
      </c>
      <c r="C34" s="19">
        <v>0</v>
      </c>
      <c r="D34" s="20">
        <v>44740</v>
      </c>
      <c r="E34" s="21" t="s">
        <v>43</v>
      </c>
      <c r="F34" s="1" t="s">
        <v>44</v>
      </c>
      <c r="G34" s="21" t="s">
        <v>48</v>
      </c>
      <c r="H34" s="22">
        <v>11.5</v>
      </c>
      <c r="I34" s="23">
        <v>1</v>
      </c>
      <c r="J34" s="24">
        <v>0.31</v>
      </c>
      <c r="K34" s="24">
        <v>0.29</v>
      </c>
      <c r="L34" s="25">
        <v>0.06</v>
      </c>
      <c r="M34" s="19">
        <v>479</v>
      </c>
      <c r="N34" s="19">
        <v>0</v>
      </c>
      <c r="O34" s="19">
        <v>0</v>
      </c>
      <c r="P34" s="19">
        <v>12</v>
      </c>
      <c r="Q34" s="19">
        <v>0</v>
      </c>
      <c r="R34" s="19">
        <v>1</v>
      </c>
      <c r="S34" s="19">
        <v>0</v>
      </c>
      <c r="T34" s="19">
        <v>1</v>
      </c>
      <c r="U34" s="19">
        <v>3</v>
      </c>
      <c r="V34" s="19">
        <v>2</v>
      </c>
      <c r="W34" s="19">
        <v>497</v>
      </c>
      <c r="X34" s="19">
        <f>W34-T34</f>
      </c>
      <c r="Y34" s="26"/>
    </row>
    <row x14ac:dyDescent="0.25" r="35" customHeight="1" ht="18.75">
      <c r="A35" s="19">
        <v>112</v>
      </c>
      <c r="B35" s="19">
        <v>12</v>
      </c>
      <c r="C35" s="19">
        <v>0</v>
      </c>
      <c r="D35" s="20">
        <v>44740</v>
      </c>
      <c r="E35" s="21" t="s">
        <v>43</v>
      </c>
      <c r="F35" s="21" t="s">
        <v>44</v>
      </c>
      <c r="G35" s="21" t="s">
        <v>48</v>
      </c>
      <c r="H35" s="22">
        <v>11.5</v>
      </c>
      <c r="I35" s="23">
        <v>0</v>
      </c>
      <c r="J35" s="24">
        <v>0.35</v>
      </c>
      <c r="K35" s="24">
        <v>0.26</v>
      </c>
      <c r="L35" s="25">
        <v>0.26</v>
      </c>
      <c r="M35" s="19">
        <v>23</v>
      </c>
      <c r="N35" s="19">
        <v>10</v>
      </c>
      <c r="O35" s="19">
        <v>0</v>
      </c>
      <c r="P35" s="19">
        <v>38</v>
      </c>
      <c r="Q35" s="19">
        <v>2</v>
      </c>
      <c r="R35" s="19">
        <v>1</v>
      </c>
      <c r="S35" s="19">
        <v>0</v>
      </c>
      <c r="T35" s="19">
        <v>3</v>
      </c>
      <c r="U35" s="19">
        <v>1</v>
      </c>
      <c r="V35" s="19">
        <v>0</v>
      </c>
      <c r="W35" s="19">
        <v>75</v>
      </c>
      <c r="X35" s="19">
        <f>W35-T35</f>
      </c>
      <c r="Y35" s="26"/>
    </row>
    <row x14ac:dyDescent="0.25" r="36" customHeight="1" ht="18.75">
      <c r="A36" s="19">
        <v>206</v>
      </c>
      <c r="B36" s="19">
        <v>12</v>
      </c>
      <c r="C36" s="19">
        <v>0</v>
      </c>
      <c r="D36" s="20">
        <v>44740</v>
      </c>
      <c r="E36" s="21" t="s">
        <v>43</v>
      </c>
      <c r="F36" s="1" t="s">
        <v>44</v>
      </c>
      <c r="G36" s="21" t="s">
        <v>48</v>
      </c>
      <c r="H36" s="22">
        <v>11.5</v>
      </c>
      <c r="I36" s="23">
        <v>0</v>
      </c>
      <c r="J36" s="24">
        <v>0.32</v>
      </c>
      <c r="K36" s="24">
        <v>0.28</v>
      </c>
      <c r="L36" s="25">
        <v>0.11</v>
      </c>
      <c r="M36" s="19">
        <v>397</v>
      </c>
      <c r="N36" s="19">
        <v>7</v>
      </c>
      <c r="O36" s="19">
        <v>12</v>
      </c>
      <c r="P36" s="19">
        <v>19</v>
      </c>
      <c r="Q36" s="19">
        <v>0</v>
      </c>
      <c r="R36" s="19">
        <v>0</v>
      </c>
      <c r="S36" s="19">
        <v>0</v>
      </c>
      <c r="T36" s="19">
        <v>0</v>
      </c>
      <c r="U36" s="19">
        <v>199</v>
      </c>
      <c r="V36" s="19">
        <v>0</v>
      </c>
      <c r="W36" s="19">
        <v>634</v>
      </c>
      <c r="X36" s="19">
        <f>W36-T36</f>
      </c>
      <c r="Y36" s="26"/>
    </row>
    <row x14ac:dyDescent="0.25" r="37" customHeight="1" ht="18.75">
      <c r="A37" s="19">
        <v>302</v>
      </c>
      <c r="B37" s="19">
        <v>12</v>
      </c>
      <c r="C37" s="19">
        <v>0</v>
      </c>
      <c r="D37" s="20">
        <v>44740</v>
      </c>
      <c r="E37" s="21" t="s">
        <v>43</v>
      </c>
      <c r="F37" s="1" t="s">
        <v>46</v>
      </c>
      <c r="G37" s="21" t="s">
        <v>48</v>
      </c>
      <c r="H37" s="22">
        <v>11.5</v>
      </c>
      <c r="I37" s="23">
        <v>0</v>
      </c>
      <c r="J37" s="24">
        <v>0.31</v>
      </c>
      <c r="K37" s="24">
        <v>0.23</v>
      </c>
      <c r="L37" s="25">
        <v>0.26</v>
      </c>
      <c r="M37" s="19">
        <v>19</v>
      </c>
      <c r="N37" s="19">
        <v>1</v>
      </c>
      <c r="O37" s="19">
        <v>0</v>
      </c>
      <c r="P37" s="19">
        <v>8</v>
      </c>
      <c r="Q37" s="19">
        <v>0</v>
      </c>
      <c r="R37" s="19">
        <v>0</v>
      </c>
      <c r="S37" s="19">
        <v>0</v>
      </c>
      <c r="T37" s="19">
        <v>0</v>
      </c>
      <c r="U37" s="19">
        <v>1</v>
      </c>
      <c r="V37" s="19">
        <v>0</v>
      </c>
      <c r="W37" s="19">
        <v>29</v>
      </c>
      <c r="X37" s="19">
        <f>W37-T37</f>
      </c>
      <c r="Y37" s="26"/>
    </row>
    <row x14ac:dyDescent="0.25" r="38" customHeight="1" ht="18.75">
      <c r="A38" s="19">
        <v>101</v>
      </c>
      <c r="B38" s="19">
        <v>1</v>
      </c>
      <c r="C38" s="19">
        <v>5</v>
      </c>
      <c r="D38" s="20">
        <v>44737</v>
      </c>
      <c r="E38" s="21" t="s">
        <v>43</v>
      </c>
      <c r="F38" s="21" t="s">
        <v>44</v>
      </c>
      <c r="G38" s="21" t="s">
        <v>45</v>
      </c>
      <c r="H38" s="22"/>
      <c r="I38" s="23">
        <v>1</v>
      </c>
      <c r="J38" s="24">
        <v>0.3</v>
      </c>
      <c r="K38" s="24">
        <v>0.13</v>
      </c>
      <c r="L38" s="25">
        <v>0.58</v>
      </c>
      <c r="M38" s="19">
        <v>55</v>
      </c>
      <c r="N38" s="19">
        <v>0</v>
      </c>
      <c r="O38" s="19">
        <v>0</v>
      </c>
      <c r="P38" s="19">
        <v>29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1</v>
      </c>
      <c r="W38" s="19">
        <v>85</v>
      </c>
      <c r="X38" s="19">
        <f>W38-T38</f>
      </c>
      <c r="Y38" s="19">
        <v>15</v>
      </c>
    </row>
    <row x14ac:dyDescent="0.25" r="39" customHeight="1" ht="18.75">
      <c r="A39" s="19">
        <v>202</v>
      </c>
      <c r="B39" s="19">
        <v>1</v>
      </c>
      <c r="C39" s="19">
        <v>5</v>
      </c>
      <c r="D39" s="20">
        <v>44737</v>
      </c>
      <c r="E39" s="21" t="s">
        <v>43</v>
      </c>
      <c r="F39" s="21" t="s">
        <v>44</v>
      </c>
      <c r="G39" s="21" t="s">
        <v>45</v>
      </c>
      <c r="H39" s="22"/>
      <c r="I39" s="23">
        <v>1</v>
      </c>
      <c r="J39" s="24">
        <v>0.32</v>
      </c>
      <c r="K39" s="24">
        <v>0.16</v>
      </c>
      <c r="L39" s="25">
        <v>0.49</v>
      </c>
      <c r="M39" s="19">
        <v>275</v>
      </c>
      <c r="N39" s="19">
        <v>4</v>
      </c>
      <c r="O39" s="19">
        <v>0</v>
      </c>
      <c r="P39" s="19">
        <v>34</v>
      </c>
      <c r="Q39" s="19">
        <v>1</v>
      </c>
      <c r="R39" s="19">
        <v>0</v>
      </c>
      <c r="S39" s="19">
        <v>4</v>
      </c>
      <c r="T39" s="19">
        <v>5</v>
      </c>
      <c r="U39" s="19">
        <v>0</v>
      </c>
      <c r="V39" s="19">
        <v>6</v>
      </c>
      <c r="W39" s="19">
        <v>324</v>
      </c>
      <c r="X39" s="19">
        <f>W39-T39</f>
      </c>
      <c r="Y39" s="19">
        <v>0</v>
      </c>
    </row>
    <row x14ac:dyDescent="0.25" r="40" customHeight="1" ht="18.75">
      <c r="A40" s="19">
        <v>306</v>
      </c>
      <c r="B40" s="19">
        <v>1</v>
      </c>
      <c r="C40" s="19">
        <v>5</v>
      </c>
      <c r="D40" s="20">
        <v>44737</v>
      </c>
      <c r="E40" s="21" t="s">
        <v>43</v>
      </c>
      <c r="F40" s="21" t="s">
        <v>46</v>
      </c>
      <c r="G40" s="21" t="s">
        <v>45</v>
      </c>
      <c r="H40" s="22"/>
      <c r="I40" s="23">
        <v>1</v>
      </c>
      <c r="J40" s="24">
        <v>0.34</v>
      </c>
      <c r="K40" s="24">
        <v>0.22</v>
      </c>
      <c r="L40" s="25">
        <v>0.35</v>
      </c>
      <c r="M40" s="19">
        <v>138</v>
      </c>
      <c r="N40" s="19">
        <v>0</v>
      </c>
      <c r="O40" s="19">
        <v>0</v>
      </c>
      <c r="P40" s="19">
        <v>5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143</v>
      </c>
      <c r="X40" s="19">
        <f>W40-T40</f>
      </c>
      <c r="Y40" s="19">
        <v>0</v>
      </c>
    </row>
    <row x14ac:dyDescent="0.25" r="41" customHeight="1" ht="18.75">
      <c r="A41" s="19">
        <v>102</v>
      </c>
      <c r="B41" s="19">
        <v>2</v>
      </c>
      <c r="C41" s="19">
        <v>5</v>
      </c>
      <c r="D41" s="20">
        <v>44737</v>
      </c>
      <c r="E41" s="21" t="s">
        <v>43</v>
      </c>
      <c r="F41" s="21" t="s">
        <v>46</v>
      </c>
      <c r="G41" s="21" t="s">
        <v>45</v>
      </c>
      <c r="H41" s="22"/>
      <c r="I41" s="23">
        <v>5</v>
      </c>
      <c r="J41" s="24">
        <v>0.37</v>
      </c>
      <c r="K41" s="24">
        <v>0.13</v>
      </c>
      <c r="L41" s="25">
        <v>0.65</v>
      </c>
      <c r="M41" s="19">
        <v>15</v>
      </c>
      <c r="N41" s="19">
        <v>7</v>
      </c>
      <c r="O41" s="19">
        <v>0</v>
      </c>
      <c r="P41" s="19">
        <v>77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99</v>
      </c>
      <c r="X41" s="19">
        <f>W41-T41</f>
      </c>
      <c r="Y41" s="19">
        <v>6</v>
      </c>
    </row>
    <row x14ac:dyDescent="0.25" r="42" customHeight="1" ht="18.75">
      <c r="A42" s="19">
        <v>205</v>
      </c>
      <c r="B42" s="19">
        <v>2</v>
      </c>
      <c r="C42" s="19">
        <v>5</v>
      </c>
      <c r="D42" s="20">
        <v>44737</v>
      </c>
      <c r="E42" s="21" t="s">
        <v>43</v>
      </c>
      <c r="F42" s="21" t="s">
        <v>44</v>
      </c>
      <c r="G42" s="21" t="s">
        <v>45</v>
      </c>
      <c r="H42" s="22"/>
      <c r="I42" s="23">
        <v>5</v>
      </c>
      <c r="J42" s="24">
        <v>0.35</v>
      </c>
      <c r="K42" s="24">
        <v>0.1</v>
      </c>
      <c r="L42" s="25">
        <v>0.71</v>
      </c>
      <c r="M42" s="19">
        <v>120</v>
      </c>
      <c r="N42" s="19">
        <v>18</v>
      </c>
      <c r="O42" s="19">
        <v>3</v>
      </c>
      <c r="P42" s="19">
        <v>302</v>
      </c>
      <c r="Q42" s="19">
        <v>1</v>
      </c>
      <c r="R42" s="19">
        <v>0</v>
      </c>
      <c r="S42" s="19">
        <v>1</v>
      </c>
      <c r="T42" s="19">
        <v>2</v>
      </c>
      <c r="U42" s="19">
        <v>47</v>
      </c>
      <c r="V42" s="19">
        <v>4</v>
      </c>
      <c r="W42" s="19">
        <v>496</v>
      </c>
      <c r="X42" s="19">
        <f>W42-T42</f>
      </c>
      <c r="Y42" s="19">
        <v>1</v>
      </c>
    </row>
    <row x14ac:dyDescent="0.25" r="43" customHeight="1" ht="18.75">
      <c r="A43" s="19">
        <v>307</v>
      </c>
      <c r="B43" s="19">
        <v>2</v>
      </c>
      <c r="C43" s="19">
        <v>5</v>
      </c>
      <c r="D43" s="20">
        <v>44737</v>
      </c>
      <c r="E43" s="21" t="s">
        <v>43</v>
      </c>
      <c r="F43" s="21" t="s">
        <v>44</v>
      </c>
      <c r="G43" s="21" t="s">
        <v>45</v>
      </c>
      <c r="H43" s="22"/>
      <c r="I43" s="23">
        <v>5</v>
      </c>
      <c r="J43" s="24">
        <v>0.4</v>
      </c>
      <c r="K43" s="24">
        <v>0.07</v>
      </c>
      <c r="L43" s="25">
        <v>0.83</v>
      </c>
      <c r="M43" s="19">
        <v>102</v>
      </c>
      <c r="N43" s="19">
        <v>0</v>
      </c>
      <c r="O43" s="19">
        <v>0</v>
      </c>
      <c r="P43" s="19">
        <v>52</v>
      </c>
      <c r="Q43" s="19">
        <v>0</v>
      </c>
      <c r="R43" s="19">
        <v>0</v>
      </c>
      <c r="S43" s="19">
        <v>0</v>
      </c>
      <c r="T43" s="19">
        <v>0</v>
      </c>
      <c r="U43" s="19">
        <v>1</v>
      </c>
      <c r="V43" s="19">
        <v>0</v>
      </c>
      <c r="W43" s="19">
        <v>155</v>
      </c>
      <c r="X43" s="19">
        <f>W43-T43</f>
      </c>
      <c r="Y43" s="19">
        <v>1</v>
      </c>
    </row>
    <row x14ac:dyDescent="0.25" r="44" customHeight="1" ht="18.75">
      <c r="A44" s="19">
        <v>103</v>
      </c>
      <c r="B44" s="19">
        <v>3</v>
      </c>
      <c r="C44" s="19">
        <v>5</v>
      </c>
      <c r="D44" s="20">
        <v>44737</v>
      </c>
      <c r="E44" s="21" t="s">
        <v>47</v>
      </c>
      <c r="F44" s="21" t="s">
        <v>44</v>
      </c>
      <c r="G44" s="21" t="s">
        <v>45</v>
      </c>
      <c r="H44" s="22">
        <v>6</v>
      </c>
      <c r="I44" s="27"/>
      <c r="J44" s="24"/>
      <c r="K44" s="24"/>
      <c r="L44" s="25"/>
      <c r="M44" s="19">
        <v>0</v>
      </c>
      <c r="N44" s="19">
        <v>0</v>
      </c>
      <c r="O44" s="19">
        <v>0</v>
      </c>
      <c r="P44" s="19">
        <v>1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1</v>
      </c>
      <c r="X44" s="19">
        <f>W44-T44</f>
      </c>
      <c r="Y44" s="19">
        <f>SUM( 14+25+6+16)</f>
      </c>
    </row>
    <row x14ac:dyDescent="0.25" r="45" customHeight="1" ht="18.75">
      <c r="A45" s="19">
        <v>212</v>
      </c>
      <c r="B45" s="19">
        <v>3</v>
      </c>
      <c r="C45" s="19">
        <v>5</v>
      </c>
      <c r="D45" s="20">
        <v>44737</v>
      </c>
      <c r="E45" s="21" t="s">
        <v>47</v>
      </c>
      <c r="F45" s="21" t="s">
        <v>44</v>
      </c>
      <c r="G45" s="21" t="s">
        <v>45</v>
      </c>
      <c r="H45" s="22">
        <v>6</v>
      </c>
      <c r="I45" s="27"/>
      <c r="J45" s="24"/>
      <c r="K45" s="24"/>
      <c r="L45" s="25"/>
      <c r="M45" s="19">
        <v>4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3</v>
      </c>
      <c r="T45" s="19">
        <v>3</v>
      </c>
      <c r="U45" s="19">
        <v>0</v>
      </c>
      <c r="V45" s="19">
        <v>3</v>
      </c>
      <c r="W45" s="19">
        <v>10</v>
      </c>
      <c r="X45" s="19">
        <f>W45-T45</f>
      </c>
      <c r="Y45" s="19">
        <v>4</v>
      </c>
    </row>
    <row x14ac:dyDescent="0.25" r="46" customHeight="1" ht="18.75">
      <c r="A46" s="19">
        <v>304</v>
      </c>
      <c r="B46" s="19">
        <v>3</v>
      </c>
      <c r="C46" s="19">
        <v>5</v>
      </c>
      <c r="D46" s="20">
        <v>44737</v>
      </c>
      <c r="E46" s="21" t="s">
        <v>47</v>
      </c>
      <c r="F46" s="21" t="s">
        <v>44</v>
      </c>
      <c r="G46" s="21" t="s">
        <v>45</v>
      </c>
      <c r="H46" s="22">
        <v>6</v>
      </c>
      <c r="I46" s="27"/>
      <c r="J46" s="24"/>
      <c r="K46" s="24"/>
      <c r="L46" s="25"/>
      <c r="M46" s="19">
        <v>1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1</v>
      </c>
      <c r="X46" s="19">
        <f>W46-T46</f>
      </c>
      <c r="Y46" s="19">
        <v>16</v>
      </c>
    </row>
    <row x14ac:dyDescent="0.25" r="47" customHeight="1" ht="18.75">
      <c r="A47" s="19">
        <v>104</v>
      </c>
      <c r="B47" s="19">
        <v>4</v>
      </c>
      <c r="C47" s="19">
        <v>5</v>
      </c>
      <c r="D47" s="20">
        <v>44737</v>
      </c>
      <c r="E47" s="21" t="s">
        <v>47</v>
      </c>
      <c r="F47" s="21" t="s">
        <v>46</v>
      </c>
      <c r="G47" s="21" t="s">
        <v>45</v>
      </c>
      <c r="H47" s="22">
        <v>6</v>
      </c>
      <c r="I47" s="27"/>
      <c r="J47" s="24"/>
      <c r="K47" s="24"/>
      <c r="L47" s="25"/>
      <c r="M47" s="19">
        <v>4</v>
      </c>
      <c r="N47" s="19">
        <v>0</v>
      </c>
      <c r="O47" s="19">
        <v>1</v>
      </c>
      <c r="P47" s="19">
        <v>3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1</v>
      </c>
      <c r="W47" s="19">
        <v>9</v>
      </c>
      <c r="X47" s="19">
        <f>W47-T47</f>
      </c>
      <c r="Y47" s="19">
        <v>15</v>
      </c>
    </row>
    <row x14ac:dyDescent="0.25" r="48" customHeight="1" ht="18.75">
      <c r="A48" s="19">
        <v>211</v>
      </c>
      <c r="B48" s="19">
        <v>4</v>
      </c>
      <c r="C48" s="19">
        <v>5</v>
      </c>
      <c r="D48" s="20">
        <v>44737</v>
      </c>
      <c r="E48" s="21" t="s">
        <v>47</v>
      </c>
      <c r="F48" s="21" t="s">
        <v>46</v>
      </c>
      <c r="G48" s="21" t="s">
        <v>45</v>
      </c>
      <c r="H48" s="22">
        <v>9</v>
      </c>
      <c r="I48" s="27"/>
      <c r="J48" s="24"/>
      <c r="K48" s="24"/>
      <c r="L48" s="25"/>
      <c r="M48" s="19">
        <v>16</v>
      </c>
      <c r="N48" s="19">
        <v>0</v>
      </c>
      <c r="O48" s="19">
        <v>0</v>
      </c>
      <c r="P48" s="19">
        <v>0</v>
      </c>
      <c r="Q48" s="19">
        <v>0</v>
      </c>
      <c r="R48" s="19">
        <v>3</v>
      </c>
      <c r="S48" s="19">
        <v>1</v>
      </c>
      <c r="T48" s="19">
        <v>4</v>
      </c>
      <c r="U48" s="19">
        <v>0</v>
      </c>
      <c r="V48" s="19">
        <v>0</v>
      </c>
      <c r="W48" s="19">
        <v>20</v>
      </c>
      <c r="X48" s="19">
        <f>W48-T48</f>
      </c>
      <c r="Y48" s="19">
        <v>4</v>
      </c>
    </row>
    <row x14ac:dyDescent="0.25" r="49" customHeight="1" ht="18.75">
      <c r="A49" s="19">
        <v>303</v>
      </c>
      <c r="B49" s="19">
        <v>4</v>
      </c>
      <c r="C49" s="19">
        <v>5</v>
      </c>
      <c r="D49" s="20">
        <v>44737</v>
      </c>
      <c r="E49" s="21" t="s">
        <v>47</v>
      </c>
      <c r="F49" s="21" t="s">
        <v>46</v>
      </c>
      <c r="G49" s="21" t="s">
        <v>45</v>
      </c>
      <c r="H49" s="22">
        <v>9</v>
      </c>
      <c r="I49" s="27"/>
      <c r="J49" s="24"/>
      <c r="K49" s="24"/>
      <c r="L49" s="25"/>
      <c r="M49" s="19">
        <v>3</v>
      </c>
      <c r="N49" s="19">
        <v>0</v>
      </c>
      <c r="O49" s="19">
        <v>0</v>
      </c>
      <c r="P49" s="19">
        <v>1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4</v>
      </c>
      <c r="X49" s="19">
        <f>W49-T49</f>
      </c>
      <c r="Y49" s="19">
        <v>5</v>
      </c>
    </row>
    <row x14ac:dyDescent="0.25" r="50" customHeight="1" ht="18.75">
      <c r="A50" s="19">
        <v>105</v>
      </c>
      <c r="B50" s="19">
        <v>5</v>
      </c>
      <c r="C50" s="19">
        <v>5</v>
      </c>
      <c r="D50" s="20">
        <v>44745</v>
      </c>
      <c r="E50" s="21" t="s">
        <v>43</v>
      </c>
      <c r="F50" s="1" t="s">
        <v>46</v>
      </c>
      <c r="G50" s="21" t="s">
        <v>48</v>
      </c>
      <c r="H50" s="22">
        <v>9</v>
      </c>
      <c r="I50" s="23">
        <v>1</v>
      </c>
      <c r="J50" s="24">
        <v>0.32</v>
      </c>
      <c r="K50" s="24">
        <v>0.29</v>
      </c>
      <c r="L50" s="25">
        <v>0.08</v>
      </c>
      <c r="M50" s="19">
        <v>29</v>
      </c>
      <c r="N50" s="19">
        <v>2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1</v>
      </c>
      <c r="V50" s="19">
        <v>0</v>
      </c>
      <c r="W50" s="19">
        <v>32</v>
      </c>
      <c r="X50" s="19">
        <f>W50-T50</f>
      </c>
      <c r="Y50" s="19">
        <v>3</v>
      </c>
    </row>
    <row x14ac:dyDescent="0.25" r="51" customHeight="1" ht="18.75">
      <c r="A51" s="19">
        <v>209</v>
      </c>
      <c r="B51" s="19">
        <v>5</v>
      </c>
      <c r="C51" s="19">
        <v>5</v>
      </c>
      <c r="D51" s="20">
        <v>44745</v>
      </c>
      <c r="E51" s="21" t="s">
        <v>43</v>
      </c>
      <c r="F51" s="1" t="s">
        <v>44</v>
      </c>
      <c r="G51" s="21" t="s">
        <v>48</v>
      </c>
      <c r="H51" s="22">
        <v>9</v>
      </c>
      <c r="I51" s="23">
        <v>1</v>
      </c>
      <c r="J51" s="24">
        <v>0.32</v>
      </c>
      <c r="K51" s="24">
        <v>0.31</v>
      </c>
      <c r="L51" s="25">
        <v>0.05</v>
      </c>
      <c r="M51" s="19">
        <v>5</v>
      </c>
      <c r="N51" s="19">
        <v>0</v>
      </c>
      <c r="O51" s="19">
        <v>0</v>
      </c>
      <c r="P51" s="19">
        <v>2</v>
      </c>
      <c r="Q51" s="19">
        <v>0</v>
      </c>
      <c r="R51" s="19">
        <v>4</v>
      </c>
      <c r="S51" s="19">
        <v>22</v>
      </c>
      <c r="T51" s="19">
        <v>26</v>
      </c>
      <c r="U51" s="19">
        <v>0</v>
      </c>
      <c r="V51" s="19">
        <v>0</v>
      </c>
      <c r="W51" s="19">
        <v>33</v>
      </c>
      <c r="X51" s="19">
        <f>W51-T51</f>
      </c>
      <c r="Y51" s="19">
        <v>1</v>
      </c>
    </row>
    <row x14ac:dyDescent="0.25" r="52" customHeight="1" ht="18.75">
      <c r="A52" s="19">
        <v>309</v>
      </c>
      <c r="B52" s="19">
        <v>5</v>
      </c>
      <c r="C52" s="19">
        <v>5</v>
      </c>
      <c r="D52" s="20">
        <v>44745</v>
      </c>
      <c r="E52" s="21" t="s">
        <v>43</v>
      </c>
      <c r="F52" s="1" t="s">
        <v>44</v>
      </c>
      <c r="G52" s="21" t="s">
        <v>48</v>
      </c>
      <c r="H52" s="22">
        <v>9</v>
      </c>
      <c r="I52" s="23">
        <v>1</v>
      </c>
      <c r="J52" s="24">
        <v>0.3</v>
      </c>
      <c r="K52" s="24">
        <v>0.29</v>
      </c>
      <c r="L52" s="25">
        <v>0.03</v>
      </c>
      <c r="M52" s="19">
        <v>6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6</v>
      </c>
      <c r="X52" s="19">
        <f>W52-T52</f>
      </c>
      <c r="Y52" s="19">
        <v>0</v>
      </c>
    </row>
    <row x14ac:dyDescent="0.25" r="53" customHeight="1" ht="18.75">
      <c r="A53" s="19">
        <v>106</v>
      </c>
      <c r="B53" s="19">
        <v>6</v>
      </c>
      <c r="C53" s="19">
        <v>5</v>
      </c>
      <c r="D53" s="20">
        <v>44745</v>
      </c>
      <c r="E53" s="21" t="s">
        <v>47</v>
      </c>
      <c r="F53" s="21" t="s">
        <v>44</v>
      </c>
      <c r="G53" s="21" t="s">
        <v>48</v>
      </c>
      <c r="H53" s="22">
        <v>9</v>
      </c>
      <c r="I53" s="23">
        <v>0</v>
      </c>
      <c r="J53" s="24">
        <v>0.3</v>
      </c>
      <c r="K53" s="24">
        <v>0.23</v>
      </c>
      <c r="L53" s="25">
        <v>0.23</v>
      </c>
      <c r="M53" s="19">
        <v>18</v>
      </c>
      <c r="N53" s="19">
        <v>0</v>
      </c>
      <c r="O53" s="19">
        <v>1</v>
      </c>
      <c r="P53" s="19">
        <v>4</v>
      </c>
      <c r="Q53" s="19">
        <v>19</v>
      </c>
      <c r="R53" s="19">
        <v>4</v>
      </c>
      <c r="S53" s="19">
        <v>21</v>
      </c>
      <c r="T53" s="19">
        <v>44</v>
      </c>
      <c r="U53" s="19">
        <v>0</v>
      </c>
      <c r="V53" s="19">
        <v>0</v>
      </c>
      <c r="W53" s="19">
        <v>67</v>
      </c>
      <c r="X53" s="19">
        <f>W53-T53</f>
      </c>
      <c r="Y53" s="19">
        <v>4</v>
      </c>
    </row>
    <row x14ac:dyDescent="0.25" r="54" customHeight="1" ht="18.75">
      <c r="A54" s="19">
        <v>204</v>
      </c>
      <c r="B54" s="19">
        <v>6</v>
      </c>
      <c r="C54" s="19">
        <v>5</v>
      </c>
      <c r="D54" s="20">
        <v>44745</v>
      </c>
      <c r="E54" s="21" t="s">
        <v>43</v>
      </c>
      <c r="F54" s="21" t="s">
        <v>44</v>
      </c>
      <c r="G54" s="21" t="s">
        <v>48</v>
      </c>
      <c r="H54" s="22">
        <v>9</v>
      </c>
      <c r="I54" s="23">
        <v>0</v>
      </c>
      <c r="J54" s="24">
        <v>30</v>
      </c>
      <c r="K54" s="24">
        <v>0.25</v>
      </c>
      <c r="L54" s="25">
        <v>0.16</v>
      </c>
      <c r="M54" s="19">
        <v>5</v>
      </c>
      <c r="N54" s="19">
        <v>0</v>
      </c>
      <c r="O54" s="19">
        <v>1</v>
      </c>
      <c r="P54" s="19">
        <v>5</v>
      </c>
      <c r="Q54" s="19">
        <v>0</v>
      </c>
      <c r="R54" s="19">
        <v>0</v>
      </c>
      <c r="S54" s="19">
        <v>0</v>
      </c>
      <c r="T54" s="19">
        <v>0</v>
      </c>
      <c r="U54" s="19">
        <v>9</v>
      </c>
      <c r="V54" s="19">
        <v>0</v>
      </c>
      <c r="W54" s="19">
        <v>20</v>
      </c>
      <c r="X54" s="19">
        <f>W54-T54</f>
      </c>
      <c r="Y54" s="19">
        <v>1</v>
      </c>
    </row>
    <row x14ac:dyDescent="0.25" r="55" customHeight="1" ht="18.75">
      <c r="A55" s="19">
        <v>310</v>
      </c>
      <c r="B55" s="19">
        <v>6</v>
      </c>
      <c r="C55" s="19">
        <v>5</v>
      </c>
      <c r="D55" s="20">
        <v>44745</v>
      </c>
      <c r="E55" s="21" t="s">
        <v>43</v>
      </c>
      <c r="F55" s="21" t="s">
        <v>46</v>
      </c>
      <c r="G55" s="21" t="s">
        <v>48</v>
      </c>
      <c r="H55" s="22">
        <v>9</v>
      </c>
      <c r="I55" s="23">
        <v>0</v>
      </c>
      <c r="J55" s="24">
        <v>0.32</v>
      </c>
      <c r="K55" s="24">
        <v>0.31</v>
      </c>
      <c r="L55" s="25">
        <v>0.02</v>
      </c>
      <c r="M55" s="19">
        <v>10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10</v>
      </c>
      <c r="X55" s="19">
        <f>W55-T55</f>
      </c>
      <c r="Y55" s="19">
        <v>3</v>
      </c>
    </row>
    <row x14ac:dyDescent="0.25" r="56" customHeight="1" ht="18.75">
      <c r="A56" s="19">
        <v>107</v>
      </c>
      <c r="B56" s="19">
        <v>7</v>
      </c>
      <c r="C56" s="19">
        <v>5</v>
      </c>
      <c r="D56" s="20">
        <v>44745</v>
      </c>
      <c r="E56" s="21" t="s">
        <v>47</v>
      </c>
      <c r="F56" s="21" t="s">
        <v>44</v>
      </c>
      <c r="G56" s="21" t="s">
        <v>48</v>
      </c>
      <c r="H56" s="22">
        <v>6</v>
      </c>
      <c r="I56" s="27"/>
      <c r="J56" s="24"/>
      <c r="K56" s="24"/>
      <c r="L56" s="25"/>
      <c r="M56" s="19">
        <v>2</v>
      </c>
      <c r="N56" s="19">
        <v>0</v>
      </c>
      <c r="O56" s="19">
        <v>0</v>
      </c>
      <c r="P56" s="19">
        <v>5</v>
      </c>
      <c r="Q56" s="19">
        <v>1</v>
      </c>
      <c r="R56" s="19">
        <v>4</v>
      </c>
      <c r="S56" s="19">
        <v>5</v>
      </c>
      <c r="T56" s="19">
        <v>10</v>
      </c>
      <c r="U56" s="19">
        <v>0</v>
      </c>
      <c r="V56" s="19">
        <v>0</v>
      </c>
      <c r="W56" s="19">
        <v>17</v>
      </c>
      <c r="X56" s="19">
        <f>W56-T56</f>
      </c>
      <c r="Y56" s="19">
        <v>2</v>
      </c>
    </row>
    <row x14ac:dyDescent="0.25" r="57" customHeight="1" ht="18.75">
      <c r="A57" s="19">
        <v>203</v>
      </c>
      <c r="B57" s="19">
        <v>7</v>
      </c>
      <c r="C57" s="19">
        <v>5</v>
      </c>
      <c r="D57" s="20">
        <v>44745</v>
      </c>
      <c r="E57" s="21" t="s">
        <v>47</v>
      </c>
      <c r="F57" s="1" t="s">
        <v>44</v>
      </c>
      <c r="G57" s="21" t="s">
        <v>48</v>
      </c>
      <c r="H57" s="22">
        <v>6</v>
      </c>
      <c r="I57" s="27"/>
      <c r="J57" s="24"/>
      <c r="K57" s="24"/>
      <c r="L57" s="25"/>
      <c r="M57" s="19">
        <v>2</v>
      </c>
      <c r="N57" s="19">
        <v>1</v>
      </c>
      <c r="O57" s="19">
        <v>0</v>
      </c>
      <c r="P57" s="19">
        <v>0</v>
      </c>
      <c r="Q57" s="19">
        <v>1</v>
      </c>
      <c r="R57" s="19">
        <v>3</v>
      </c>
      <c r="S57" s="19">
        <v>7</v>
      </c>
      <c r="T57" s="19">
        <v>11</v>
      </c>
      <c r="U57" s="19">
        <v>0</v>
      </c>
      <c r="V57" s="19">
        <v>1</v>
      </c>
      <c r="W57" s="19">
        <v>15</v>
      </c>
      <c r="X57" s="19">
        <f>W57-T57</f>
      </c>
      <c r="Y57" s="19">
        <v>1</v>
      </c>
    </row>
    <row x14ac:dyDescent="0.25" r="58" customHeight="1" ht="18.75">
      <c r="A58" s="19">
        <v>312</v>
      </c>
      <c r="B58" s="19">
        <v>7</v>
      </c>
      <c r="C58" s="19">
        <v>5</v>
      </c>
      <c r="D58" s="20">
        <v>44745</v>
      </c>
      <c r="E58" s="1" t="s">
        <v>47</v>
      </c>
      <c r="F58" s="1" t="s">
        <v>44</v>
      </c>
      <c r="G58" s="21" t="s">
        <v>48</v>
      </c>
      <c r="H58" s="22">
        <v>6</v>
      </c>
      <c r="I58" s="27"/>
      <c r="J58" s="24"/>
      <c r="K58" s="24"/>
      <c r="L58" s="25"/>
      <c r="M58" s="19">
        <v>1</v>
      </c>
      <c r="N58" s="19">
        <v>0</v>
      </c>
      <c r="O58" s="19">
        <v>0</v>
      </c>
      <c r="P58" s="19">
        <v>1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6</v>
      </c>
      <c r="W58" s="19">
        <v>8</v>
      </c>
      <c r="X58" s="19">
        <f>W58-T58</f>
      </c>
      <c r="Y58" s="19">
        <v>2</v>
      </c>
    </row>
    <row x14ac:dyDescent="0.25" r="59" customHeight="1" ht="18.75">
      <c r="A59" s="19">
        <v>108</v>
      </c>
      <c r="B59" s="19">
        <v>8</v>
      </c>
      <c r="C59" s="19">
        <v>5</v>
      </c>
      <c r="D59" s="20">
        <v>44745</v>
      </c>
      <c r="E59" s="1" t="s">
        <v>47</v>
      </c>
      <c r="F59" s="21" t="s">
        <v>46</v>
      </c>
      <c r="G59" s="21" t="s">
        <v>48</v>
      </c>
      <c r="H59" s="22">
        <v>9</v>
      </c>
      <c r="I59" s="27"/>
      <c r="J59" s="24"/>
      <c r="K59" s="24"/>
      <c r="L59" s="25"/>
      <c r="M59" s="19">
        <v>16</v>
      </c>
      <c r="N59" s="19">
        <v>0</v>
      </c>
      <c r="O59" s="19">
        <v>1</v>
      </c>
      <c r="P59" s="19">
        <v>5</v>
      </c>
      <c r="Q59" s="19">
        <v>6</v>
      </c>
      <c r="R59" s="19">
        <v>3</v>
      </c>
      <c r="S59" s="19">
        <v>2</v>
      </c>
      <c r="T59" s="19">
        <v>11</v>
      </c>
      <c r="U59" s="19">
        <v>0</v>
      </c>
      <c r="V59" s="19">
        <v>0</v>
      </c>
      <c r="W59" s="19">
        <v>33</v>
      </c>
      <c r="X59" s="19">
        <f>W59-T59</f>
      </c>
      <c r="Y59" s="19">
        <v>4</v>
      </c>
    </row>
    <row x14ac:dyDescent="0.25" r="60" customHeight="1" ht="18.75">
      <c r="A60" s="19">
        <v>207</v>
      </c>
      <c r="B60" s="19">
        <v>8</v>
      </c>
      <c r="C60" s="19">
        <v>5</v>
      </c>
      <c r="D60" s="20">
        <v>44745</v>
      </c>
      <c r="E60" s="21" t="s">
        <v>47</v>
      </c>
      <c r="F60" s="1" t="s">
        <v>44</v>
      </c>
      <c r="G60" s="21" t="s">
        <v>48</v>
      </c>
      <c r="H60" s="22">
        <v>9</v>
      </c>
      <c r="I60" s="27"/>
      <c r="J60" s="24"/>
      <c r="K60" s="24"/>
      <c r="L60" s="25"/>
      <c r="M60" s="19">
        <v>3</v>
      </c>
      <c r="N60" s="19">
        <v>0</v>
      </c>
      <c r="O60" s="19">
        <v>6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1</v>
      </c>
      <c r="W60" s="19">
        <v>10</v>
      </c>
      <c r="X60" s="19">
        <f>W60-T60</f>
      </c>
      <c r="Y60" s="19">
        <v>0</v>
      </c>
    </row>
    <row x14ac:dyDescent="0.25" r="61" customHeight="1" ht="18.75">
      <c r="A61" s="19">
        <v>308</v>
      </c>
      <c r="B61" s="19">
        <v>8</v>
      </c>
      <c r="C61" s="19">
        <v>5</v>
      </c>
      <c r="D61" s="20">
        <v>44745</v>
      </c>
      <c r="E61" s="21" t="s">
        <v>47</v>
      </c>
      <c r="F61" s="1" t="s">
        <v>44</v>
      </c>
      <c r="G61" s="21" t="s">
        <v>48</v>
      </c>
      <c r="H61" s="22">
        <v>9</v>
      </c>
      <c r="I61" s="27"/>
      <c r="J61" s="24"/>
      <c r="K61" s="24"/>
      <c r="L61" s="25"/>
      <c r="M61" s="19">
        <v>9</v>
      </c>
      <c r="N61" s="19">
        <v>0</v>
      </c>
      <c r="O61" s="19">
        <v>0</v>
      </c>
      <c r="P61" s="19">
        <v>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11</v>
      </c>
      <c r="X61" s="19">
        <f>W61-T61</f>
      </c>
      <c r="Y61" s="19">
        <v>0</v>
      </c>
    </row>
    <row x14ac:dyDescent="0.25" r="62" customHeight="1" ht="18.75">
      <c r="A62" s="19">
        <v>109</v>
      </c>
      <c r="B62" s="19">
        <v>9</v>
      </c>
      <c r="C62" s="19">
        <v>5</v>
      </c>
      <c r="D62" s="20">
        <v>44745</v>
      </c>
      <c r="E62" s="21" t="s">
        <v>43</v>
      </c>
      <c r="F62" s="1" t="s">
        <v>46</v>
      </c>
      <c r="G62" s="21" t="s">
        <v>48</v>
      </c>
      <c r="H62" s="22">
        <v>9</v>
      </c>
      <c r="I62" s="23">
        <v>1</v>
      </c>
      <c r="J62" s="24">
        <v>0.29</v>
      </c>
      <c r="K62" s="24">
        <v>0.25</v>
      </c>
      <c r="L62" s="25">
        <v>0.14</v>
      </c>
      <c r="M62" s="19">
        <v>6</v>
      </c>
      <c r="N62" s="19">
        <v>0</v>
      </c>
      <c r="O62" s="19">
        <v>0</v>
      </c>
      <c r="P62" s="19">
        <v>4</v>
      </c>
      <c r="Q62" s="19">
        <v>3</v>
      </c>
      <c r="R62" s="19">
        <v>2</v>
      </c>
      <c r="S62" s="19">
        <v>0</v>
      </c>
      <c r="T62" s="19">
        <v>5</v>
      </c>
      <c r="U62" s="19">
        <v>0</v>
      </c>
      <c r="V62" s="19">
        <v>0</v>
      </c>
      <c r="W62" s="19">
        <v>15</v>
      </c>
      <c r="X62" s="19">
        <f>W62-T62</f>
      </c>
      <c r="Y62" s="19">
        <v>1</v>
      </c>
    </row>
    <row x14ac:dyDescent="0.25" r="63" customHeight="1" ht="18.75">
      <c r="A63" s="19">
        <v>208</v>
      </c>
      <c r="B63" s="19">
        <v>9</v>
      </c>
      <c r="C63" s="19">
        <v>5</v>
      </c>
      <c r="D63" s="20">
        <v>44745</v>
      </c>
      <c r="E63" s="21" t="s">
        <v>43</v>
      </c>
      <c r="F63" s="1" t="s">
        <v>46</v>
      </c>
      <c r="G63" s="21" t="s">
        <v>48</v>
      </c>
      <c r="H63" s="22">
        <v>9</v>
      </c>
      <c r="I63" s="23">
        <v>1</v>
      </c>
      <c r="J63" s="24">
        <v>0.31</v>
      </c>
      <c r="K63" s="24">
        <v>0.27</v>
      </c>
      <c r="L63" s="25">
        <v>0.12</v>
      </c>
      <c r="M63" s="19">
        <v>8</v>
      </c>
      <c r="N63" s="19">
        <v>0</v>
      </c>
      <c r="O63" s="19">
        <v>33</v>
      </c>
      <c r="P63" s="19">
        <v>1</v>
      </c>
      <c r="Q63" s="19">
        <v>1</v>
      </c>
      <c r="R63" s="19">
        <v>0</v>
      </c>
      <c r="S63" s="19">
        <v>0</v>
      </c>
      <c r="T63" s="19">
        <v>1</v>
      </c>
      <c r="U63" s="19">
        <v>7</v>
      </c>
      <c r="V63" s="19">
        <v>0</v>
      </c>
      <c r="W63" s="19">
        <v>50</v>
      </c>
      <c r="X63" s="19">
        <f>W63-T63</f>
      </c>
      <c r="Y63" s="19">
        <v>0</v>
      </c>
    </row>
    <row x14ac:dyDescent="0.25" r="64" customHeight="1" ht="18.75">
      <c r="A64" s="19">
        <v>311</v>
      </c>
      <c r="B64" s="19">
        <v>9</v>
      </c>
      <c r="C64" s="19">
        <v>5</v>
      </c>
      <c r="D64" s="20">
        <v>44745</v>
      </c>
      <c r="E64" s="21" t="s">
        <v>43</v>
      </c>
      <c r="F64" s="1" t="s">
        <v>46</v>
      </c>
      <c r="G64" s="21" t="s">
        <v>48</v>
      </c>
      <c r="H64" s="22">
        <v>9.5</v>
      </c>
      <c r="I64" s="23">
        <v>1</v>
      </c>
      <c r="J64" s="24"/>
      <c r="K64" s="24"/>
      <c r="L64" s="25"/>
      <c r="M64" s="19">
        <v>15</v>
      </c>
      <c r="N64" s="19">
        <v>0</v>
      </c>
      <c r="O64" s="19">
        <v>0</v>
      </c>
      <c r="P64" s="19">
        <v>3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18</v>
      </c>
      <c r="X64" s="19">
        <f>W64-T64</f>
      </c>
      <c r="Y64" s="19">
        <v>3</v>
      </c>
    </row>
    <row x14ac:dyDescent="0.25" r="65" customHeight="1" ht="18.75">
      <c r="A65" s="19">
        <v>110</v>
      </c>
      <c r="B65" s="19">
        <v>10</v>
      </c>
      <c r="C65" s="19">
        <v>5</v>
      </c>
      <c r="D65" s="20">
        <v>44745</v>
      </c>
      <c r="E65" s="21" t="s">
        <v>43</v>
      </c>
      <c r="F65" s="21" t="s">
        <v>44</v>
      </c>
      <c r="G65" s="21" t="s">
        <v>48</v>
      </c>
      <c r="H65" s="22">
        <v>9</v>
      </c>
      <c r="I65" s="23">
        <v>0</v>
      </c>
      <c r="J65" s="24">
        <v>0.3</v>
      </c>
      <c r="K65" s="24">
        <v>0.26</v>
      </c>
      <c r="L65" s="25">
        <v>0.14</v>
      </c>
      <c r="M65" s="19">
        <v>10</v>
      </c>
      <c r="N65" s="19">
        <v>7</v>
      </c>
      <c r="O65" s="19">
        <v>0</v>
      </c>
      <c r="P65" s="19">
        <v>8</v>
      </c>
      <c r="Q65" s="19">
        <v>4</v>
      </c>
      <c r="R65" s="19">
        <v>4</v>
      </c>
      <c r="S65" s="19">
        <v>2</v>
      </c>
      <c r="T65" s="19">
        <v>10</v>
      </c>
      <c r="U65" s="19">
        <v>7</v>
      </c>
      <c r="V65" s="19">
        <v>0</v>
      </c>
      <c r="W65" s="19">
        <v>42</v>
      </c>
      <c r="X65" s="19">
        <f>W65-T65</f>
      </c>
      <c r="Y65" s="19">
        <v>2</v>
      </c>
    </row>
    <row x14ac:dyDescent="0.25" r="66" customHeight="1" ht="18.75">
      <c r="A66" s="19">
        <v>201</v>
      </c>
      <c r="B66" s="19">
        <v>10</v>
      </c>
      <c r="C66" s="19">
        <v>5</v>
      </c>
      <c r="D66" s="20">
        <v>44745</v>
      </c>
      <c r="E66" s="21" t="s">
        <v>43</v>
      </c>
      <c r="F66" s="21" t="s">
        <v>44</v>
      </c>
      <c r="G66" s="21" t="s">
        <v>48</v>
      </c>
      <c r="H66" s="22">
        <v>9</v>
      </c>
      <c r="I66" s="23">
        <v>0</v>
      </c>
      <c r="J66" s="24">
        <v>0.29</v>
      </c>
      <c r="K66" s="24">
        <v>0.23</v>
      </c>
      <c r="L66" s="25">
        <v>0.22</v>
      </c>
      <c r="M66" s="19">
        <v>12</v>
      </c>
      <c r="N66" s="19">
        <v>0</v>
      </c>
      <c r="O66" s="19">
        <v>0</v>
      </c>
      <c r="P66" s="19">
        <v>4</v>
      </c>
      <c r="Q66" s="19">
        <v>1</v>
      </c>
      <c r="R66" s="19">
        <v>2</v>
      </c>
      <c r="S66" s="19">
        <v>3</v>
      </c>
      <c r="T66" s="19">
        <v>6</v>
      </c>
      <c r="U66" s="19">
        <v>0</v>
      </c>
      <c r="V66" s="19">
        <v>0</v>
      </c>
      <c r="W66" s="19">
        <v>22</v>
      </c>
      <c r="X66" s="19">
        <f>W66-T66</f>
      </c>
      <c r="Y66" s="19">
        <v>0</v>
      </c>
    </row>
    <row x14ac:dyDescent="0.25" r="67" customHeight="1" ht="18.75">
      <c r="A67" s="19">
        <v>301</v>
      </c>
      <c r="B67" s="19">
        <v>10</v>
      </c>
      <c r="C67" s="19">
        <v>5</v>
      </c>
      <c r="D67" s="20">
        <v>44745</v>
      </c>
      <c r="E67" s="21" t="s">
        <v>43</v>
      </c>
      <c r="F67" s="21" t="s">
        <v>44</v>
      </c>
      <c r="G67" s="21" t="s">
        <v>48</v>
      </c>
      <c r="H67" s="22">
        <v>9</v>
      </c>
      <c r="I67" s="23">
        <v>0</v>
      </c>
      <c r="J67" s="24">
        <v>0.33</v>
      </c>
      <c r="K67" s="24">
        <v>0.31</v>
      </c>
      <c r="L67" s="25">
        <v>0.05</v>
      </c>
      <c r="M67" s="19">
        <v>10</v>
      </c>
      <c r="N67" s="19">
        <v>0</v>
      </c>
      <c r="O67" s="19">
        <v>0</v>
      </c>
      <c r="P67" s="19">
        <v>0</v>
      </c>
      <c r="Q67" s="19">
        <v>1</v>
      </c>
      <c r="R67" s="19">
        <v>2</v>
      </c>
      <c r="S67" s="19">
        <v>1</v>
      </c>
      <c r="T67" s="19">
        <v>4</v>
      </c>
      <c r="U67" s="19">
        <v>0</v>
      </c>
      <c r="V67" s="19">
        <v>0</v>
      </c>
      <c r="W67" s="19">
        <v>14</v>
      </c>
      <c r="X67" s="19">
        <f>W67-T67</f>
      </c>
      <c r="Y67" s="19">
        <v>0</v>
      </c>
    </row>
    <row x14ac:dyDescent="0.25" r="68" customHeight="1" ht="18.75">
      <c r="A68" s="19">
        <v>111</v>
      </c>
      <c r="B68" s="19">
        <v>11</v>
      </c>
      <c r="C68" s="19">
        <v>5</v>
      </c>
      <c r="D68" s="20">
        <v>44745</v>
      </c>
      <c r="E68" s="21" t="s">
        <v>43</v>
      </c>
      <c r="F68" s="1" t="s">
        <v>46</v>
      </c>
      <c r="G68" s="21" t="s">
        <v>48</v>
      </c>
      <c r="H68" s="22">
        <v>11.5</v>
      </c>
      <c r="I68" s="23">
        <v>1</v>
      </c>
      <c r="J68" s="24">
        <v>0.33</v>
      </c>
      <c r="K68" s="24">
        <v>0.23</v>
      </c>
      <c r="L68" s="25">
        <v>0.3</v>
      </c>
      <c r="M68" s="19">
        <v>7</v>
      </c>
      <c r="N68" s="19">
        <v>3</v>
      </c>
      <c r="O68" s="19">
        <v>0</v>
      </c>
      <c r="P68" s="19">
        <v>5</v>
      </c>
      <c r="Q68" s="19">
        <v>2</v>
      </c>
      <c r="R68" s="19">
        <f>31-24</f>
      </c>
      <c r="S68" s="19">
        <v>3</v>
      </c>
      <c r="T68" s="19">
        <v>12</v>
      </c>
      <c r="U68" s="19">
        <v>81</v>
      </c>
      <c r="V68" s="19">
        <v>0</v>
      </c>
      <c r="W68" s="19">
        <v>108</v>
      </c>
      <c r="X68" s="19">
        <f>W68-T68</f>
      </c>
      <c r="Y68" s="19">
        <v>0</v>
      </c>
    </row>
    <row x14ac:dyDescent="0.25" r="69" customHeight="1" ht="18.75">
      <c r="A69" s="19">
        <v>210</v>
      </c>
      <c r="B69" s="19">
        <v>11</v>
      </c>
      <c r="C69" s="19">
        <v>5</v>
      </c>
      <c r="D69" s="20">
        <v>44745</v>
      </c>
      <c r="E69" s="21" t="s">
        <v>43</v>
      </c>
      <c r="F69" s="21" t="s">
        <v>46</v>
      </c>
      <c r="G69" s="21" t="s">
        <v>48</v>
      </c>
      <c r="H69" s="22">
        <v>11.5</v>
      </c>
      <c r="I69" s="23">
        <v>1</v>
      </c>
      <c r="J69" s="24">
        <v>0.29</v>
      </c>
      <c r="K69" s="24">
        <v>0.27</v>
      </c>
      <c r="L69" s="25">
        <v>0.07</v>
      </c>
      <c r="M69" s="19">
        <v>10</v>
      </c>
      <c r="N69" s="19">
        <v>0</v>
      </c>
      <c r="O69" s="19">
        <v>0</v>
      </c>
      <c r="P69" s="19">
        <v>0</v>
      </c>
      <c r="Q69" s="19">
        <v>5</v>
      </c>
      <c r="R69" s="19">
        <v>6</v>
      </c>
      <c r="S69" s="19">
        <v>9</v>
      </c>
      <c r="T69" s="19">
        <v>20</v>
      </c>
      <c r="U69" s="19">
        <v>0</v>
      </c>
      <c r="V69" s="19">
        <v>1</v>
      </c>
      <c r="W69" s="19">
        <v>31</v>
      </c>
      <c r="X69" s="19">
        <f>W69-T69</f>
      </c>
      <c r="Y69" s="19">
        <v>0</v>
      </c>
    </row>
    <row x14ac:dyDescent="0.25" r="70" customHeight="1" ht="18.75">
      <c r="A70" s="19">
        <v>305</v>
      </c>
      <c r="B70" s="19">
        <v>11</v>
      </c>
      <c r="C70" s="19">
        <v>5</v>
      </c>
      <c r="D70" s="20">
        <v>44745</v>
      </c>
      <c r="E70" s="21" t="s">
        <v>43</v>
      </c>
      <c r="F70" s="1" t="s">
        <v>44</v>
      </c>
      <c r="G70" s="21" t="s">
        <v>48</v>
      </c>
      <c r="H70" s="22">
        <v>11.5</v>
      </c>
      <c r="I70" s="23">
        <v>1</v>
      </c>
      <c r="J70" s="24">
        <v>0.31</v>
      </c>
      <c r="K70" s="24">
        <v>0.29</v>
      </c>
      <c r="L70" s="25">
        <v>0.06</v>
      </c>
      <c r="M70" s="19">
        <v>55</v>
      </c>
      <c r="N70" s="19">
        <v>1</v>
      </c>
      <c r="O70" s="19">
        <v>0</v>
      </c>
      <c r="P70" s="19">
        <v>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58</v>
      </c>
      <c r="X70" s="19">
        <f>W70-T70</f>
      </c>
      <c r="Y70" s="19">
        <v>0</v>
      </c>
    </row>
    <row x14ac:dyDescent="0.25" r="71" customHeight="1" ht="18.75">
      <c r="A71" s="19">
        <v>112</v>
      </c>
      <c r="B71" s="19">
        <v>12</v>
      </c>
      <c r="C71" s="19">
        <v>5</v>
      </c>
      <c r="D71" s="20">
        <v>44745</v>
      </c>
      <c r="E71" s="21" t="s">
        <v>43</v>
      </c>
      <c r="F71" s="21" t="s">
        <v>44</v>
      </c>
      <c r="G71" s="21" t="s">
        <v>48</v>
      </c>
      <c r="H71" s="22">
        <v>11.5</v>
      </c>
      <c r="I71" s="23">
        <v>0</v>
      </c>
      <c r="J71" s="24">
        <v>0.35</v>
      </c>
      <c r="K71" s="24">
        <v>0.26</v>
      </c>
      <c r="L71" s="25">
        <v>0.26</v>
      </c>
      <c r="M71" s="19">
        <v>11</v>
      </c>
      <c r="N71" s="19">
        <v>12</v>
      </c>
      <c r="O71" s="19">
        <v>0</v>
      </c>
      <c r="P71" s="19">
        <v>14</v>
      </c>
      <c r="Q71" s="19">
        <v>1</v>
      </c>
      <c r="R71" s="19">
        <v>2</v>
      </c>
      <c r="S71" s="19">
        <v>1</v>
      </c>
      <c r="T71" s="19">
        <v>4</v>
      </c>
      <c r="U71" s="19">
        <v>1</v>
      </c>
      <c r="V71" s="19">
        <v>0</v>
      </c>
      <c r="W71" s="19">
        <v>42</v>
      </c>
      <c r="X71" s="19">
        <f>W71-T71</f>
      </c>
      <c r="Y71" s="19">
        <v>4</v>
      </c>
    </row>
    <row x14ac:dyDescent="0.25" r="72" customHeight="1" ht="18.75">
      <c r="A72" s="19">
        <v>206</v>
      </c>
      <c r="B72" s="19">
        <v>12</v>
      </c>
      <c r="C72" s="19">
        <v>5</v>
      </c>
      <c r="D72" s="20">
        <v>44745</v>
      </c>
      <c r="E72" s="21" t="s">
        <v>43</v>
      </c>
      <c r="F72" s="1" t="s">
        <v>44</v>
      </c>
      <c r="G72" s="21" t="s">
        <v>48</v>
      </c>
      <c r="H72" s="22">
        <v>11.5</v>
      </c>
      <c r="I72" s="23">
        <v>0</v>
      </c>
      <c r="J72" s="24">
        <v>0.32</v>
      </c>
      <c r="K72" s="24">
        <v>0.28</v>
      </c>
      <c r="L72" s="25">
        <v>0.11</v>
      </c>
      <c r="M72" s="19">
        <v>30</v>
      </c>
      <c r="N72" s="19">
        <v>0</v>
      </c>
      <c r="O72" s="19">
        <v>6</v>
      </c>
      <c r="P72" s="19">
        <v>2</v>
      </c>
      <c r="Q72" s="19">
        <v>0</v>
      </c>
      <c r="R72" s="19">
        <v>0</v>
      </c>
      <c r="S72" s="19">
        <v>0</v>
      </c>
      <c r="T72" s="19">
        <v>0</v>
      </c>
      <c r="U72" s="19">
        <v>32</v>
      </c>
      <c r="V72" s="19">
        <v>0</v>
      </c>
      <c r="W72" s="19">
        <v>70</v>
      </c>
      <c r="X72" s="19">
        <f>W72-T72</f>
      </c>
      <c r="Y72" s="19">
        <v>0</v>
      </c>
    </row>
    <row x14ac:dyDescent="0.25" r="73" customHeight="1" ht="18.75">
      <c r="A73" s="28">
        <v>302</v>
      </c>
      <c r="B73" s="28">
        <v>12</v>
      </c>
      <c r="C73" s="28">
        <v>5</v>
      </c>
      <c r="D73" s="8">
        <v>44745</v>
      </c>
      <c r="E73" s="9" t="s">
        <v>43</v>
      </c>
      <c r="F73" s="9" t="s">
        <v>46</v>
      </c>
      <c r="G73" s="9" t="s">
        <v>48</v>
      </c>
      <c r="H73" s="29">
        <v>11.5</v>
      </c>
      <c r="I73" s="30">
        <v>0</v>
      </c>
      <c r="J73" s="31">
        <v>0.31</v>
      </c>
      <c r="K73" s="31">
        <v>0.23</v>
      </c>
      <c r="L73" s="32">
        <v>0.26</v>
      </c>
      <c r="M73" s="28">
        <v>10</v>
      </c>
      <c r="N73" s="28">
        <v>0</v>
      </c>
      <c r="O73" s="28">
        <v>0</v>
      </c>
      <c r="P73" s="28">
        <v>2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12</v>
      </c>
      <c r="X73" s="28">
        <f>W73-T73</f>
      </c>
      <c r="Y73" s="28">
        <v>3</v>
      </c>
    </row>
    <row x14ac:dyDescent="0.25" r="74" customHeight="1" ht="18.75">
      <c r="A74" s="33">
        <v>101</v>
      </c>
      <c r="B74" s="33">
        <v>1</v>
      </c>
      <c r="C74" s="34" t="s">
        <v>49</v>
      </c>
      <c r="D74" s="35">
        <v>44737</v>
      </c>
      <c r="E74" s="36" t="s">
        <v>43</v>
      </c>
      <c r="F74" s="36" t="s">
        <v>44</v>
      </c>
      <c r="G74" s="36" t="s">
        <v>45</v>
      </c>
      <c r="H74" s="37"/>
      <c r="I74" s="38">
        <v>1</v>
      </c>
      <c r="J74" s="39">
        <v>0.3</v>
      </c>
      <c r="K74" s="39">
        <v>0.13</v>
      </c>
      <c r="L74" s="40">
        <v>0.58</v>
      </c>
      <c r="M74" s="40">
        <f>(M2-M38)/M2</f>
      </c>
      <c r="N74" s="41">
        <f>(N2-N38)/N2</f>
      </c>
      <c r="O74" s="40">
        <f>(O2-O38)/O2</f>
      </c>
      <c r="P74" s="40">
        <f>(P2-P38)/P2</f>
      </c>
      <c r="Q74" s="41">
        <f>(Q2-Q38)/Q2</f>
      </c>
      <c r="R74" s="40">
        <f>(R2-R38)/R2</f>
      </c>
      <c r="S74" s="41">
        <f>(S2-S38)/S2</f>
      </c>
      <c r="T74" s="40">
        <f>(T2-T38)/T2</f>
      </c>
      <c r="U74" s="41">
        <f>(U2-U38)/U2</f>
      </c>
      <c r="V74" s="41">
        <f>(V2-V38)/V2</f>
      </c>
      <c r="W74" s="40">
        <f>(W2-W38)/W2</f>
      </c>
      <c r="X74" s="40">
        <f>(X2-X38)/X2</f>
      </c>
      <c r="Y74" s="33">
        <v>15</v>
      </c>
    </row>
    <row x14ac:dyDescent="0.25" r="75" customHeight="1" ht="18.75">
      <c r="A75" s="33">
        <v>202</v>
      </c>
      <c r="B75" s="33">
        <v>1</v>
      </c>
      <c r="C75" s="34" t="s">
        <v>49</v>
      </c>
      <c r="D75" s="35">
        <v>44737</v>
      </c>
      <c r="E75" s="36" t="s">
        <v>43</v>
      </c>
      <c r="F75" s="36" t="s">
        <v>44</v>
      </c>
      <c r="G75" s="36" t="s">
        <v>45</v>
      </c>
      <c r="H75" s="37"/>
      <c r="I75" s="38">
        <v>1</v>
      </c>
      <c r="J75" s="39">
        <v>0.32</v>
      </c>
      <c r="K75" s="39">
        <v>0.16</v>
      </c>
      <c r="L75" s="40">
        <v>0.49</v>
      </c>
      <c r="M75" s="40">
        <f>(M3-M39)/M3</f>
      </c>
      <c r="N75" s="41">
        <f>(N3-N39)/N3</f>
      </c>
      <c r="O75" s="40">
        <f>(O3-O39)/O3</f>
      </c>
      <c r="P75" s="40">
        <f>(P3-P39)/P3</f>
      </c>
      <c r="Q75" s="40">
        <f>(Q3-Q39)/Q3</f>
      </c>
      <c r="R75" s="40">
        <f>(R3-R39)/R3</f>
      </c>
      <c r="S75" s="40">
        <f>(S3-S39)/S3</f>
      </c>
      <c r="T75" s="40">
        <f>(T3-T39)/T3</f>
      </c>
      <c r="U75" s="40">
        <f>(U3-U39)/U3</f>
      </c>
      <c r="V75" s="40">
        <f>(V3-V39)/V3</f>
      </c>
      <c r="W75" s="40">
        <f>(W3-W39)/W3</f>
      </c>
      <c r="X75" s="40">
        <f>(X3-X39)/X3</f>
      </c>
      <c r="Y75" s="33">
        <v>0</v>
      </c>
    </row>
    <row x14ac:dyDescent="0.25" r="76" customHeight="1" ht="18.75">
      <c r="A76" s="33">
        <v>306</v>
      </c>
      <c r="B76" s="33">
        <v>1</v>
      </c>
      <c r="C76" s="34" t="s">
        <v>49</v>
      </c>
      <c r="D76" s="35">
        <v>44737</v>
      </c>
      <c r="E76" s="36" t="s">
        <v>43</v>
      </c>
      <c r="F76" s="36" t="s">
        <v>46</v>
      </c>
      <c r="G76" s="36" t="s">
        <v>45</v>
      </c>
      <c r="H76" s="37"/>
      <c r="I76" s="38">
        <v>1</v>
      </c>
      <c r="J76" s="39">
        <v>0.34</v>
      </c>
      <c r="K76" s="39">
        <v>0.22</v>
      </c>
      <c r="L76" s="40">
        <v>0.35</v>
      </c>
      <c r="M76" s="40">
        <f>(M4-M40)/M4</f>
      </c>
      <c r="N76" s="41">
        <f>(N4-N40)/N4</f>
      </c>
      <c r="O76" s="41">
        <f>(O4-O40)/O4</f>
      </c>
      <c r="P76" s="40">
        <f>(P4-P40)/P4</f>
      </c>
      <c r="Q76" s="40">
        <f>(Q4-Q40)/Q4</f>
      </c>
      <c r="R76" s="40">
        <f>(R4-R40)/R4</f>
      </c>
      <c r="S76" s="40">
        <f>(S4-S40)/S4</f>
      </c>
      <c r="T76" s="40">
        <f>(T4-T40)/T4</f>
      </c>
      <c r="U76" s="40">
        <f>(U4-U40)/U4</f>
      </c>
      <c r="V76" s="40">
        <f>(V4-V40)/V4</f>
      </c>
      <c r="W76" s="40">
        <f>(W4-W40)/W4</f>
      </c>
      <c r="X76" s="40">
        <f>(X4-X40)/X4</f>
      </c>
      <c r="Y76" s="33">
        <v>0</v>
      </c>
    </row>
    <row x14ac:dyDescent="0.25" r="77" customHeight="1" ht="18.75">
      <c r="A77" s="33">
        <v>102</v>
      </c>
      <c r="B77" s="33">
        <v>2</v>
      </c>
      <c r="C77" s="34" t="s">
        <v>49</v>
      </c>
      <c r="D77" s="35">
        <v>44737</v>
      </c>
      <c r="E77" s="36" t="s">
        <v>43</v>
      </c>
      <c r="F77" s="36" t="s">
        <v>46</v>
      </c>
      <c r="G77" s="36" t="s">
        <v>45</v>
      </c>
      <c r="H77" s="37"/>
      <c r="I77" s="38">
        <v>5</v>
      </c>
      <c r="J77" s="39">
        <v>0.37</v>
      </c>
      <c r="K77" s="39">
        <v>0.13</v>
      </c>
      <c r="L77" s="40">
        <v>0.65</v>
      </c>
      <c r="M77" s="40">
        <f>(M5-M41)/M5</f>
      </c>
      <c r="N77" s="40">
        <f>(N5-N41)/N5</f>
      </c>
      <c r="O77" s="40">
        <f>(O5-O41)/O5</f>
      </c>
      <c r="P77" s="40">
        <f>(P5-P41)/P5</f>
      </c>
      <c r="Q77" s="41">
        <f>(Q5-Q41)/Q5</f>
      </c>
      <c r="R77" s="41">
        <f>(R5-R41)/R5</f>
      </c>
      <c r="S77" s="41">
        <f>(S5-S41)/S5</f>
      </c>
      <c r="T77" s="41">
        <f>(T5-T41)/T5</f>
      </c>
      <c r="U77" s="41">
        <f>(U5-U41)/U5</f>
      </c>
      <c r="V77" s="41">
        <f>(V5-V41)/V5</f>
      </c>
      <c r="W77" s="40">
        <f>(W5-W41)/W5</f>
      </c>
      <c r="X77" s="40">
        <f>(X5-X41)/X5</f>
      </c>
      <c r="Y77" s="33">
        <v>6</v>
      </c>
    </row>
    <row x14ac:dyDescent="0.25" r="78" customHeight="1" ht="18.75">
      <c r="A78" s="33">
        <v>205</v>
      </c>
      <c r="B78" s="33">
        <v>2</v>
      </c>
      <c r="C78" s="34" t="s">
        <v>49</v>
      </c>
      <c r="D78" s="35">
        <v>44737</v>
      </c>
      <c r="E78" s="36" t="s">
        <v>43</v>
      </c>
      <c r="F78" s="36" t="s">
        <v>44</v>
      </c>
      <c r="G78" s="36" t="s">
        <v>45</v>
      </c>
      <c r="H78" s="37"/>
      <c r="I78" s="38">
        <v>5</v>
      </c>
      <c r="J78" s="39">
        <v>0.35</v>
      </c>
      <c r="K78" s="39">
        <v>0.1</v>
      </c>
      <c r="L78" s="40">
        <v>0.71</v>
      </c>
      <c r="M78" s="40">
        <f>(M6-M42)/M6</f>
      </c>
      <c r="N78" s="40">
        <f>(N6-N42)/N6</f>
      </c>
      <c r="O78" s="40">
        <f>(O6-O42)/O6</f>
      </c>
      <c r="P78" s="40">
        <f>(P6-P42)/P6</f>
      </c>
      <c r="Q78" s="41">
        <f>(Q6-Q42)/Q6</f>
      </c>
      <c r="R78" s="41">
        <f>(R6-R42)/R6</f>
      </c>
      <c r="S78" s="41">
        <f>(S6-S42)/S6</f>
      </c>
      <c r="T78" s="41">
        <f>(T6-T42)/T6</f>
      </c>
      <c r="U78" s="40">
        <f>(U6-U42)/U6</f>
      </c>
      <c r="V78" s="40">
        <f>(V6-V42)/V6</f>
      </c>
      <c r="W78" s="40">
        <f>(W6-W42)/W6</f>
      </c>
      <c r="X78" s="40">
        <f>(X6-X42)/X6</f>
      </c>
      <c r="Y78" s="33">
        <v>1</v>
      </c>
    </row>
    <row x14ac:dyDescent="0.25" r="79" customHeight="1" ht="18.75">
      <c r="A79" s="33">
        <v>307</v>
      </c>
      <c r="B79" s="33">
        <v>2</v>
      </c>
      <c r="C79" s="34" t="s">
        <v>49</v>
      </c>
      <c r="D79" s="35">
        <v>44737</v>
      </c>
      <c r="E79" s="36" t="s">
        <v>43</v>
      </c>
      <c r="F79" s="36" t="s">
        <v>44</v>
      </c>
      <c r="G79" s="36" t="s">
        <v>45</v>
      </c>
      <c r="H79" s="37"/>
      <c r="I79" s="38">
        <v>5</v>
      </c>
      <c r="J79" s="39">
        <v>0.4</v>
      </c>
      <c r="K79" s="39">
        <v>0.07</v>
      </c>
      <c r="L79" s="40">
        <v>0.83</v>
      </c>
      <c r="M79" s="40">
        <f>(M7-M43)/M7</f>
      </c>
      <c r="N79" s="41">
        <f>(N7-N43)/N7</f>
      </c>
      <c r="O79" s="41">
        <f>(O7-O43)/O7</f>
      </c>
      <c r="P79" s="41">
        <f>(P7-'Weed Counts'!P43)/P7</f>
      </c>
      <c r="Q79" s="41">
        <f>(Q7-Q43)/Q7</f>
      </c>
      <c r="R79" s="41">
        <f>(R7-R43)/R7</f>
      </c>
      <c r="S79" s="41">
        <f>(S7-S43)/S7</f>
      </c>
      <c r="T79" s="41">
        <f>(T7-T43)/T7</f>
      </c>
      <c r="U79" s="40">
        <f>(U7-U43)/U7</f>
      </c>
      <c r="V79" s="41">
        <f>(V7-V43)/V7</f>
      </c>
      <c r="W79" s="40">
        <f>(W7-W43)/W7</f>
      </c>
      <c r="X79" s="40">
        <f>(X7-X43)/X7</f>
      </c>
      <c r="Y79" s="33">
        <v>1</v>
      </c>
    </row>
    <row x14ac:dyDescent="0.25" r="80" customHeight="1" ht="18.75">
      <c r="A80" s="33">
        <v>103</v>
      </c>
      <c r="B80" s="33">
        <v>3</v>
      </c>
      <c r="C80" s="34" t="s">
        <v>49</v>
      </c>
      <c r="D80" s="35">
        <v>44737</v>
      </c>
      <c r="E80" s="36" t="s">
        <v>47</v>
      </c>
      <c r="F80" s="36" t="s">
        <v>44</v>
      </c>
      <c r="G80" s="36" t="s">
        <v>45</v>
      </c>
      <c r="H80" s="37">
        <v>6</v>
      </c>
      <c r="I80" s="42"/>
      <c r="J80" s="39"/>
      <c r="K80" s="39"/>
      <c r="L80" s="40"/>
      <c r="M80" s="40">
        <f>(M8-M44)/M8</f>
      </c>
      <c r="N80" s="41">
        <f>(N8-N44)/N8</f>
      </c>
      <c r="O80" s="41">
        <f>(O8-O44)/O8</f>
      </c>
      <c r="P80" s="40">
        <f>(P8-P44)/P8</f>
      </c>
      <c r="Q80" s="41">
        <f>(Q8-Q44)/Q8</f>
      </c>
      <c r="R80" s="41">
        <f>(R8-R44)/R8</f>
      </c>
      <c r="S80" s="41">
        <f>(S8-S44)/S8</f>
      </c>
      <c r="T80" s="41">
        <f>(T8-T44)/T8</f>
      </c>
      <c r="U80" s="40">
        <f>(U8-U44)/U8</f>
      </c>
      <c r="V80" s="40">
        <f>(V8-V44)/V8</f>
      </c>
      <c r="W80" s="40">
        <f>(W8-W44)/W8</f>
      </c>
      <c r="X80" s="40">
        <f>(X8-X44)/X8</f>
      </c>
      <c r="Y80" s="33">
        <f>SUM( 14+25+6+16)</f>
      </c>
    </row>
    <row x14ac:dyDescent="0.25" r="81" customHeight="1" ht="18.75">
      <c r="A81" s="33">
        <v>212</v>
      </c>
      <c r="B81" s="33">
        <v>3</v>
      </c>
      <c r="C81" s="34" t="s">
        <v>49</v>
      </c>
      <c r="D81" s="35">
        <v>44737</v>
      </c>
      <c r="E81" s="36" t="s">
        <v>47</v>
      </c>
      <c r="F81" s="36" t="s">
        <v>44</v>
      </c>
      <c r="G81" s="36" t="s">
        <v>45</v>
      </c>
      <c r="H81" s="37">
        <v>6</v>
      </c>
      <c r="I81" s="42"/>
      <c r="J81" s="39"/>
      <c r="K81" s="39"/>
      <c r="L81" s="40"/>
      <c r="M81" s="40">
        <f>(M9-M45)/M9</f>
      </c>
      <c r="N81" s="40">
        <f>(N9-N45)/N9</f>
      </c>
      <c r="O81" s="41">
        <f>(O9-O45)/O9</f>
      </c>
      <c r="P81" s="40">
        <f>(P9-P45)/P9</f>
      </c>
      <c r="Q81" s="40">
        <f>(Q9-Q45)/Q9</f>
      </c>
      <c r="R81" s="40">
        <f>(R9-R45)/R9</f>
      </c>
      <c r="S81" s="40">
        <f>(S9-S45)/S9</f>
      </c>
      <c r="T81" s="40">
        <f>(T9-T45)/T9</f>
      </c>
      <c r="U81" s="40">
        <f>(U9-U45)/U9</f>
      </c>
      <c r="V81" s="40">
        <f>(V9-V45)/V9</f>
      </c>
      <c r="W81" s="40">
        <f>(W9-W45)/W9</f>
      </c>
      <c r="X81" s="40">
        <f>(X9-X45)/X9</f>
      </c>
      <c r="Y81" s="33">
        <v>4</v>
      </c>
    </row>
    <row x14ac:dyDescent="0.25" r="82" customHeight="1" ht="18.75">
      <c r="A82" s="33">
        <v>304</v>
      </c>
      <c r="B82" s="33">
        <v>3</v>
      </c>
      <c r="C82" s="34" t="s">
        <v>49</v>
      </c>
      <c r="D82" s="35">
        <v>44737</v>
      </c>
      <c r="E82" s="36" t="s">
        <v>47</v>
      </c>
      <c r="F82" s="36" t="s">
        <v>44</v>
      </c>
      <c r="G82" s="36" t="s">
        <v>45</v>
      </c>
      <c r="H82" s="37">
        <v>6</v>
      </c>
      <c r="I82" s="42"/>
      <c r="J82" s="39"/>
      <c r="K82" s="39"/>
      <c r="L82" s="40"/>
      <c r="M82" s="40">
        <f>(M10-M46)/M10</f>
      </c>
      <c r="N82" s="41">
        <f>(N10-N46)/N10</f>
      </c>
      <c r="O82" s="41">
        <f>(O10-O46)/O10</f>
      </c>
      <c r="P82" s="40">
        <f>(P10-P46)/P10</f>
      </c>
      <c r="Q82" s="41">
        <f>(Q10-Q46)/Q10</f>
      </c>
      <c r="R82" s="41">
        <f>(R10-R46)/R10</f>
      </c>
      <c r="S82" s="41">
        <f>(S10-S46)/S10</f>
      </c>
      <c r="T82" s="41">
        <f>(T10-T46)/T10</f>
      </c>
      <c r="U82" s="40">
        <f>(U10-U46)/U10</f>
      </c>
      <c r="V82" s="40">
        <f>(V10-V46)/V10</f>
      </c>
      <c r="W82" s="40">
        <f>(W10-W46)/W10</f>
      </c>
      <c r="X82" s="40">
        <f>(X10-X46)/X10</f>
      </c>
      <c r="Y82" s="33">
        <v>16</v>
      </c>
    </row>
    <row x14ac:dyDescent="0.25" r="83" customHeight="1" ht="18.75">
      <c r="A83" s="33">
        <v>104</v>
      </c>
      <c r="B83" s="33">
        <v>4</v>
      </c>
      <c r="C83" s="34" t="s">
        <v>49</v>
      </c>
      <c r="D83" s="35">
        <v>44737</v>
      </c>
      <c r="E83" s="36" t="s">
        <v>47</v>
      </c>
      <c r="F83" s="36" t="s">
        <v>46</v>
      </c>
      <c r="G83" s="36" t="s">
        <v>45</v>
      </c>
      <c r="H83" s="37">
        <v>6</v>
      </c>
      <c r="I83" s="42"/>
      <c r="J83" s="39"/>
      <c r="K83" s="39"/>
      <c r="L83" s="40"/>
      <c r="M83" s="40">
        <f>(M11-M47)/M11</f>
      </c>
      <c r="N83" s="41">
        <f>(N11-N47)/N11</f>
      </c>
      <c r="O83" s="40">
        <f>(O11-O47)/O11</f>
      </c>
      <c r="P83" s="40">
        <f>(P11-P47)/P11</f>
      </c>
      <c r="Q83" s="41">
        <f>(Q11-Q47)/Q11</f>
      </c>
      <c r="R83" s="41">
        <f>(R11-R47)/R11</f>
      </c>
      <c r="S83" s="41">
        <f>(S11-S47)/S11</f>
      </c>
      <c r="T83" s="41">
        <f>(T11-T47)/T11</f>
      </c>
      <c r="U83" s="41">
        <f>(U11-U47)/U11</f>
      </c>
      <c r="V83" s="40">
        <f>(V11-V47)/V11</f>
      </c>
      <c r="W83" s="40">
        <f>(W11-W47)/W11</f>
      </c>
      <c r="X83" s="40">
        <f>(X11-X47)/X11</f>
      </c>
      <c r="Y83" s="33">
        <v>15</v>
      </c>
    </row>
    <row x14ac:dyDescent="0.25" r="84" customHeight="1" ht="18.75">
      <c r="A84" s="33">
        <v>211</v>
      </c>
      <c r="B84" s="33">
        <v>4</v>
      </c>
      <c r="C84" s="34" t="s">
        <v>49</v>
      </c>
      <c r="D84" s="35">
        <v>44737</v>
      </c>
      <c r="E84" s="36" t="s">
        <v>47</v>
      </c>
      <c r="F84" s="36" t="s">
        <v>46</v>
      </c>
      <c r="G84" s="36" t="s">
        <v>45</v>
      </c>
      <c r="H84" s="37">
        <v>9</v>
      </c>
      <c r="I84" s="42"/>
      <c r="J84" s="39"/>
      <c r="K84" s="39"/>
      <c r="L84" s="40"/>
      <c r="M84" s="40">
        <f>(M12-M48)/M12</f>
      </c>
      <c r="N84" s="41">
        <f>(N12-N48)/N12</f>
      </c>
      <c r="O84" s="41">
        <f>(O12-O48)/O12</f>
      </c>
      <c r="P84" s="40">
        <f>(P12-P48)/P12</f>
      </c>
      <c r="Q84" s="40">
        <f>(Q12-Q48)/Q12</f>
      </c>
      <c r="R84" s="40">
        <f>(R12-R48)/R12</f>
      </c>
      <c r="S84" s="40">
        <f>(S12-S48)/S12</f>
      </c>
      <c r="T84" s="40">
        <f>(T12-T48)/T12</f>
      </c>
      <c r="U84" s="40">
        <f>(U12-U48)/U12</f>
      </c>
      <c r="V84" s="41">
        <f>(V12-V48)/V12</f>
      </c>
      <c r="W84" s="40">
        <f>(W12-W48)/W12</f>
      </c>
      <c r="X84" s="40">
        <f>(X12-X48)/X12</f>
      </c>
      <c r="Y84" s="33">
        <v>4</v>
      </c>
    </row>
    <row x14ac:dyDescent="0.25" r="85" customHeight="1" ht="18.75">
      <c r="A85" s="33">
        <v>303</v>
      </c>
      <c r="B85" s="33">
        <v>4</v>
      </c>
      <c r="C85" s="34" t="s">
        <v>49</v>
      </c>
      <c r="D85" s="35">
        <v>44737</v>
      </c>
      <c r="E85" s="36" t="s">
        <v>47</v>
      </c>
      <c r="F85" s="36" t="s">
        <v>46</v>
      </c>
      <c r="G85" s="36" t="s">
        <v>45</v>
      </c>
      <c r="H85" s="37">
        <v>9</v>
      </c>
      <c r="I85" s="42"/>
      <c r="J85" s="39"/>
      <c r="K85" s="39"/>
      <c r="L85" s="40"/>
      <c r="M85" s="40">
        <f>(M13-M49)/M13</f>
      </c>
      <c r="N85" s="40">
        <f>(N13-N49)/N13</f>
      </c>
      <c r="O85" s="41">
        <f>(O13-O49)/O13</f>
      </c>
      <c r="P85" s="40">
        <f>(P13-P49)/P13</f>
      </c>
      <c r="Q85" s="40">
        <f>(Q13-Q49)/Q13</f>
      </c>
      <c r="R85" s="40">
        <f>(R13-R49)/R13</f>
      </c>
      <c r="S85" s="41">
        <f>(S13-S49)/S13</f>
      </c>
      <c r="T85" s="40">
        <f>(T13-T49)/T13</f>
      </c>
      <c r="U85" s="41">
        <f>(U13-U49)/U13</f>
      </c>
      <c r="V85" s="41">
        <f>(V13-V49)/V13</f>
      </c>
      <c r="W85" s="40">
        <f>(W13-W49)/W13</f>
      </c>
      <c r="X85" s="40">
        <f>(X13-X49)/X13</f>
      </c>
      <c r="Y85" s="33">
        <v>5</v>
      </c>
    </row>
    <row x14ac:dyDescent="0.25" r="86" customHeight="1" ht="18.75">
      <c r="A86" s="33">
        <v>105</v>
      </c>
      <c r="B86" s="33">
        <v>5</v>
      </c>
      <c r="C86" s="34" t="s">
        <v>49</v>
      </c>
      <c r="D86" s="35">
        <v>44745</v>
      </c>
      <c r="E86" s="36" t="s">
        <v>43</v>
      </c>
      <c r="F86" s="36" t="s">
        <v>46</v>
      </c>
      <c r="G86" s="36" t="s">
        <v>48</v>
      </c>
      <c r="H86" s="37">
        <v>9</v>
      </c>
      <c r="I86" s="38">
        <v>1</v>
      </c>
      <c r="J86" s="39">
        <v>0.32</v>
      </c>
      <c r="K86" s="39">
        <v>0.29</v>
      </c>
      <c r="L86" s="40">
        <v>0.08</v>
      </c>
      <c r="M86" s="40">
        <f>(M14-M50)/M14</f>
      </c>
      <c r="N86" s="40">
        <f>(N14-N50)/N14</f>
      </c>
      <c r="O86" s="41">
        <f>(O14-O50)/O14</f>
      </c>
      <c r="P86" s="40">
        <f>(P14-P50)/P14</f>
      </c>
      <c r="Q86" s="41">
        <f>(Q14-Q50)/Q14</f>
      </c>
      <c r="R86" s="41">
        <f>(R14-R50)/R14</f>
      </c>
      <c r="S86" s="41">
        <f>(S14-S50)/S14</f>
      </c>
      <c r="T86" s="41">
        <f>(T14-T50)/T14</f>
      </c>
      <c r="U86" s="41">
        <f>(U14-U50)/U14</f>
      </c>
      <c r="V86" s="40">
        <f>(V14-V50)/V14</f>
      </c>
      <c r="W86" s="40">
        <f>(W14-W50)/W14</f>
      </c>
      <c r="X86" s="40">
        <f>(X14-X50)/X14</f>
      </c>
      <c r="Y86" s="33">
        <v>3</v>
      </c>
    </row>
    <row x14ac:dyDescent="0.25" r="87" customHeight="1" ht="18.75">
      <c r="A87" s="33">
        <v>209</v>
      </c>
      <c r="B87" s="33">
        <v>5</v>
      </c>
      <c r="C87" s="34" t="s">
        <v>49</v>
      </c>
      <c r="D87" s="35">
        <v>44745</v>
      </c>
      <c r="E87" s="36" t="s">
        <v>43</v>
      </c>
      <c r="F87" s="36" t="s">
        <v>44</v>
      </c>
      <c r="G87" s="36" t="s">
        <v>48</v>
      </c>
      <c r="H87" s="37">
        <v>9</v>
      </c>
      <c r="I87" s="38">
        <v>1</v>
      </c>
      <c r="J87" s="39">
        <v>0.32</v>
      </c>
      <c r="K87" s="39">
        <v>0.31</v>
      </c>
      <c r="L87" s="40">
        <v>0.05</v>
      </c>
      <c r="M87" s="40">
        <f>(M15-M51)/M15</f>
      </c>
      <c r="N87" s="40">
        <f>(N15-N51)/N15</f>
      </c>
      <c r="O87" s="41">
        <f>(O15-O51)/O15</f>
      </c>
      <c r="P87" s="40">
        <f>(P15-P51)/P15</f>
      </c>
      <c r="Q87" s="40">
        <f>(Q15-Q51)/Q15</f>
      </c>
      <c r="R87" s="40">
        <f>(R15-R51)/R15</f>
      </c>
      <c r="S87" s="40">
        <f>(S15-S51)/S15</f>
      </c>
      <c r="T87" s="40">
        <f>(T15-T51)/T15</f>
      </c>
      <c r="U87" s="41">
        <f>(U15-U51)/U15</f>
      </c>
      <c r="V87" s="41">
        <f>(V15-V51)/V15</f>
      </c>
      <c r="W87" s="40">
        <f>(W15-W51)/W15</f>
      </c>
      <c r="X87" s="40">
        <f>(X15-X51)/X15</f>
      </c>
      <c r="Y87" s="33">
        <v>1</v>
      </c>
    </row>
    <row x14ac:dyDescent="0.25" r="88" customHeight="1" ht="18.75">
      <c r="A88" s="33">
        <v>309</v>
      </c>
      <c r="B88" s="33">
        <v>5</v>
      </c>
      <c r="C88" s="34" t="s">
        <v>49</v>
      </c>
      <c r="D88" s="35">
        <v>44745</v>
      </c>
      <c r="E88" s="36" t="s">
        <v>43</v>
      </c>
      <c r="F88" s="36" t="s">
        <v>44</v>
      </c>
      <c r="G88" s="36" t="s">
        <v>48</v>
      </c>
      <c r="H88" s="37">
        <v>9</v>
      </c>
      <c r="I88" s="38">
        <v>1</v>
      </c>
      <c r="J88" s="39">
        <v>0.3</v>
      </c>
      <c r="K88" s="39">
        <v>0.29</v>
      </c>
      <c r="L88" s="40">
        <v>0.03</v>
      </c>
      <c r="M88" s="40">
        <f>(M16-M52)/M16</f>
      </c>
      <c r="N88" s="40">
        <f>(N16-N52)/N16</f>
      </c>
      <c r="O88" s="41">
        <f>(O16-O52)/O16</f>
      </c>
      <c r="P88" s="40">
        <f>(P16-P52)/P16</f>
      </c>
      <c r="Q88" s="41">
        <f>(Q16-Q52)/Q16</f>
      </c>
      <c r="R88" s="41">
        <f>(R16-R52)/R16</f>
      </c>
      <c r="S88" s="41">
        <f>(S16-S52)/S16</f>
      </c>
      <c r="T88" s="41">
        <f>(T16-T52)/T16</f>
      </c>
      <c r="U88" s="40">
        <f>(U16-U52)/U16</f>
      </c>
      <c r="V88" s="40">
        <f>(V16-V52)/V16</f>
      </c>
      <c r="W88" s="40">
        <f>(W16-W52)/W16</f>
      </c>
      <c r="X88" s="40">
        <f>(X16-X52)/X16</f>
      </c>
      <c r="Y88" s="33">
        <v>0</v>
      </c>
    </row>
    <row x14ac:dyDescent="0.25" r="89" customHeight="1" ht="18.75">
      <c r="A89" s="33">
        <v>106</v>
      </c>
      <c r="B89" s="33">
        <v>6</v>
      </c>
      <c r="C89" s="34" t="s">
        <v>49</v>
      </c>
      <c r="D89" s="35">
        <v>44745</v>
      </c>
      <c r="E89" s="36" t="s">
        <v>47</v>
      </c>
      <c r="F89" s="36" t="s">
        <v>44</v>
      </c>
      <c r="G89" s="36" t="s">
        <v>48</v>
      </c>
      <c r="H89" s="37">
        <v>9</v>
      </c>
      <c r="I89" s="38">
        <v>0</v>
      </c>
      <c r="J89" s="39">
        <v>0.3</v>
      </c>
      <c r="K89" s="39">
        <v>0.23</v>
      </c>
      <c r="L89" s="40">
        <v>0.23</v>
      </c>
      <c r="M89" s="40">
        <f>(M17-M53)/M17</f>
      </c>
      <c r="N89" s="41">
        <f>(N17-N53)/N17</f>
      </c>
      <c r="O89" s="41">
        <f>(O17-O53)/O17</f>
      </c>
      <c r="P89" s="40">
        <f>(P17-P53)/P17</f>
      </c>
      <c r="Q89" s="40">
        <f>(Q17-Q53)/Q17</f>
      </c>
      <c r="R89" s="40">
        <f>(R17-R53)/R17</f>
      </c>
      <c r="S89" s="40">
        <f>(S17-S53)/S17</f>
      </c>
      <c r="T89" s="40">
        <f>(T17-T53)/T17</f>
      </c>
      <c r="U89" s="40">
        <f>(U17-U53)/U17</f>
      </c>
      <c r="V89" s="40">
        <f>(V17-V53)/V17</f>
      </c>
      <c r="W89" s="40">
        <f>(W17-W53)/W17</f>
      </c>
      <c r="X89" s="40">
        <f>(X17-X53)/X17</f>
      </c>
      <c r="Y89" s="33">
        <v>4</v>
      </c>
    </row>
    <row x14ac:dyDescent="0.25" r="90" customHeight="1" ht="18.75">
      <c r="A90" s="33">
        <v>204</v>
      </c>
      <c r="B90" s="33">
        <v>6</v>
      </c>
      <c r="C90" s="34" t="s">
        <v>49</v>
      </c>
      <c r="D90" s="35">
        <v>44745</v>
      </c>
      <c r="E90" s="36" t="s">
        <v>43</v>
      </c>
      <c r="F90" s="36" t="s">
        <v>44</v>
      </c>
      <c r="G90" s="36" t="s">
        <v>48</v>
      </c>
      <c r="H90" s="37">
        <v>9</v>
      </c>
      <c r="I90" s="38">
        <v>0</v>
      </c>
      <c r="J90" s="39">
        <v>30</v>
      </c>
      <c r="K90" s="39">
        <v>0.25</v>
      </c>
      <c r="L90" s="40">
        <v>0.16</v>
      </c>
      <c r="M90" s="40">
        <f>(M18-M54)/M18</f>
      </c>
      <c r="N90" s="40">
        <f>(N18-N54)/N18</f>
      </c>
      <c r="O90" s="40">
        <f>(O18-O54)/O18</f>
      </c>
      <c r="P90" s="40">
        <f>(P18-P54)/P18</f>
      </c>
      <c r="Q90" s="41">
        <f>(Q18-Q54)/Q18</f>
      </c>
      <c r="R90" s="40">
        <f>(R18-R54)/R18</f>
      </c>
      <c r="S90" s="41">
        <f>(S18-S54)/S18</f>
      </c>
      <c r="T90" s="40">
        <f>(T18-T54)/T18</f>
      </c>
      <c r="U90" s="40">
        <f>(U18-U54)/U18</f>
      </c>
      <c r="V90" s="40">
        <f>(V18-V54)/V18</f>
      </c>
      <c r="W90" s="40">
        <f>(W18-W54)/W18</f>
      </c>
      <c r="X90" s="40">
        <f>(X18-X54)/X18</f>
      </c>
      <c r="Y90" s="33">
        <v>1</v>
      </c>
    </row>
    <row x14ac:dyDescent="0.25" r="91" customHeight="1" ht="18.75">
      <c r="A91" s="33">
        <v>310</v>
      </c>
      <c r="B91" s="33">
        <v>6</v>
      </c>
      <c r="C91" s="34" t="s">
        <v>49</v>
      </c>
      <c r="D91" s="35">
        <v>44745</v>
      </c>
      <c r="E91" s="36" t="s">
        <v>43</v>
      </c>
      <c r="F91" s="36" t="s">
        <v>46</v>
      </c>
      <c r="G91" s="36" t="s">
        <v>48</v>
      </c>
      <c r="H91" s="37">
        <v>9</v>
      </c>
      <c r="I91" s="38">
        <v>0</v>
      </c>
      <c r="J91" s="39">
        <v>0.32</v>
      </c>
      <c r="K91" s="39">
        <v>0.31</v>
      </c>
      <c r="L91" s="40">
        <v>0.02</v>
      </c>
      <c r="M91" s="40">
        <f>(M19-M55)/M19</f>
      </c>
      <c r="N91" s="40">
        <f>(N19-N55)/N19</f>
      </c>
      <c r="O91" s="41">
        <f>(O19-O55)/O19</f>
      </c>
      <c r="P91" s="40">
        <f>(P19-P55)/P19</f>
      </c>
      <c r="Q91" s="40">
        <f>(Q19-Q55)/Q19</f>
      </c>
      <c r="R91" s="40">
        <f>(R19-R55)/R19</f>
      </c>
      <c r="S91" s="40">
        <f>(S19-S55)/S19</f>
      </c>
      <c r="T91" s="40">
        <f>(T19-T55)/T19</f>
      </c>
      <c r="U91" s="40">
        <f>(U19-U55)/U19</f>
      </c>
      <c r="V91" s="41">
        <f>(V19-V55)/V19</f>
      </c>
      <c r="W91" s="40">
        <f>(W19-W55)/W19</f>
      </c>
      <c r="X91" s="40">
        <f>(X19-X55)/X19</f>
      </c>
      <c r="Y91" s="33">
        <v>3</v>
      </c>
    </row>
    <row x14ac:dyDescent="0.25" r="92" customHeight="1" ht="18.75">
      <c r="A92" s="33">
        <v>107</v>
      </c>
      <c r="B92" s="33">
        <v>7</v>
      </c>
      <c r="C92" s="34" t="s">
        <v>49</v>
      </c>
      <c r="D92" s="35">
        <v>44745</v>
      </c>
      <c r="E92" s="36" t="s">
        <v>47</v>
      </c>
      <c r="F92" s="36" t="s">
        <v>44</v>
      </c>
      <c r="G92" s="36" t="s">
        <v>48</v>
      </c>
      <c r="H92" s="37">
        <v>6</v>
      </c>
      <c r="I92" s="42"/>
      <c r="J92" s="39"/>
      <c r="K92" s="39"/>
      <c r="L92" s="40"/>
      <c r="M92" s="40">
        <f>(M20-M56)/M20</f>
      </c>
      <c r="N92" s="40">
        <f>(N20-N56)/N20</f>
      </c>
      <c r="O92" s="40">
        <f>(O20-O56)/O20</f>
      </c>
      <c r="P92" s="40">
        <f>(P20-P56)/P20</f>
      </c>
      <c r="Q92" s="40">
        <f>(Q20-Q56)/Q20</f>
      </c>
      <c r="R92" s="40">
        <f>(R20-R56)/R20</f>
      </c>
      <c r="S92" s="40">
        <f>(S20-S56)/S20</f>
      </c>
      <c r="T92" s="40">
        <f>(T20-T56)/T20</f>
      </c>
      <c r="U92" s="41">
        <f>(U20-U56)/U20</f>
      </c>
      <c r="V92" s="40">
        <f>(V20-V56)/V20</f>
      </c>
      <c r="W92" s="40">
        <f>(W20-W56)/W20</f>
      </c>
      <c r="X92" s="40">
        <f>(X20-X56)/X20</f>
      </c>
      <c r="Y92" s="33">
        <v>2</v>
      </c>
    </row>
    <row x14ac:dyDescent="0.25" r="93" customHeight="1" ht="18.75">
      <c r="A93" s="33">
        <v>203</v>
      </c>
      <c r="B93" s="33">
        <v>7</v>
      </c>
      <c r="C93" s="34" t="s">
        <v>49</v>
      </c>
      <c r="D93" s="35">
        <v>44745</v>
      </c>
      <c r="E93" s="36" t="s">
        <v>47</v>
      </c>
      <c r="F93" s="36" t="s">
        <v>44</v>
      </c>
      <c r="G93" s="36" t="s">
        <v>48</v>
      </c>
      <c r="H93" s="37">
        <v>6</v>
      </c>
      <c r="I93" s="42"/>
      <c r="J93" s="39"/>
      <c r="K93" s="39"/>
      <c r="L93" s="40"/>
      <c r="M93" s="40">
        <f>(M21-M57)/M21</f>
      </c>
      <c r="N93" s="40">
        <f>(N21-N57)/N21</f>
      </c>
      <c r="O93" s="41">
        <f>(O21-O57)/O21</f>
      </c>
      <c r="P93" s="40">
        <f>(P21-P57)/P21</f>
      </c>
      <c r="Q93" s="40">
        <f>(Q21-Q57)/Q21</f>
      </c>
      <c r="R93" s="40">
        <f>(R21-R57)/R21</f>
      </c>
      <c r="S93" s="40">
        <f>(S21-S57)/S21</f>
      </c>
      <c r="T93" s="40">
        <f>(T21-T57)/T21</f>
      </c>
      <c r="U93" s="40">
        <f>(U21-U57)/U21</f>
      </c>
      <c r="V93" s="40">
        <f>(V21-V57)/V21</f>
      </c>
      <c r="W93" s="40">
        <f>(W21-W57)/W21</f>
      </c>
      <c r="X93" s="40">
        <f>(X21-X57)/X21</f>
      </c>
      <c r="Y93" s="33">
        <v>1</v>
      </c>
    </row>
    <row x14ac:dyDescent="0.25" r="94" customHeight="1" ht="18.75">
      <c r="A94" s="33">
        <v>312</v>
      </c>
      <c r="B94" s="33">
        <v>7</v>
      </c>
      <c r="C94" s="34" t="s">
        <v>49</v>
      </c>
      <c r="D94" s="35">
        <v>44745</v>
      </c>
      <c r="E94" s="36" t="s">
        <v>47</v>
      </c>
      <c r="F94" s="36" t="s">
        <v>44</v>
      </c>
      <c r="G94" s="36" t="s">
        <v>48</v>
      </c>
      <c r="H94" s="37">
        <v>6</v>
      </c>
      <c r="I94" s="42"/>
      <c r="J94" s="39"/>
      <c r="K94" s="39"/>
      <c r="L94" s="40"/>
      <c r="M94" s="40">
        <f>(M22-M58)/M22</f>
      </c>
      <c r="N94" s="40">
        <f>(N22-N58)/N22</f>
      </c>
      <c r="O94" s="41">
        <f>(O22-O58)/O22</f>
      </c>
      <c r="P94" s="40">
        <f>(P22-P58)/P22</f>
      </c>
      <c r="Q94" s="41">
        <f>(Q22-Q58)/Q22</f>
      </c>
      <c r="R94" s="41">
        <f>(R22-R58)/R22</f>
      </c>
      <c r="S94" s="41">
        <f>(S22-S58)/S22</f>
      </c>
      <c r="T94" s="41">
        <f>(T22-T58)/T22</f>
      </c>
      <c r="U94" s="40">
        <f>(U22-U58)/U22</f>
      </c>
      <c r="V94" s="41">
        <f>(V22-V58)/V22</f>
      </c>
      <c r="W94" s="40">
        <f>(W22-W58)/W22</f>
      </c>
      <c r="X94" s="40">
        <f>(X22-X58)/X22</f>
      </c>
      <c r="Y94" s="33">
        <v>2</v>
      </c>
    </row>
    <row x14ac:dyDescent="0.25" r="95" customHeight="1" ht="18.75">
      <c r="A95" s="33">
        <v>108</v>
      </c>
      <c r="B95" s="33">
        <v>8</v>
      </c>
      <c r="C95" s="34" t="s">
        <v>49</v>
      </c>
      <c r="D95" s="35">
        <v>44745</v>
      </c>
      <c r="E95" s="36" t="s">
        <v>47</v>
      </c>
      <c r="F95" s="36" t="s">
        <v>46</v>
      </c>
      <c r="G95" s="36" t="s">
        <v>48</v>
      </c>
      <c r="H95" s="37">
        <v>9</v>
      </c>
      <c r="I95" s="42"/>
      <c r="J95" s="39"/>
      <c r="K95" s="39"/>
      <c r="L95" s="40"/>
      <c r="M95" s="40">
        <f>(M23-M59)/M23</f>
      </c>
      <c r="N95" s="40">
        <f>(N23-N59)/N23</f>
      </c>
      <c r="O95" s="41">
        <f>(O23-O59)/O23</f>
      </c>
      <c r="P95" s="40">
        <f>(P23-P59)/P23</f>
      </c>
      <c r="Q95" s="40">
        <f>(Q23-Q59)/Q23</f>
      </c>
      <c r="R95" s="40">
        <f>(R23-R59)/R23</f>
      </c>
      <c r="S95" s="40">
        <f>(S23-S59)/S23</f>
      </c>
      <c r="T95" s="40">
        <f>(T23-T59)/T23</f>
      </c>
      <c r="U95" s="41">
        <f>(U23-U59)/U23</f>
      </c>
      <c r="V95" s="40">
        <f>(V23-V59)/V23</f>
      </c>
      <c r="W95" s="40">
        <f>(W23-W59)/W23</f>
      </c>
      <c r="X95" s="40">
        <f>(X23-X59)/X23</f>
      </c>
      <c r="Y95" s="33">
        <v>4</v>
      </c>
    </row>
    <row x14ac:dyDescent="0.25" r="96" customHeight="1" ht="18.75">
      <c r="A96" s="33">
        <v>207</v>
      </c>
      <c r="B96" s="33">
        <v>8</v>
      </c>
      <c r="C96" s="34" t="s">
        <v>49</v>
      </c>
      <c r="D96" s="35">
        <v>44745</v>
      </c>
      <c r="E96" s="36" t="s">
        <v>47</v>
      </c>
      <c r="F96" s="36" t="s">
        <v>44</v>
      </c>
      <c r="G96" s="36" t="s">
        <v>48</v>
      </c>
      <c r="H96" s="37">
        <v>9</v>
      </c>
      <c r="I96" s="42"/>
      <c r="J96" s="39"/>
      <c r="K96" s="39"/>
      <c r="L96" s="40"/>
      <c r="M96" s="40">
        <f>(M24-M60)/M24</f>
      </c>
      <c r="N96" s="41">
        <f>(N24-N60)/N24</f>
      </c>
      <c r="O96" s="40">
        <f>(O24-O60)/O24</f>
      </c>
      <c r="P96" s="40">
        <f>(P24-P60)/P24</f>
      </c>
      <c r="Q96" s="40">
        <f>(Q24-Q60)/Q24</f>
      </c>
      <c r="R96" s="41">
        <f>(R24-R60)/R24</f>
      </c>
      <c r="S96" s="40">
        <f>(S24-S60)/S24</f>
      </c>
      <c r="T96" s="40">
        <f>(T24-T60)/T24</f>
      </c>
      <c r="U96" s="40">
        <f>(U24-U60)/U24</f>
      </c>
      <c r="V96" s="41">
        <f>(V24-V60)/V24</f>
      </c>
      <c r="W96" s="40">
        <f>(W24-W60)/W24</f>
      </c>
      <c r="X96" s="40">
        <f>(X24-X60)/X24</f>
      </c>
      <c r="Y96" s="33">
        <v>0</v>
      </c>
    </row>
    <row x14ac:dyDescent="0.25" r="97" customHeight="1" ht="18.75">
      <c r="A97" s="33">
        <v>308</v>
      </c>
      <c r="B97" s="33">
        <v>8</v>
      </c>
      <c r="C97" s="34" t="s">
        <v>49</v>
      </c>
      <c r="D97" s="35">
        <v>44745</v>
      </c>
      <c r="E97" s="36" t="s">
        <v>47</v>
      </c>
      <c r="F97" s="36" t="s">
        <v>44</v>
      </c>
      <c r="G97" s="36" t="s">
        <v>48</v>
      </c>
      <c r="H97" s="37">
        <v>9</v>
      </c>
      <c r="I97" s="42"/>
      <c r="J97" s="39"/>
      <c r="K97" s="39"/>
      <c r="L97" s="40"/>
      <c r="M97" s="40">
        <f>(M25-M61)/M25</f>
      </c>
      <c r="N97" s="41">
        <f>(N25-N61)/N25</f>
      </c>
      <c r="O97" s="41">
        <f>(O25-O61)/O25</f>
      </c>
      <c r="P97" s="40">
        <f>(P25-P61)/P25</f>
      </c>
      <c r="Q97" s="41">
        <f>(Q25-Q61)/Q25</f>
      </c>
      <c r="R97" s="41">
        <f>(R25-R61)/R25</f>
      </c>
      <c r="S97" s="40">
        <f>(S25-S61)/S25</f>
      </c>
      <c r="T97" s="40">
        <f>(T25-T61)/T25</f>
      </c>
      <c r="U97" s="40">
        <f>(U25-U61)/U25</f>
      </c>
      <c r="V97" s="41">
        <f>(V25-V61)/V25</f>
      </c>
      <c r="W97" s="40">
        <f>(W25-W61)/W25</f>
      </c>
      <c r="X97" s="40">
        <f>(X25-X61)/X25</f>
      </c>
      <c r="Y97" s="33">
        <v>0</v>
      </c>
    </row>
    <row x14ac:dyDescent="0.25" r="98" customHeight="1" ht="18.75">
      <c r="A98" s="33">
        <v>109</v>
      </c>
      <c r="B98" s="33">
        <v>9</v>
      </c>
      <c r="C98" s="34" t="s">
        <v>49</v>
      </c>
      <c r="D98" s="35">
        <v>44745</v>
      </c>
      <c r="E98" s="36" t="s">
        <v>43</v>
      </c>
      <c r="F98" s="36" t="s">
        <v>46</v>
      </c>
      <c r="G98" s="36" t="s">
        <v>48</v>
      </c>
      <c r="H98" s="37">
        <v>9</v>
      </c>
      <c r="I98" s="38">
        <v>1</v>
      </c>
      <c r="J98" s="39">
        <v>0.29</v>
      </c>
      <c r="K98" s="39">
        <v>0.25</v>
      </c>
      <c r="L98" s="40">
        <v>0.14</v>
      </c>
      <c r="M98" s="40">
        <f>(M26-M62)/M26</f>
      </c>
      <c r="N98" s="40">
        <f>(N26-N62)/N26</f>
      </c>
      <c r="O98" s="41">
        <f>(O26-O62)/O26</f>
      </c>
      <c r="P98" s="40">
        <f>(P26-P62)/P26</f>
      </c>
      <c r="Q98" s="40">
        <f>(Q26-Q62)/Q26</f>
      </c>
      <c r="R98" s="41">
        <f>(R26-R62)/R26</f>
      </c>
      <c r="S98" s="40">
        <f>(S26-S62)/S26</f>
      </c>
      <c r="T98" s="40">
        <f>(T26-T62)/T26</f>
      </c>
      <c r="U98" s="41">
        <f>(U26-U62)/U26</f>
      </c>
      <c r="V98" s="40">
        <f>(V26-V62)/V26</f>
      </c>
      <c r="W98" s="40">
        <f>(W26-W62)/W26</f>
      </c>
      <c r="X98" s="40">
        <f>(X26-X62)/X26</f>
      </c>
      <c r="Y98" s="33">
        <v>1</v>
      </c>
    </row>
    <row x14ac:dyDescent="0.25" r="99" customHeight="1" ht="18.75">
      <c r="A99" s="33">
        <v>208</v>
      </c>
      <c r="B99" s="33">
        <v>9</v>
      </c>
      <c r="C99" s="34" t="s">
        <v>49</v>
      </c>
      <c r="D99" s="35">
        <v>44745</v>
      </c>
      <c r="E99" s="36" t="s">
        <v>43</v>
      </c>
      <c r="F99" s="36" t="s">
        <v>46</v>
      </c>
      <c r="G99" s="36" t="s">
        <v>48</v>
      </c>
      <c r="H99" s="37">
        <v>9</v>
      </c>
      <c r="I99" s="38">
        <v>1</v>
      </c>
      <c r="J99" s="39">
        <v>0.31</v>
      </c>
      <c r="K99" s="39">
        <v>0.27</v>
      </c>
      <c r="L99" s="40">
        <v>0.12</v>
      </c>
      <c r="M99" s="40">
        <f>(M27-M63)/M27</f>
      </c>
      <c r="N99" s="40">
        <f>(N27-N63)/N27</f>
      </c>
      <c r="O99" s="40">
        <f>(O27-O63)/O27</f>
      </c>
      <c r="P99" s="40">
        <f>(P27-P63)/P27</f>
      </c>
      <c r="Q99" s="41">
        <f>(Q27-Q63)/Q27</f>
      </c>
      <c r="R99" s="41">
        <f>(R27-R63)/R27</f>
      </c>
      <c r="S99" s="41">
        <f>(S27-S63)/S27</f>
      </c>
      <c r="T99" s="41">
        <f>(T27-T63)/T27</f>
      </c>
      <c r="U99" s="40">
        <f>(U27-U63)/U27</f>
      </c>
      <c r="V99" s="41">
        <f>(V27-V63)/V27</f>
      </c>
      <c r="W99" s="40">
        <f>(W27-W63)/W27</f>
      </c>
      <c r="X99" s="40">
        <f>(X27-X63)/X27</f>
      </c>
      <c r="Y99" s="33">
        <v>0</v>
      </c>
    </row>
    <row x14ac:dyDescent="0.25" r="100" customHeight="1" ht="18.75">
      <c r="A100" s="33">
        <v>311</v>
      </c>
      <c r="B100" s="33">
        <v>9</v>
      </c>
      <c r="C100" s="34" t="s">
        <v>49</v>
      </c>
      <c r="D100" s="35">
        <v>44745</v>
      </c>
      <c r="E100" s="36" t="s">
        <v>43</v>
      </c>
      <c r="F100" s="36" t="s">
        <v>46</v>
      </c>
      <c r="G100" s="36" t="s">
        <v>48</v>
      </c>
      <c r="H100" s="37">
        <v>9.5</v>
      </c>
      <c r="I100" s="38">
        <v>1</v>
      </c>
      <c r="J100" s="39"/>
      <c r="K100" s="39"/>
      <c r="L100" s="40"/>
      <c r="M100" s="40">
        <f>(M28-M64)/M28</f>
      </c>
      <c r="N100" s="41">
        <f>(N28-N64)/N28</f>
      </c>
      <c r="O100" s="41">
        <f>(O28-O64)/O28</f>
      </c>
      <c r="P100" s="40">
        <f>(P28-P64)/P28</f>
      </c>
      <c r="Q100" s="41">
        <f>(Q28-Q64)/Q28</f>
      </c>
      <c r="R100" s="41">
        <f>(R28-R64)/R28</f>
      </c>
      <c r="S100" s="41">
        <f>(S28-S64)/S28</f>
      </c>
      <c r="T100" s="41">
        <f>(T28-T64)/T28</f>
      </c>
      <c r="U100" s="41">
        <f>(U28-U64)/U28</f>
      </c>
      <c r="V100" s="41">
        <f>(V28-V64)/V28</f>
      </c>
      <c r="W100" s="40">
        <f>(W28-W64)/W28</f>
      </c>
      <c r="X100" s="40">
        <f>(X28-X64)/X28</f>
      </c>
      <c r="Y100" s="33">
        <v>3</v>
      </c>
    </row>
    <row x14ac:dyDescent="0.25" r="101" customHeight="1" ht="18.75">
      <c r="A101" s="33">
        <v>110</v>
      </c>
      <c r="B101" s="33">
        <v>10</v>
      </c>
      <c r="C101" s="34" t="s">
        <v>49</v>
      </c>
      <c r="D101" s="35">
        <v>44745</v>
      </c>
      <c r="E101" s="36" t="s">
        <v>43</v>
      </c>
      <c r="F101" s="36" t="s">
        <v>44</v>
      </c>
      <c r="G101" s="36" t="s">
        <v>48</v>
      </c>
      <c r="H101" s="37">
        <v>9</v>
      </c>
      <c r="I101" s="38">
        <v>0</v>
      </c>
      <c r="J101" s="39">
        <v>0.3</v>
      </c>
      <c r="K101" s="39">
        <v>0.26</v>
      </c>
      <c r="L101" s="40">
        <v>0.14</v>
      </c>
      <c r="M101" s="40">
        <f>(M29-M65)/M29</f>
      </c>
      <c r="N101" s="40">
        <f>(N29-N65)/N29</f>
      </c>
      <c r="O101" s="41">
        <f>(O29-O65)/O29</f>
      </c>
      <c r="P101" s="40">
        <f>(P29-P65)/P29</f>
      </c>
      <c r="Q101" s="40">
        <f>(Q29-Q65)/Q29</f>
      </c>
      <c r="R101" s="40">
        <f>(R29-R65)/R29</f>
      </c>
      <c r="S101" s="40">
        <f>(S29-S65)/S29</f>
      </c>
      <c r="T101" s="40">
        <f>(T29-T65)/T29</f>
      </c>
      <c r="U101" s="40">
        <f>(U29-U65)/U29</f>
      </c>
      <c r="V101" s="40">
        <f>(V29-V65)/V29</f>
      </c>
      <c r="W101" s="40">
        <f>(W29-W65)/W29</f>
      </c>
      <c r="X101" s="40">
        <f>(X29-X65)/X29</f>
      </c>
      <c r="Y101" s="33">
        <v>2</v>
      </c>
    </row>
    <row x14ac:dyDescent="0.25" r="102" customHeight="1" ht="18.75">
      <c r="A102" s="33">
        <v>201</v>
      </c>
      <c r="B102" s="33">
        <v>10</v>
      </c>
      <c r="C102" s="34" t="s">
        <v>49</v>
      </c>
      <c r="D102" s="35">
        <v>44745</v>
      </c>
      <c r="E102" s="36" t="s">
        <v>43</v>
      </c>
      <c r="F102" s="36" t="s">
        <v>44</v>
      </c>
      <c r="G102" s="36" t="s">
        <v>48</v>
      </c>
      <c r="H102" s="37">
        <v>9</v>
      </c>
      <c r="I102" s="38">
        <v>0</v>
      </c>
      <c r="J102" s="39">
        <v>0.29</v>
      </c>
      <c r="K102" s="39">
        <v>0.23</v>
      </c>
      <c r="L102" s="40">
        <v>0.22</v>
      </c>
      <c r="M102" s="40">
        <f>(M30-M66)/M30</f>
      </c>
      <c r="N102" s="41">
        <f>(N30-N66)/N30</f>
      </c>
      <c r="O102" s="41">
        <f>(O30-O66)/O30</f>
      </c>
      <c r="P102" s="40">
        <f>(P30-P66)/P30</f>
      </c>
      <c r="Q102" s="40">
        <f>(Q30-Q66)/Q30</f>
      </c>
      <c r="R102" s="40">
        <f>(R30-R66)/R30</f>
      </c>
      <c r="S102" s="40">
        <f>(S30-S66)/S30</f>
      </c>
      <c r="T102" s="40">
        <f>(T30-T66)/T30</f>
      </c>
      <c r="U102" s="41">
        <f>(U30-U66)/U30</f>
      </c>
      <c r="V102" s="40">
        <f>(V30-V66)/V30</f>
      </c>
      <c r="W102" s="40">
        <f>(W30-W66)/W30</f>
      </c>
      <c r="X102" s="40">
        <f>(X30-X66)/X30</f>
      </c>
      <c r="Y102" s="33">
        <v>0</v>
      </c>
    </row>
    <row x14ac:dyDescent="0.25" r="103" customHeight="1" ht="18.75">
      <c r="A103" s="33">
        <v>301</v>
      </c>
      <c r="B103" s="33">
        <v>10</v>
      </c>
      <c r="C103" s="34" t="s">
        <v>49</v>
      </c>
      <c r="D103" s="35">
        <v>44745</v>
      </c>
      <c r="E103" s="36" t="s">
        <v>43</v>
      </c>
      <c r="F103" s="36" t="s">
        <v>44</v>
      </c>
      <c r="G103" s="36" t="s">
        <v>48</v>
      </c>
      <c r="H103" s="37">
        <v>9</v>
      </c>
      <c r="I103" s="38">
        <v>0</v>
      </c>
      <c r="J103" s="39">
        <v>0.33</v>
      </c>
      <c r="K103" s="39">
        <v>0.31</v>
      </c>
      <c r="L103" s="40">
        <v>0.05</v>
      </c>
      <c r="M103" s="40">
        <f>(M31-M67)/M31</f>
      </c>
      <c r="N103" s="40">
        <f>(N31-N67)/N31</f>
      </c>
      <c r="O103" s="41">
        <f>(O31-O67)/O31</f>
      </c>
      <c r="P103" s="40">
        <f>(P31-P67)/P31</f>
      </c>
      <c r="Q103" s="40">
        <f>(Q31-Q67)/Q31</f>
      </c>
      <c r="R103" s="40">
        <f>(R31-R67)/R31</f>
      </c>
      <c r="S103" s="40">
        <f>(S31-S67)/S31</f>
      </c>
      <c r="T103" s="40">
        <f>(T31-T67)/T31</f>
      </c>
      <c r="U103" s="40">
        <f>(U31-U67)/U31</f>
      </c>
      <c r="V103" s="41">
        <f>(V31-V67)/V31</f>
      </c>
      <c r="W103" s="40">
        <f>(W31-W67)/W31</f>
      </c>
      <c r="X103" s="40">
        <f>(X31-X67)/X31</f>
      </c>
      <c r="Y103" s="33">
        <v>0</v>
      </c>
    </row>
    <row x14ac:dyDescent="0.25" r="104" customHeight="1" ht="18.75">
      <c r="A104" s="33">
        <v>111</v>
      </c>
      <c r="B104" s="33">
        <v>11</v>
      </c>
      <c r="C104" s="34" t="s">
        <v>49</v>
      </c>
      <c r="D104" s="35">
        <v>44745</v>
      </c>
      <c r="E104" s="36" t="s">
        <v>43</v>
      </c>
      <c r="F104" s="36" t="s">
        <v>46</v>
      </c>
      <c r="G104" s="36" t="s">
        <v>48</v>
      </c>
      <c r="H104" s="37">
        <v>11.5</v>
      </c>
      <c r="I104" s="38">
        <v>1</v>
      </c>
      <c r="J104" s="39">
        <v>0.33</v>
      </c>
      <c r="K104" s="39">
        <v>0.23</v>
      </c>
      <c r="L104" s="40">
        <v>0.3</v>
      </c>
      <c r="M104" s="40">
        <f>(M32-M68)/M32</f>
      </c>
      <c r="N104" s="40">
        <f>(N32-N68)/N32</f>
      </c>
      <c r="O104" s="41">
        <f>(O32-O68)/O32</f>
      </c>
      <c r="P104" s="40">
        <f>(P32-P68)/P32</f>
      </c>
      <c r="Q104" s="40">
        <f>(Q32-Q68)/Q32</f>
      </c>
      <c r="R104" s="40">
        <f>(R32-R68)/R32</f>
      </c>
      <c r="S104" s="40">
        <f>(S32-S68)/S32</f>
      </c>
      <c r="T104" s="40">
        <f>(T32-T68)/T32</f>
      </c>
      <c r="U104" s="40">
        <f>(U32-U68)/U32</f>
      </c>
      <c r="V104" s="40">
        <f>(V32-V68)/V32</f>
      </c>
      <c r="W104" s="40">
        <f>(W32-W68)/W32</f>
      </c>
      <c r="X104" s="40">
        <f>(X32-X68)/X32</f>
      </c>
      <c r="Y104" s="33">
        <v>0</v>
      </c>
    </row>
    <row x14ac:dyDescent="0.25" r="105" customHeight="1" ht="18.75">
      <c r="A105" s="33">
        <v>210</v>
      </c>
      <c r="B105" s="33">
        <v>11</v>
      </c>
      <c r="C105" s="34" t="s">
        <v>49</v>
      </c>
      <c r="D105" s="35">
        <v>44745</v>
      </c>
      <c r="E105" s="36" t="s">
        <v>43</v>
      </c>
      <c r="F105" s="36" t="s">
        <v>46</v>
      </c>
      <c r="G105" s="36" t="s">
        <v>48</v>
      </c>
      <c r="H105" s="37">
        <v>11.5</v>
      </c>
      <c r="I105" s="38">
        <v>1</v>
      </c>
      <c r="J105" s="39">
        <v>0.29</v>
      </c>
      <c r="K105" s="39">
        <v>0.27</v>
      </c>
      <c r="L105" s="40">
        <v>0.07</v>
      </c>
      <c r="M105" s="40">
        <f>(M33-M69)/M33</f>
      </c>
      <c r="N105" s="41">
        <f>(N33-N69)/N33</f>
      </c>
      <c r="O105" s="41">
        <f>(O33-O69)/O33</f>
      </c>
      <c r="P105" s="40">
        <f>(P33-P69)/P33</f>
      </c>
      <c r="Q105" s="40">
        <f>(Q33-Q69)/Q33</f>
      </c>
      <c r="R105" s="40">
        <f>(R33-R69)/R33</f>
      </c>
      <c r="S105" s="40">
        <f>(S33-S69)/S33</f>
      </c>
      <c r="T105" s="40">
        <f>(T33-T69)/T33</f>
      </c>
      <c r="U105" s="40">
        <f>(U33-U69)/U33</f>
      </c>
      <c r="V105" s="41">
        <f>(V33-V69)/V33</f>
      </c>
      <c r="W105" s="40">
        <f>(W33-W69)/W33</f>
      </c>
      <c r="X105" s="40">
        <f>(X33-X69)/X33</f>
      </c>
      <c r="Y105" s="33">
        <v>0</v>
      </c>
    </row>
    <row x14ac:dyDescent="0.25" r="106" customHeight="1" ht="18.75">
      <c r="A106" s="33">
        <v>305</v>
      </c>
      <c r="B106" s="33">
        <v>11</v>
      </c>
      <c r="C106" s="34" t="s">
        <v>49</v>
      </c>
      <c r="D106" s="35">
        <v>44745</v>
      </c>
      <c r="E106" s="36" t="s">
        <v>43</v>
      </c>
      <c r="F106" s="36" t="s">
        <v>44</v>
      </c>
      <c r="G106" s="36" t="s">
        <v>48</v>
      </c>
      <c r="H106" s="37">
        <v>11.5</v>
      </c>
      <c r="I106" s="38">
        <v>1</v>
      </c>
      <c r="J106" s="39">
        <v>0.31</v>
      </c>
      <c r="K106" s="39">
        <v>0.29</v>
      </c>
      <c r="L106" s="40">
        <v>0.06</v>
      </c>
      <c r="M106" s="40">
        <f>(M34-M70)/M34</f>
      </c>
      <c r="N106" s="41">
        <f>(N34-N70)/N34</f>
      </c>
      <c r="O106" s="41">
        <f>(O34-O70)/O34</f>
      </c>
      <c r="P106" s="40">
        <f>(P34-P70)/P34</f>
      </c>
      <c r="Q106" s="41">
        <f>(Q34-Q70)/Q34</f>
      </c>
      <c r="R106" s="40">
        <f>(R34-R70)/R34</f>
      </c>
      <c r="S106" s="41">
        <f>(S34-S70)/S34</f>
      </c>
      <c r="T106" s="40">
        <f>(T34-T70)/T34</f>
      </c>
      <c r="U106" s="40">
        <f>(U34-U70)/U34</f>
      </c>
      <c r="V106" s="40">
        <f>(V34-V70)/V34</f>
      </c>
      <c r="W106" s="40">
        <f>(W34-W70)/W34</f>
      </c>
      <c r="X106" s="40">
        <f>(X34-X70)/X34</f>
      </c>
      <c r="Y106" s="33">
        <v>0</v>
      </c>
    </row>
    <row x14ac:dyDescent="0.25" r="107" customHeight="1" ht="18.75">
      <c r="A107" s="33">
        <v>112</v>
      </c>
      <c r="B107" s="33">
        <v>12</v>
      </c>
      <c r="C107" s="34" t="s">
        <v>49</v>
      </c>
      <c r="D107" s="35">
        <v>44745</v>
      </c>
      <c r="E107" s="36" t="s">
        <v>43</v>
      </c>
      <c r="F107" s="36" t="s">
        <v>44</v>
      </c>
      <c r="G107" s="36" t="s">
        <v>48</v>
      </c>
      <c r="H107" s="37">
        <v>11.5</v>
      </c>
      <c r="I107" s="38">
        <v>0</v>
      </c>
      <c r="J107" s="39">
        <v>0.35</v>
      </c>
      <c r="K107" s="39">
        <v>0.26</v>
      </c>
      <c r="L107" s="40">
        <v>0.26</v>
      </c>
      <c r="M107" s="40">
        <f>(M35-M71)/M35</f>
      </c>
      <c r="N107" s="40">
        <f>(N35-N71)/N35</f>
      </c>
      <c r="O107" s="41">
        <f>(O35-O71)/O35</f>
      </c>
      <c r="P107" s="40">
        <f>(P35-P71)/P35</f>
      </c>
      <c r="Q107" s="40">
        <f>(Q35-Q71)/Q35</f>
      </c>
      <c r="R107" s="40">
        <f>(R35-R71)/R35</f>
      </c>
      <c r="S107" s="41">
        <f>(S35-S71)/S35</f>
      </c>
      <c r="T107" s="40">
        <f>(T35-T71)/T35</f>
      </c>
      <c r="U107" s="40">
        <f>(U35-U71)/U35</f>
      </c>
      <c r="V107" s="41">
        <f>(V35-V71)/V35</f>
      </c>
      <c r="W107" s="40">
        <f>(W35-W71)/W35</f>
      </c>
      <c r="X107" s="40">
        <f>(X35-X71)/X35</f>
      </c>
      <c r="Y107" s="33">
        <v>4</v>
      </c>
    </row>
    <row x14ac:dyDescent="0.25" r="108" customHeight="1" ht="18.75">
      <c r="A108" s="33">
        <v>206</v>
      </c>
      <c r="B108" s="33">
        <v>12</v>
      </c>
      <c r="C108" s="34" t="s">
        <v>49</v>
      </c>
      <c r="D108" s="35">
        <v>44745</v>
      </c>
      <c r="E108" s="36" t="s">
        <v>43</v>
      </c>
      <c r="F108" s="36" t="s">
        <v>44</v>
      </c>
      <c r="G108" s="36" t="s">
        <v>48</v>
      </c>
      <c r="H108" s="37">
        <v>11.5</v>
      </c>
      <c r="I108" s="38">
        <v>0</v>
      </c>
      <c r="J108" s="39">
        <v>0.32</v>
      </c>
      <c r="K108" s="39">
        <v>0.28</v>
      </c>
      <c r="L108" s="40">
        <v>0.11</v>
      </c>
      <c r="M108" s="40">
        <f>(M36-M72)/M36</f>
      </c>
      <c r="N108" s="40">
        <f>(N36-N72)/N36</f>
      </c>
      <c r="O108" s="40">
        <f>(O36-O72)/O36</f>
      </c>
      <c r="P108" s="40">
        <f>(P36-P72)/P36</f>
      </c>
      <c r="Q108" s="41">
        <f>(Q36-Q72)/Q36</f>
      </c>
      <c r="R108" s="41">
        <f>(R36-R72)/R36</f>
      </c>
      <c r="S108" s="41">
        <f>(S36-S72)/S36</f>
      </c>
      <c r="T108" s="41">
        <f>(T36-T72)/T36</f>
      </c>
      <c r="U108" s="40">
        <f>(U36-U72)/U36</f>
      </c>
      <c r="V108" s="41">
        <f>(V36-V72)/V36</f>
      </c>
      <c r="W108" s="40">
        <f>(W36-W72)/W36</f>
      </c>
      <c r="X108" s="40">
        <f>(X36-X72)/X36</f>
      </c>
      <c r="Y108" s="33">
        <v>0</v>
      </c>
    </row>
    <row x14ac:dyDescent="0.25" r="109" customHeight="1" ht="18.75">
      <c r="A109" s="43">
        <v>302</v>
      </c>
      <c r="B109" s="43">
        <v>12</v>
      </c>
      <c r="C109" s="44" t="s">
        <v>49</v>
      </c>
      <c r="D109" s="45">
        <v>44745</v>
      </c>
      <c r="E109" s="46" t="s">
        <v>43</v>
      </c>
      <c r="F109" s="46" t="s">
        <v>46</v>
      </c>
      <c r="G109" s="46" t="s">
        <v>48</v>
      </c>
      <c r="H109" s="47">
        <v>11.5</v>
      </c>
      <c r="I109" s="48">
        <v>0</v>
      </c>
      <c r="J109" s="49">
        <v>0.31</v>
      </c>
      <c r="K109" s="49">
        <v>0.23</v>
      </c>
      <c r="L109" s="50">
        <v>0.26</v>
      </c>
      <c r="M109" s="50">
        <f>(M37-M73)/M37</f>
      </c>
      <c r="N109" s="50">
        <f>(N37-N73)/N37</f>
      </c>
      <c r="O109" s="51">
        <f>(O37-O73)/O37</f>
      </c>
      <c r="P109" s="50">
        <f>(P37-P73)/P37</f>
      </c>
      <c r="Q109" s="51">
        <f>(Q37-Q73)/Q37</f>
      </c>
      <c r="R109" s="51">
        <f>(R37-R73)/R37</f>
      </c>
      <c r="S109" s="51">
        <f>(S37-S73)/S37</f>
      </c>
      <c r="T109" s="51">
        <f>(T37-T73)/T37</f>
      </c>
      <c r="U109" s="50">
        <f>(U37-U73)/U37</f>
      </c>
      <c r="V109" s="51">
        <f>(V37-V73)/V37</f>
      </c>
      <c r="W109" s="50">
        <f>(W37-W73)/W37</f>
      </c>
      <c r="X109" s="50">
        <f>(X37-X73)/X37</f>
      </c>
      <c r="Y109" s="43">
        <v>3</v>
      </c>
    </row>
    <row x14ac:dyDescent="0.25" r="110" customHeight="1" ht="18.75">
      <c r="A110" s="26"/>
      <c r="B110" s="26"/>
      <c r="C110" s="26"/>
      <c r="D110" s="52"/>
      <c r="E110" s="1"/>
      <c r="F110" s="1"/>
      <c r="G110" s="1"/>
      <c r="H110" s="53"/>
      <c r="I110" s="54"/>
      <c r="J110" s="55"/>
      <c r="K110" s="55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26"/>
    </row>
    <row x14ac:dyDescent="0.25" r="111" customHeight="1" ht="18.75">
      <c r="A111" s="26"/>
      <c r="B111" s="26"/>
      <c r="C111" s="26"/>
      <c r="D111" s="52"/>
      <c r="E111" s="1"/>
      <c r="F111" s="1"/>
      <c r="G111" s="1"/>
      <c r="H111" s="53"/>
      <c r="I111" s="54"/>
      <c r="J111" s="55"/>
      <c r="K111" s="55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26"/>
    </row>
    <row x14ac:dyDescent="0.25" r="112" customHeight="1" ht="18.75">
      <c r="A112" s="26"/>
      <c r="B112" s="26"/>
      <c r="C112" s="26"/>
      <c r="D112" s="52"/>
      <c r="E112" s="1"/>
      <c r="F112" s="1"/>
      <c r="G112" s="1"/>
      <c r="H112" s="53"/>
      <c r="I112" s="54"/>
      <c r="J112" s="55"/>
      <c r="K112" s="55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26"/>
    </row>
    <row x14ac:dyDescent="0.25" r="113" customHeight="1" ht="18.75">
      <c r="A113" s="26"/>
      <c r="B113" s="26"/>
      <c r="C113" s="26"/>
      <c r="D113" s="52"/>
      <c r="E113" s="1"/>
      <c r="F113" s="1"/>
      <c r="G113" s="1"/>
      <c r="H113" s="53"/>
      <c r="I113" s="54"/>
      <c r="J113" s="55"/>
      <c r="K113" s="55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26"/>
    </row>
    <row x14ac:dyDescent="0.25" r="114" customHeight="1" ht="18.75">
      <c r="A114" s="26"/>
      <c r="B114" s="26"/>
      <c r="C114" s="26"/>
      <c r="D114" s="52"/>
      <c r="E114" s="1"/>
      <c r="F114" s="1"/>
      <c r="G114" s="1"/>
      <c r="H114" s="53"/>
      <c r="I114" s="54"/>
      <c r="J114" s="55"/>
      <c r="K114" s="55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26"/>
    </row>
    <row x14ac:dyDescent="0.25" r="115" customHeight="1" ht="18.75">
      <c r="A115" s="26"/>
      <c r="B115" s="26"/>
      <c r="C115" s="26"/>
      <c r="D115" s="52"/>
      <c r="E115" s="1"/>
      <c r="F115" s="1"/>
      <c r="G115" s="1"/>
      <c r="H115" s="53"/>
      <c r="I115" s="54"/>
      <c r="J115" s="55"/>
      <c r="K115" s="55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26"/>
    </row>
    <row x14ac:dyDescent="0.25" r="116" customHeight="1" ht="18.75">
      <c r="A116" s="26"/>
      <c r="B116" s="26"/>
      <c r="C116" s="26"/>
      <c r="D116" s="52"/>
      <c r="E116" s="1"/>
      <c r="F116" s="1"/>
      <c r="G116" s="1"/>
      <c r="H116" s="53"/>
      <c r="I116" s="54"/>
      <c r="J116" s="55"/>
      <c r="K116" s="55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26"/>
    </row>
    <row x14ac:dyDescent="0.25" r="117" customHeight="1" ht="18.75">
      <c r="A117" s="26"/>
      <c r="B117" s="26"/>
      <c r="C117" s="26"/>
      <c r="D117" s="52"/>
      <c r="E117" s="1"/>
      <c r="F117" s="1"/>
      <c r="G117" s="1"/>
      <c r="H117" s="53"/>
      <c r="I117" s="54"/>
      <c r="J117" s="55"/>
      <c r="K117" s="55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26"/>
    </row>
    <row x14ac:dyDescent="0.25" r="118" customHeight="1" ht="18.75">
      <c r="A118" s="26"/>
      <c r="B118" s="26"/>
      <c r="C118" s="26"/>
      <c r="D118" s="52"/>
      <c r="E118" s="1"/>
      <c r="F118" s="1"/>
      <c r="G118" s="1"/>
      <c r="H118" s="53"/>
      <c r="I118" s="54"/>
      <c r="J118" s="55"/>
      <c r="K118" s="55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26"/>
    </row>
    <row x14ac:dyDescent="0.25" r="119" customHeight="1" ht="18.75">
      <c r="A119" s="26"/>
      <c r="B119" s="26"/>
      <c r="C119" s="26"/>
      <c r="D119" s="52"/>
      <c r="E119" s="1"/>
      <c r="F119" s="1"/>
      <c r="G119" s="1"/>
      <c r="H119" s="53"/>
      <c r="I119" s="54"/>
      <c r="J119" s="55"/>
      <c r="K119" s="55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26"/>
    </row>
    <row x14ac:dyDescent="0.25" r="120" customHeight="1" ht="18.75">
      <c r="A120" s="26"/>
      <c r="B120" s="26"/>
      <c r="C120" s="26"/>
      <c r="D120" s="52"/>
      <c r="E120" s="1"/>
      <c r="F120" s="1"/>
      <c r="G120" s="1"/>
      <c r="H120" s="53"/>
      <c r="I120" s="54"/>
      <c r="J120" s="55"/>
      <c r="K120" s="55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26"/>
    </row>
    <row x14ac:dyDescent="0.25" r="121" customHeight="1" ht="18.75">
      <c r="A121" s="26"/>
      <c r="B121" s="26"/>
      <c r="C121" s="26"/>
      <c r="D121" s="52"/>
      <c r="E121" s="1"/>
      <c r="F121" s="1"/>
      <c r="G121" s="1"/>
      <c r="H121" s="53"/>
      <c r="I121" s="54"/>
      <c r="J121" s="55"/>
      <c r="K121" s="55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26"/>
    </row>
    <row x14ac:dyDescent="0.25" r="122" customHeight="1" ht="18.75">
      <c r="A122" s="26"/>
      <c r="B122" s="26"/>
      <c r="C122" s="26"/>
      <c r="D122" s="52"/>
      <c r="E122" s="1"/>
      <c r="F122" s="1"/>
      <c r="G122" s="1"/>
      <c r="H122" s="53"/>
      <c r="I122" s="54"/>
      <c r="J122" s="55"/>
      <c r="K122" s="5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26"/>
    </row>
    <row x14ac:dyDescent="0.25" r="123" customHeight="1" ht="18.75">
      <c r="A123" s="26"/>
      <c r="B123" s="26"/>
      <c r="C123" s="26"/>
      <c r="D123" s="52"/>
      <c r="E123" s="1"/>
      <c r="F123" s="1"/>
      <c r="G123" s="1"/>
      <c r="H123" s="53"/>
      <c r="I123" s="54"/>
      <c r="J123" s="55"/>
      <c r="K123" s="5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26"/>
    </row>
    <row x14ac:dyDescent="0.25" r="124" customHeight="1" ht="18.75">
      <c r="A124" s="26"/>
      <c r="B124" s="26"/>
      <c r="C124" s="26"/>
      <c r="D124" s="52"/>
      <c r="E124" s="1"/>
      <c r="F124" s="1"/>
      <c r="G124" s="1"/>
      <c r="H124" s="53"/>
      <c r="I124" s="54"/>
      <c r="J124" s="55"/>
      <c r="K124" s="5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26"/>
    </row>
    <row x14ac:dyDescent="0.25" r="125" customHeight="1" ht="18.75">
      <c r="A125" s="26"/>
      <c r="B125" s="26"/>
      <c r="C125" s="26"/>
      <c r="D125" s="52"/>
      <c r="E125" s="1"/>
      <c r="F125" s="1"/>
      <c r="G125" s="1"/>
      <c r="H125" s="53"/>
      <c r="I125" s="54"/>
      <c r="J125" s="55"/>
      <c r="K125" s="5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26"/>
    </row>
    <row x14ac:dyDescent="0.25" r="126" customHeight="1" ht="18.75">
      <c r="A126" s="26"/>
      <c r="B126" s="26"/>
      <c r="C126" s="26"/>
      <c r="D126" s="52"/>
      <c r="E126" s="1"/>
      <c r="F126" s="1"/>
      <c r="G126" s="1"/>
      <c r="H126" s="53"/>
      <c r="I126" s="54"/>
      <c r="J126" s="55"/>
      <c r="K126" s="5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26"/>
    </row>
    <row x14ac:dyDescent="0.25" r="127" customHeight="1" ht="18.75">
      <c r="A127" s="26"/>
      <c r="B127" s="26"/>
      <c r="C127" s="26"/>
      <c r="D127" s="52"/>
      <c r="E127" s="1"/>
      <c r="F127" s="1"/>
      <c r="G127" s="1"/>
      <c r="H127" s="53"/>
      <c r="I127" s="54"/>
      <c r="J127" s="55"/>
      <c r="K127" s="5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26"/>
    </row>
    <row x14ac:dyDescent="0.25" r="128" customHeight="1" ht="18.75">
      <c r="A128" s="26"/>
      <c r="B128" s="26"/>
      <c r="C128" s="26"/>
      <c r="D128" s="52"/>
      <c r="E128" s="1"/>
      <c r="F128" s="1"/>
      <c r="G128" s="1"/>
      <c r="H128" s="53"/>
      <c r="I128" s="54"/>
      <c r="J128" s="55"/>
      <c r="K128" s="5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26"/>
    </row>
    <row x14ac:dyDescent="0.25" r="129" customHeight="1" ht="18.75">
      <c r="A129" s="26"/>
      <c r="B129" s="26"/>
      <c r="C129" s="26"/>
      <c r="D129" s="52"/>
      <c r="E129" s="1"/>
      <c r="F129" s="1"/>
      <c r="G129" s="1"/>
      <c r="H129" s="53"/>
      <c r="I129" s="54"/>
      <c r="J129" s="55"/>
      <c r="K129" s="5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26"/>
    </row>
    <row x14ac:dyDescent="0.25" r="130" customHeight="1" ht="18.75">
      <c r="A130" s="26"/>
      <c r="B130" s="26"/>
      <c r="C130" s="26"/>
      <c r="D130" s="52"/>
      <c r="E130" s="1"/>
      <c r="F130" s="1"/>
      <c r="G130" s="1"/>
      <c r="H130" s="53"/>
      <c r="I130" s="54"/>
      <c r="J130" s="55"/>
      <c r="K130" s="5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26"/>
    </row>
    <row x14ac:dyDescent="0.25" r="131" customHeight="1" ht="18.75">
      <c r="A131" s="26"/>
      <c r="B131" s="26"/>
      <c r="C131" s="26"/>
      <c r="D131" s="52"/>
      <c r="E131" s="1"/>
      <c r="F131" s="1"/>
      <c r="G131" s="1"/>
      <c r="H131" s="53"/>
      <c r="I131" s="54"/>
      <c r="J131" s="55"/>
      <c r="K131" s="5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26"/>
    </row>
    <row x14ac:dyDescent="0.25" r="132" customHeight="1" ht="18.75">
      <c r="A132" s="26"/>
      <c r="B132" s="26"/>
      <c r="C132" s="26"/>
      <c r="D132" s="52"/>
      <c r="E132" s="1"/>
      <c r="F132" s="1"/>
      <c r="G132" s="1"/>
      <c r="H132" s="53"/>
      <c r="I132" s="54"/>
      <c r="J132" s="55"/>
      <c r="K132" s="5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26"/>
    </row>
    <row x14ac:dyDescent="0.25" r="133" customHeight="1" ht="18.75">
      <c r="A133" s="26"/>
      <c r="B133" s="26"/>
      <c r="C133" s="26"/>
      <c r="D133" s="52"/>
      <c r="E133" s="1"/>
      <c r="F133" s="1"/>
      <c r="G133" s="1"/>
      <c r="H133" s="53"/>
      <c r="I133" s="54"/>
      <c r="J133" s="55"/>
      <c r="K133" s="5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26"/>
    </row>
    <row x14ac:dyDescent="0.25" r="134" customHeight="1" ht="18.75">
      <c r="A134" s="26"/>
      <c r="B134" s="26"/>
      <c r="C134" s="26"/>
      <c r="D134" s="52"/>
      <c r="E134" s="1"/>
      <c r="F134" s="1"/>
      <c r="G134" s="1"/>
      <c r="H134" s="53"/>
      <c r="I134" s="54"/>
      <c r="J134" s="55"/>
      <c r="K134" s="5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26"/>
    </row>
    <row x14ac:dyDescent="0.25" r="135" customHeight="1" ht="18.75">
      <c r="A135" s="26"/>
      <c r="B135" s="26"/>
      <c r="C135" s="26"/>
      <c r="D135" s="52"/>
      <c r="E135" s="1"/>
      <c r="F135" s="1"/>
      <c r="G135" s="1"/>
      <c r="H135" s="53"/>
      <c r="I135" s="54"/>
      <c r="J135" s="55"/>
      <c r="K135" s="5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26"/>
    </row>
    <row x14ac:dyDescent="0.25" r="136" customHeight="1" ht="18.75">
      <c r="A136" s="26"/>
      <c r="B136" s="26"/>
      <c r="C136" s="26"/>
      <c r="D136" s="52"/>
      <c r="E136" s="1"/>
      <c r="F136" s="1"/>
      <c r="G136" s="1"/>
      <c r="H136" s="53"/>
      <c r="I136" s="54"/>
      <c r="J136" s="55"/>
      <c r="K136" s="5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26"/>
    </row>
    <row x14ac:dyDescent="0.25" r="137" customHeight="1" ht="18.75">
      <c r="A137" s="26"/>
      <c r="B137" s="26"/>
      <c r="C137" s="26"/>
      <c r="D137" s="52"/>
      <c r="E137" s="1"/>
      <c r="F137" s="1"/>
      <c r="G137" s="1"/>
      <c r="H137" s="53"/>
      <c r="I137" s="54"/>
      <c r="J137" s="55"/>
      <c r="K137" s="5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26"/>
    </row>
    <row x14ac:dyDescent="0.25" r="138" customHeight="1" ht="18.75">
      <c r="A138" s="26"/>
      <c r="B138" s="26"/>
      <c r="C138" s="26"/>
      <c r="D138" s="52"/>
      <c r="E138" s="1"/>
      <c r="F138" s="1"/>
      <c r="G138" s="1"/>
      <c r="H138" s="53"/>
      <c r="I138" s="54"/>
      <c r="J138" s="55"/>
      <c r="K138" s="55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26"/>
    </row>
    <row x14ac:dyDescent="0.25" r="139" customHeight="1" ht="18.75">
      <c r="A139" s="26"/>
      <c r="B139" s="26"/>
      <c r="C139" s="26"/>
      <c r="D139" s="52"/>
      <c r="E139" s="1"/>
      <c r="F139" s="1"/>
      <c r="G139" s="1"/>
      <c r="H139" s="53"/>
      <c r="I139" s="54"/>
      <c r="J139" s="55"/>
      <c r="K139" s="5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26"/>
    </row>
    <row x14ac:dyDescent="0.25" r="140" customHeight="1" ht="18.75">
      <c r="A140" s="26"/>
      <c r="B140" s="26"/>
      <c r="C140" s="26"/>
      <c r="D140" s="52"/>
      <c r="E140" s="1"/>
      <c r="F140" s="1"/>
      <c r="G140" s="1"/>
      <c r="H140" s="53"/>
      <c r="I140" s="54"/>
      <c r="J140" s="55"/>
      <c r="K140" s="5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26"/>
    </row>
    <row x14ac:dyDescent="0.25" r="141" customHeight="1" ht="18.75">
      <c r="A141" s="26"/>
      <c r="B141" s="26"/>
      <c r="C141" s="26"/>
      <c r="D141" s="52"/>
      <c r="E141" s="1"/>
      <c r="F141" s="1"/>
      <c r="G141" s="1"/>
      <c r="H141" s="53"/>
      <c r="I141" s="54"/>
      <c r="J141" s="55"/>
      <c r="K141" s="5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26"/>
    </row>
    <row x14ac:dyDescent="0.25" r="142" customHeight="1" ht="18.75">
      <c r="A142" s="26"/>
      <c r="B142" s="26"/>
      <c r="C142" s="26"/>
      <c r="D142" s="52"/>
      <c r="E142" s="1"/>
      <c r="F142" s="1"/>
      <c r="G142" s="1"/>
      <c r="H142" s="53"/>
      <c r="I142" s="54"/>
      <c r="J142" s="55"/>
      <c r="K142" s="5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26"/>
    </row>
    <row x14ac:dyDescent="0.25" r="143" customHeight="1" ht="18.75">
      <c r="A143" s="26"/>
      <c r="B143" s="26"/>
      <c r="C143" s="26"/>
      <c r="D143" s="52"/>
      <c r="E143" s="1"/>
      <c r="F143" s="1"/>
      <c r="G143" s="1"/>
      <c r="H143" s="53"/>
      <c r="I143" s="54"/>
      <c r="J143" s="55"/>
      <c r="K143" s="5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26"/>
    </row>
    <row x14ac:dyDescent="0.25" r="144" customHeight="1" ht="18.75">
      <c r="A144" s="26"/>
      <c r="B144" s="26"/>
      <c r="C144" s="26"/>
      <c r="D144" s="52"/>
      <c r="E144" s="1"/>
      <c r="F144" s="1"/>
      <c r="G144" s="1"/>
      <c r="H144" s="53"/>
      <c r="I144" s="54"/>
      <c r="J144" s="55"/>
      <c r="K144" s="5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26"/>
    </row>
    <row x14ac:dyDescent="0.25" r="145" customHeight="1" ht="18.75">
      <c r="A145" s="26"/>
      <c r="B145" s="26"/>
      <c r="C145" s="26"/>
      <c r="D145" s="52"/>
      <c r="E145" s="1"/>
      <c r="F145" s="1"/>
      <c r="G145" s="1"/>
      <c r="H145" s="53"/>
      <c r="I145" s="54"/>
      <c r="J145" s="55"/>
      <c r="K145" s="5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26"/>
    </row>
    <row x14ac:dyDescent="0.25" r="146" customHeight="1" ht="18.75">
      <c r="A146" s="26"/>
      <c r="B146" s="26"/>
      <c r="C146" s="26"/>
      <c r="D146" s="52"/>
      <c r="E146" s="1"/>
      <c r="F146" s="1"/>
      <c r="G146" s="1"/>
      <c r="H146" s="53"/>
      <c r="I146" s="54"/>
      <c r="J146" s="55"/>
      <c r="K146" s="5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26"/>
    </row>
    <row x14ac:dyDescent="0.25" r="147" customHeight="1" ht="18.75">
      <c r="A147" s="26"/>
      <c r="B147" s="26"/>
      <c r="C147" s="26"/>
      <c r="D147" s="52"/>
      <c r="E147" s="1"/>
      <c r="F147" s="1"/>
      <c r="G147" s="1"/>
      <c r="H147" s="53"/>
      <c r="I147" s="54"/>
      <c r="J147" s="55"/>
      <c r="K147" s="5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26"/>
    </row>
    <row x14ac:dyDescent="0.25" r="148" customHeight="1" ht="18.75">
      <c r="A148" s="26"/>
      <c r="B148" s="26"/>
      <c r="C148" s="26"/>
      <c r="D148" s="52"/>
      <c r="E148" s="1"/>
      <c r="F148" s="1"/>
      <c r="G148" s="1"/>
      <c r="H148" s="53"/>
      <c r="I148" s="54"/>
      <c r="J148" s="55"/>
      <c r="K148" s="55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26"/>
    </row>
    <row x14ac:dyDescent="0.25" r="149" customHeight="1" ht="18.75">
      <c r="A149" s="26"/>
      <c r="B149" s="26"/>
      <c r="C149" s="26"/>
      <c r="D149" s="52"/>
      <c r="E149" s="1"/>
      <c r="F149" s="1"/>
      <c r="G149" s="1"/>
      <c r="H149" s="53"/>
      <c r="I149" s="54"/>
      <c r="J149" s="55"/>
      <c r="K149" s="55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26"/>
    </row>
    <row x14ac:dyDescent="0.25" r="150" customHeight="1" ht="18.75">
      <c r="A150" s="26"/>
      <c r="B150" s="26"/>
      <c r="C150" s="26"/>
      <c r="D150" s="52"/>
      <c r="E150" s="1"/>
      <c r="F150" s="1"/>
      <c r="G150" s="1"/>
      <c r="H150" s="53"/>
      <c r="I150" s="54"/>
      <c r="J150" s="55"/>
      <c r="K150" s="55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26"/>
    </row>
    <row x14ac:dyDescent="0.25" r="151" customHeight="1" ht="18.75">
      <c r="A151" s="26" t="s">
        <v>50</v>
      </c>
      <c r="B151" s="26"/>
      <c r="C151" s="26"/>
      <c r="D151" s="52"/>
      <c r="E151" s="1"/>
      <c r="F151" s="1"/>
      <c r="G151" s="1"/>
      <c r="H151" s="53"/>
      <c r="I151" s="54"/>
      <c r="J151" s="55"/>
      <c r="K151" s="55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"/>
  <sheetViews>
    <sheetView workbookViewId="0"/>
  </sheetViews>
  <sheetFormatPr defaultRowHeight="15" x14ac:dyDescent="0.25"/>
  <cols>
    <col min="1" max="1" style="6" width="13.576428571428572" customWidth="1" bestFit="1"/>
    <col min="2" max="2" style="6" width="51.14785714285715" customWidth="1" bestFit="1"/>
    <col min="3" max="3" style="6" width="13.576428571428572" customWidth="1" bestFit="1"/>
    <col min="4" max="4" style="6" width="26.005" customWidth="1" bestFit="1"/>
    <col min="5" max="5" style="6" width="13.576428571428572" customWidth="1" bestFit="1"/>
    <col min="6" max="6" style="6" width="36.719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1"/>
      <c r="F1" s="1"/>
    </row>
    <row x14ac:dyDescent="0.25" r="2" customHeight="1" ht="18.75">
      <c r="A2" s="1"/>
      <c r="B2" s="1"/>
      <c r="C2" s="1"/>
      <c r="D2" s="1"/>
      <c r="E2" s="1"/>
      <c r="F2" s="1"/>
    </row>
    <row x14ac:dyDescent="0.25" r="3" customHeight="1" ht="18.75">
      <c r="A3" s="1"/>
      <c r="B3" s="1"/>
      <c r="C3" s="1"/>
      <c r="D3" s="2" t="s">
        <v>1</v>
      </c>
      <c r="E3" s="1"/>
      <c r="F3" s="1"/>
    </row>
    <row x14ac:dyDescent="0.25" r="4" customHeight="1" ht="18.75">
      <c r="A4" s="1"/>
      <c r="B4" s="1"/>
      <c r="C4" s="1"/>
      <c r="D4" s="1"/>
      <c r="E4" s="1"/>
      <c r="F4" s="1"/>
    </row>
    <row x14ac:dyDescent="0.25" r="5" customHeight="1" ht="18.75">
      <c r="A5" s="3" t="s">
        <v>2</v>
      </c>
      <c r="B5" s="1"/>
      <c r="C5" s="1"/>
      <c r="D5" s="4" t="s">
        <v>3</v>
      </c>
      <c r="E5" s="1"/>
      <c r="F5" s="5" t="s">
        <v>4</v>
      </c>
    </row>
    <row x14ac:dyDescent="0.25" r="6" customHeight="1" ht="18.75">
      <c r="A6" s="1" t="s">
        <v>5</v>
      </c>
      <c r="B6" s="1"/>
      <c r="C6" s="1"/>
      <c r="D6" s="1" t="s">
        <v>6</v>
      </c>
      <c r="E6" s="1"/>
      <c r="F6" s="1" t="s">
        <v>7</v>
      </c>
    </row>
    <row x14ac:dyDescent="0.25" r="7" customHeight="1" ht="18.75">
      <c r="A7" s="1" t="s">
        <v>8</v>
      </c>
      <c r="B7" s="1"/>
      <c r="C7" s="1"/>
      <c r="D7" s="1" t="s">
        <v>9</v>
      </c>
      <c r="E7" s="1"/>
      <c r="F7" s="1" t="s">
        <v>10</v>
      </c>
    </row>
    <row x14ac:dyDescent="0.25" r="8" customHeight="1" ht="18.75">
      <c r="A8" s="1"/>
      <c r="B8" s="1" t="s">
        <v>11</v>
      </c>
      <c r="C8" s="1"/>
      <c r="D8" s="1" t="s">
        <v>12</v>
      </c>
      <c r="E8" s="1"/>
      <c r="F8" s="1"/>
    </row>
    <row x14ac:dyDescent="0.25" r="9" customHeight="1" ht="18.75">
      <c r="A9" s="1"/>
      <c r="B9" s="1" t="s">
        <v>13</v>
      </c>
      <c r="C9" s="1"/>
      <c r="D9" s="1" t="s">
        <v>14</v>
      </c>
      <c r="E9" s="1"/>
      <c r="F9" s="1"/>
    </row>
    <row x14ac:dyDescent="0.25" r="10" customHeight="1" ht="18.75">
      <c r="A10" s="1"/>
      <c r="B10" s="1" t="s">
        <v>15</v>
      </c>
      <c r="C10" s="1"/>
      <c r="D10" s="1"/>
      <c r="E10" s="1"/>
      <c r="F10" s="1"/>
    </row>
    <row x14ac:dyDescent="0.25" r="11" customHeight="1" ht="18.75">
      <c r="A11" s="1"/>
      <c r="B11" s="1" t="s">
        <v>16</v>
      </c>
      <c r="C11" s="1"/>
      <c r="D11" s="1"/>
      <c r="E11" s="1"/>
      <c r="F11" s="1"/>
    </row>
    <row x14ac:dyDescent="0.25" r="12" customHeight="1" ht="18.75">
      <c r="A12" s="1"/>
      <c r="B12" s="1" t="s">
        <v>17</v>
      </c>
      <c r="C12" s="1"/>
      <c r="D12" s="1"/>
      <c r="E12" s="1"/>
      <c r="F12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Weed Counts</vt:lpstr>
      <vt:lpstr>Total Weed Density by Specie</vt:lpstr>
      <vt:lpstr>Interpreting the Headings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2022-10-22T18:04:47.070Z</dcterms:created>
  <dcterms:modified xsi:type="dcterms:W3CDTF">2022-10-22T18:04:47.070Z</dcterms:modified>
</cp:coreProperties>
</file>