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ustomProperty1.bin" ContentType="application/vnd.openxmlformats-officedocument.spreadsheetml.customProperty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michellelee/Dropbox (InsideSherpa)/InsideSherpa team folder/Virtual internship partnerships/Banks and IB's/JPMorgan/IBD/Onboarding/IB Phase 2 content/Task 3/"/>
    </mc:Choice>
  </mc:AlternateContent>
  <xr:revisionPtr revIDLastSave="0" documentId="8_{ECE6618E-C34F-4F36-BBCB-C715EDBCC2D6}" xr6:coauthVersionLast="47" xr6:coauthVersionMax="47" xr10:uidLastSave="{00000000-0000-0000-0000-000000000000}"/>
  <bookViews>
    <workbookView xWindow="2160" yWindow="460" windowWidth="30280" windowHeight="16680" tabRatio="884" firstSheet="6" activeTab="6" xr2:uid="{00000000-000D-0000-FFFF-FFFF00000000}"/>
  </bookViews>
  <sheets>
    <sheet name="__FDSCACHE__" sheetId="7" state="veryHidden" r:id="rId1"/>
    <sheet name="Cover sheet" sheetId="9" r:id="rId2"/>
    <sheet name="__FDS_SIDEBAR__" sheetId="25" state="veryHidden" r:id="rId3"/>
    <sheet name="Assumptions" sheetId="12" r:id="rId4"/>
    <sheet name="Company fin forecasts" sheetId="44" r:id="rId5"/>
    <sheet name=" Financials" sheetId="45" r:id="rId6"/>
    <sheet name="DCF input" sheetId="31" r:id="rId7"/>
    <sheet name="DCF output" sheetId="4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_FDS_HYPERLINK_TOGGLE_STATE__" hidden="1">"ON"</definedName>
    <definedName name="__FDS_UNIQUE_RANGE_ID_GENERATOR_COUNTER" hidden="1">1</definedName>
    <definedName name="_bdm._6DE9FD41CF0248559D918CB423239EC7" hidden="1">'[1]Data Arrangement'!$A$1:$IV$65536</definedName>
    <definedName name="_bdm.1CEE895BAA7B41D59F88EC619FDEF041.edm" localSheetId="5" hidden="1">#REF!</definedName>
    <definedName name="_bdm.1CEE895BAA7B41D59F88EC619FDEF041.edm" hidden="1">#REF!</definedName>
    <definedName name="_bdm.228191AD795C44C3B2C1D29851BA6B5A.edm" localSheetId="5" hidden="1">' Financials'!$1:$1048576</definedName>
    <definedName name="_bdm.228191AD795C44C3B2C1D29851BA6B5A.edm" hidden="1">#REF!</definedName>
    <definedName name="_bdm.3D14DB32183C4604A0E4D79FEAD65638.edm" hidden="1">#REF!</definedName>
    <definedName name="_bdm.41e607f308fc422b8d5a5284804a8ff7.edm" hidden="1">#REF!</definedName>
    <definedName name="_bdm.45b361867be14c0dba121ee1c7f48795.edm" localSheetId="7" hidden="1">'DCF output'!$C$5:$T$43</definedName>
    <definedName name="_bdm.5517df198ca9484c9e35b3878cf17a8e.edm" localSheetId="5" hidden="1">' Financials'!#REF!</definedName>
    <definedName name="_bdm.5F91EDFB28E345298D64C1B04C911BD8.edm" hidden="1">Assumptions!$1:$1048576</definedName>
    <definedName name="_bdm.609C5E0B40C34CEC83463B2CED066A56.edm" localSheetId="5" hidden="1">#REF!</definedName>
    <definedName name="_bdm.609C5E0B40C34CEC83463B2CED066A56.edm" hidden="1">#REF!</definedName>
    <definedName name="_bdm.6DE9FD41CF0248559D918CB423239EC7.edm" localSheetId="5" hidden="1">#REF!</definedName>
    <definedName name="_bdm.6DE9FD41CF0248559D918CB423239EC7.edm" hidden="1">#REF!</definedName>
    <definedName name="_bdm.74CEE327218B454AA9BC56D8CEA74141.edm" hidden="1">'DCF input'!$1:$1048576</definedName>
    <definedName name="_bdm.8a6fdb4ee49643ad8ecd6d785b48d69f.edm" localSheetId="7" hidden="1">'DCF output'!$C$5:$T$44</definedName>
    <definedName name="_bdm.a3273f3667cf46cab65880b67bebb0c4.edm" localSheetId="7" hidden="1">'DCF output'!$B$4:$U$44</definedName>
    <definedName name="_bdm.a4ac6fa1a2134a37ad560cac0499cf89.edm" hidden="1">'DCF output'!$1:$1048576</definedName>
    <definedName name="_bdm.A77C3BBF950C4F3C8195B83DEAA7CFBF.edm" hidden="1">#REF!</definedName>
    <definedName name="_bdm.B028FC28E4054953B61282121BB0749D.edm" localSheetId="5" hidden="1">#REF!</definedName>
    <definedName name="_bdm.B028FC28E4054953B61282121BB0749D.edm" hidden="1">#REF!</definedName>
    <definedName name="_bdm.BA7DF401FF66448AB626C492D77D0998.edm" localSheetId="5" hidden="1">#REF!</definedName>
    <definedName name="_bdm.BA7DF401FF66448AB626C492D77D0998.edm" hidden="1">#REF!</definedName>
    <definedName name="_bdm.c517996dc1c34e9a9e03e0d7b68ed7ad.edm" localSheetId="5" hidden="1">' Financials'!#REF!</definedName>
    <definedName name="_bdm.c5f000e80d6041afaf6f162acd101e00.edm" localSheetId="7" hidden="1">'DCF output'!$C$7:$T$43</definedName>
    <definedName name="_bdm.D51DF457840D4146B534F29F484627FC.edm" localSheetId="5" hidden="1">' Financials'!#REF!</definedName>
    <definedName name="_bdm.D537BEABC8504CB086955292FC36C894.edm" localSheetId="5" hidden="1">' Financials'!#REF!</definedName>
    <definedName name="_bdm.D62A5529011B4AA59DA7E2E0D578E7E6.edm" localSheetId="5" hidden="1">#REF!</definedName>
    <definedName name="_bdm.D62A5529011B4AA59DA7E2E0D578E7E6.edm" hidden="1">#REF!</definedName>
    <definedName name="_bdm.e7e432fdd12f4d849a28c987dde91ad5.edm" hidden="1">#REF!</definedName>
    <definedName name="_bdm.ECE3A4A48F9A4CF5BC55AE82B22A40AE.edm" localSheetId="5" hidden="1">' Financials'!#REF!</definedName>
    <definedName name="_bdm.FF6CFCDC65EC4615A9B67519CC6F83BE.edm" localSheetId="6" hidden="1">'DCF input'!$F$7</definedName>
    <definedName name="AVP">#REF!</definedName>
    <definedName name="bar">[2]PSG!$I$4:$N$23</definedName>
    <definedName name="base_case">[3]V!$B$8:$G$19</definedName>
    <definedName name="Basic_NOSH">[4]COCKPIT!$I$45</definedName>
    <definedName name="BC_Disposal">[4]COCKPIT!$D$102</definedName>
    <definedName name="bob_ind_pro">[5]Combined!$B$376:$J$396</definedName>
    <definedName name="bobcat_standalone">[5]Combined!$B$334:$J$343</definedName>
    <definedName name="BRAZIL_CASE" localSheetId="5">#REF!</definedName>
    <definedName name="BRAZIL_CASE">#REF!</definedName>
    <definedName name="broker">[6]Valuation!$L$10:$P$32</definedName>
    <definedName name="buyers">[7]PPS!$C$24:$D$29</definedName>
    <definedName name="buyin_output">[7]PPS!$B$3:$L$21</definedName>
    <definedName name="Call_value">[8]WV!$E$40</definedName>
    <definedName name="CapDA">[4]COCKPIT!$D$81</definedName>
    <definedName name="CapexSens_Base">[7]DCF!$L$159:$R$165</definedName>
    <definedName name="capitalisation">[7]PPS!$I$43:$N$53</definedName>
    <definedName name="captax">[4]LBO!$H$26</definedName>
    <definedName name="CFS">[7]CFS!$B$9:$H$25</definedName>
    <definedName name="circ">Assumptions!$D$7</definedName>
    <definedName name="ClosePrint">[0]!ClosePrint</definedName>
    <definedName name="com">[6]FootballField!$D$10:$F$21</definedName>
    <definedName name="Comparison_page">[9]Comparison!$B$2:$U$31</definedName>
    <definedName name="con">[6]Contribution!$K$4:$R$21</definedName>
    <definedName name="Consult_Sales_EBITDA">[5]Consultancy!$B$121:$H$128</definedName>
    <definedName name="Consult_WACC_TV">[5]Consultancy!$B$111:$H$118</definedName>
    <definedName name="contribution">[7]PPS!$C$132:$F$143</definedName>
    <definedName name="credit">[7]LBO!$V$482:$AD$501</definedName>
    <definedName name="Current_Price">[4]COCKPIT!$I$33</definedName>
    <definedName name="choice">[10]Ass!$C$6</definedName>
    <definedName name="d_1">[8]WV!$E$37</definedName>
    <definedName name="d_2">[8]WV!$E$38</definedName>
    <definedName name="Days">[4]COCKPIT!$J$16</definedName>
    <definedName name="DC_trans_date">'[4]Blue Corning Cluster_COCKPIT'!$E$10</definedName>
    <definedName name="DCF">'DCF input'!$D$22:$T$67</definedName>
    <definedName name="DCF_1">'DCF input'!$F$74:$I$77</definedName>
    <definedName name="DCF_2">'DCF input'!$E$94:$J$99</definedName>
    <definedName name="DCF_Date">[4]COCKPIT!$D$72</definedName>
    <definedName name="DCF_Stubb">[4]COCKPIT!$D$74</definedName>
    <definedName name="DCFoutput">'DCF output'!$C$7:$T$44</definedName>
    <definedName name="DealDate">[11]DEALSheet!$F$11</definedName>
    <definedName name="Defence_Sales_EBITDA">'[5]Defence Systems'!$B$121:$H$128</definedName>
    <definedName name="Defence_WACC_TV">'[5]Defence Systems'!$B$111:$H$118</definedName>
    <definedName name="Diluted_NOSH">[4]COCKPIT!$I$49</definedName>
    <definedName name="DML_Multiple_Sensitivity">[5]DCF!$B$126:$H$133</definedName>
    <definedName name="DML_WACC_TV">[5]DCF!$B$136:$H$143</definedName>
    <definedName name="EBITA_Hist">[7]PPS!$D$161:$X$161,[7]PPS!$D$164:$X$164</definedName>
    <definedName name="ebitda">[6]EBIT_SPLIT!$B$6:$P$9,[6]EBIT_SPLIT!$B$48:$P$55,[6]EBIT_SPLIT!$B$68:$P$75,[6]EBIT_SPLIT!$B$88:$P$95,[6]EBIT_SPLIT!$B$108:$P$115,[6]EBIT_SPLIT!$B$128:$P$136,[6]EBIT_SPLIT!$B$139:$P$147</definedName>
    <definedName name="edin">'[12]Clubs 1'!$A$1:$N$142</definedName>
    <definedName name="eurster">[13]Ved_DealSheet!$F$24</definedName>
    <definedName name="ev.Calculation">-4105</definedName>
    <definedName name="ev.Initialized">FALSE</definedName>
    <definedName name="Exchange_rate">[14]Input!$D$137:$N$154</definedName>
    <definedName name="f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fasdffsd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CF_Summ">[7]PPS!$C$168:$Q$200</definedName>
    <definedName name="fdfds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dfg">{"quarterly",#N/A,FALSE,"Income Statement";#N/A,#N/A,FALSE,"print segment";#N/A,#N/A,FALSE,"Balance Sheet";#N/A,#N/A,FALSE,"Annl Inc";#N/A,#N/A,FALSE,"Cash Flow"}</definedName>
    <definedName name="fdv">{"quarterly",#N/A,FALSE,"Income Statement";#N/A,#N/A,FALSE,"print segment";#N/A,#N/A,FALSE,"Balance Sheet";#N/A,#N/A,FALSE,"Annl Inc";#N/A,#N/A,FALSE,"Cash Flow"}</definedName>
    <definedName name="financials">[14]Financials!$B$8:$FC$847</definedName>
    <definedName name="Five_IRR_EBITA">[7]PPS!$AA$60:$AG$68</definedName>
    <definedName name="Five_MM">[7]PPS!$AA$74:$AG$82</definedName>
    <definedName name="foot">[6]FootballField!$K$10:$M$27</definedName>
    <definedName name="FV">[4]COCKPIT!$I$61</definedName>
    <definedName name="FV_MarginSens_Base">[7]DCF!$D$149:$J$155</definedName>
    <definedName name="FX">[14]Input!$H$1</definedName>
    <definedName name="FX_CASE_1" localSheetId="5">#REF!</definedName>
    <definedName name="FX_CASE_1">#REF!</definedName>
    <definedName name="FX_CASE_2" localSheetId="5">#REF!</definedName>
    <definedName name="FX_CASE_2">#REF!</definedName>
    <definedName name="FX_TOGGLE">[15]Toggles!$I$2</definedName>
    <definedName name="FXCurrencies">[15]Toggles!$H$3:$J$11</definedName>
    <definedName name="G_G1">[16]Operational!$U$7:$W$33</definedName>
    <definedName name="G_G2">[16]Operational!$X$7:$Z$33</definedName>
    <definedName name="G_G3">[16]Operational!$AA$7:$AC$33</definedName>
    <definedName name="GW">'[17]PF_B+W+A_IS&amp;CFS'!$R$1</definedName>
    <definedName name="Hays_exchange_ratio">[13]Hays_Financials_Cal!$M$2</definedName>
    <definedName name="Hays_Financials">[13]Hays_PPS!$B$17:$J$33</definedName>
    <definedName name="Hays_Graph">[13]Shr_Graphs!$B$8:$C$530,[13]Shr_Graphs!$F$8:$F$530</definedName>
    <definedName name="Hays_Trading">[13]Hays_PPS!$B$4:$I$15</definedName>
    <definedName name="HLLL">[0]!HLLL</definedName>
    <definedName name="hn.DZ_MultByFXRates">[18]DropZone!$B$2:$I$118,[18]DropZone!$B$120:$I$132,[18]DropZone!$B$134:$I$136,[18]DropZone!$B$138:$I$146</definedName>
    <definedName name="hn.ExtDb">FALSE</definedName>
    <definedName name="hn.ModelType">"DEAL"</definedName>
    <definedName name="hn.ModelVersion">1</definedName>
    <definedName name="hn.NoUpload">0</definedName>
    <definedName name="IHG_2YR_SP">'[19]Share price performance'!$B$10:$C$536</definedName>
    <definedName name="IHG_5YR_SP">'[19]Share price performance'!$F$10:$G$1318</definedName>
    <definedName name="indigo_standalone">[5]Combined!$B$355:$J$364</definedName>
    <definedName name="infl">[10]Ass!$C$3</definedName>
    <definedName name="IPO_AG_trans_date">'[4]Agriculture Cluster_COCKPIT'!$E$11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>"c5315"</definedName>
    <definedName name="IQ_AVG_BROKER_REC_REUT">"c3630"</definedName>
    <definedName name="IQ_AVG_DAILY_VOL" hidden="1">"c65"</definedName>
    <definedName name="IQ_AVG_EMPLOYEES">"c6019"</definedName>
    <definedName name="IQ_AVG_INDUSTRY_REC">"c4455"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MP_EMPLOYEES">"c6020"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ROGRAMMING_COSTS" hidden="1">"c2884"</definedName>
    <definedName name="IQ_CABLE_PHONE_PENETRATION" hidden="1">"c2853"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OTAL_PENETRATION" hidden="1">"c2854"</definedName>
    <definedName name="IQ_CABLE_TOTAL_REV" hidden="1">"c2883"</definedName>
    <definedName name="IQ_CABLE_THP" hidden="1">"c2847"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DS_ASK">"c6027"</definedName>
    <definedName name="IQ_CDS_BID">"c6026"</definedName>
    <definedName name="IQ_CDS_CURRENCY">"c6031"</definedName>
    <definedName name="IQ_CDS_EVAL_DATE">"c6029"</definedName>
    <definedName name="IQ_CDS_MID">"c6028"</definedName>
    <definedName name="IQ_CDS_NAME">"c6034"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EST">"c1667"</definedName>
    <definedName name="IQ_CFPS_HIGH_EST">"c1669"</definedName>
    <definedName name="IQ_CFPS_LOW_EST">"c1670"</definedName>
    <definedName name="IQ_CFPS_MEDIAN_EST">"c1668"</definedName>
    <definedName name="IQ_CFPS_NUM_EST">"c1671"</definedName>
    <definedName name="IQ_CFPS_STDDEV_EST">"c1672"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ONTRIBUTION_TOTAL_COST" hidden="1">"c300"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EST">"c1674"</definedName>
    <definedName name="IQ_DPS_HIGH_EST">"c1676"</definedName>
    <definedName name="IQ_DPS_LOW_EST">"c1677"</definedName>
    <definedName name="IQ_DPS_MEDIAN_EST">"c1675"</definedName>
    <definedName name="IQ_DPS_NUM_EST">"c1678"</definedName>
    <definedName name="IQ_DPS_STDDEV_EST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>"c1649"</definedName>
    <definedName name="IQ_EARNINGS_ANNOUNCE_DATE_REUT">"c5314"</definedName>
    <definedName name="IQ_EBIT" hidden="1">"c352"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EQ_INC" hidden="1">"c3498"</definedName>
    <definedName name="IQ_EBIT_EQ_INC_EXCL_SBC" hidden="1">"c3502"</definedName>
    <definedName name="IQ_EBIT_EST">"c1681"</definedName>
    <definedName name="IQ_EBIT_EXCL_SBC" hidden="1">"c3082"</definedName>
    <definedName name="IQ_EBIT_GW_ACT_OR_EST">"c4306"</definedName>
    <definedName name="IQ_EBIT_HIGH_EST">"c1683"</definedName>
    <definedName name="IQ_EBIT_INT" hidden="1">"c360"</definedName>
    <definedName name="IQ_EBIT_LOW_EST">"c1684"</definedName>
    <definedName name="IQ_EBIT_MARGIN" hidden="1">"c359"</definedName>
    <definedName name="IQ_EBIT_MEDIAN_EST">"c1682"</definedName>
    <definedName name="IQ_EBIT_NUM_EST">"c1685"</definedName>
    <definedName name="IQ_EBIT_OVER_IE" hidden="1">"c1369"</definedName>
    <definedName name="IQ_EBIT_SBC_ACT_OR_EST">"c4316"</definedName>
    <definedName name="IQ_EBIT_SBC_GW_ACT_OR_EST">"c4320"</definedName>
    <definedName name="IQ_EBIT_STDDEV_EST">"c1686"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>"c3640"</definedName>
    <definedName name="IQ_EBITDA_EXCL_SBC" hidden="1">"c3081"</definedName>
    <definedName name="IQ_EBITDA_HIGH_EST" hidden="1">"c370"</definedName>
    <definedName name="IQ_EBITDA_HIGH_EST_REUT">"c3642"</definedName>
    <definedName name="IQ_EBITDA_INT" hidden="1">"c373"</definedName>
    <definedName name="IQ_EBITDA_LOW_EST" hidden="1">"c371"</definedName>
    <definedName name="IQ_EBITDA_LOW_EST_REUT">"c3643"</definedName>
    <definedName name="IQ_EBITDA_MARGIN" hidden="1">"c372"</definedName>
    <definedName name="IQ_EBITDA_MEDIAN_EST" hidden="1">"c1663"</definedName>
    <definedName name="IQ_EBITDA_MEDIAN_EST_REUT">"c3641"</definedName>
    <definedName name="IQ_EBITDA_NUM_EST" hidden="1">"c374"</definedName>
    <definedName name="IQ_EBITDA_NUM_EST_REUT">"c3644"</definedName>
    <definedName name="IQ_EBITDA_OVER_TOTAL_IE" hidden="1">"c1371"</definedName>
    <definedName name="IQ_EBITDA_SBC_ACT_OR_EST">"c4337"</definedName>
    <definedName name="IQ_EBITDA_STDDEV_EST" hidden="1">"c375"</definedName>
    <definedName name="IQ_EBITDA_STDDEV_EST_REUT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GW_ACT_OR_EST">"c4354"</definedName>
    <definedName name="IQ_EBT_UTI" hidden="1">"c390"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>"c2213"</definedName>
    <definedName name="IQ_EPS_EST" hidden="1">"c399"</definedName>
    <definedName name="IQ_EPS_EST_REUT">"c5453"</definedName>
    <definedName name="IQ_EPS_GW_ACT_OR_EST">"c2223"</definedName>
    <definedName name="IQ_EPS_GW_EST">"c1737"</definedName>
    <definedName name="IQ_EPS_GW_EST_REUT">"c5389"</definedName>
    <definedName name="IQ_EPS_GW_HIGH_EST">"c1739"</definedName>
    <definedName name="IQ_EPS_GW_HIGH_EST_REUT">"c5391"</definedName>
    <definedName name="IQ_EPS_GW_LOW_EST">"c1740"</definedName>
    <definedName name="IQ_EPS_GW_LOW_EST_REUT">"c5392"</definedName>
    <definedName name="IQ_EPS_GW_MEDIAN_EST">"c1738"</definedName>
    <definedName name="IQ_EPS_GW_MEDIAN_EST_REUT">"c5390"</definedName>
    <definedName name="IQ_EPS_GW_NUM_EST">"c1741"</definedName>
    <definedName name="IQ_EPS_GW_NUM_EST_REUT">"c5393"</definedName>
    <definedName name="IQ_EPS_GW_STDDEV_EST">"c1742"</definedName>
    <definedName name="IQ_EPS_GW_STDDEV_EST_REUT">"c5394"</definedName>
    <definedName name="IQ_EPS_HIGH_EST" hidden="1">"c400"</definedName>
    <definedName name="IQ_EPS_HIGH_EST_REUT">"c5454"</definedName>
    <definedName name="IQ_EPS_LOW_EST" hidden="1">"c401"</definedName>
    <definedName name="IQ_EPS_LOW_EST_REUT">"c5455"</definedName>
    <definedName name="IQ_EPS_MEDIAN_EST" hidden="1">"c1661"</definedName>
    <definedName name="IQ_EPS_MEDIAN_EST_REUT">"c5456"</definedName>
    <definedName name="IQ_EPS_NORM" hidden="1">"c1902"</definedName>
    <definedName name="IQ_EPS_NORM_EST">"c2226"</definedName>
    <definedName name="IQ_EPS_NORM_EST_REUT">"c5326"</definedName>
    <definedName name="IQ_EPS_NORM_HIGH_EST">"c2228"</definedName>
    <definedName name="IQ_EPS_NORM_HIGH_EST_REUT">"c5328"</definedName>
    <definedName name="IQ_EPS_NORM_LOW_EST">"c2229"</definedName>
    <definedName name="IQ_EPS_NORM_LOW_EST_REUT">"c5329"</definedName>
    <definedName name="IQ_EPS_NORM_MEDIAN_EST">"c2227"</definedName>
    <definedName name="IQ_EPS_NORM_MEDIAN_EST_REUT">"c5327"</definedName>
    <definedName name="IQ_EPS_NORM_NUM_EST">"c2230"</definedName>
    <definedName name="IQ_EPS_NORM_NUM_EST_REUT">"c5330"</definedName>
    <definedName name="IQ_EPS_NORM_STDDEV_EST">"c2231"</definedName>
    <definedName name="IQ_EPS_NORM_STDDEV_EST_REUT">"c5331"</definedName>
    <definedName name="IQ_EPS_NUM_EST" hidden="1">"c402"</definedName>
    <definedName name="IQ_EPS_NUM_EST_REUT">"c5451"</definedName>
    <definedName name="IQ_EPS_REPORT_ACT_OR_EST">"c2224"</definedName>
    <definedName name="IQ_EPS_REPORTED_EST">"c1744"</definedName>
    <definedName name="IQ_EPS_REPORTED_EST_REUT">"c5396"</definedName>
    <definedName name="IQ_EPS_REPORTED_HIGH_EST">"c1746"</definedName>
    <definedName name="IQ_EPS_REPORTED_HIGH_EST_REUT">"c5398"</definedName>
    <definedName name="IQ_EPS_REPORTED_LOW_EST">"c1747"</definedName>
    <definedName name="IQ_EPS_REPORTED_LOW_EST_REUT">"c5399"</definedName>
    <definedName name="IQ_EPS_REPORTED_MEDIAN_EST">"c1745"</definedName>
    <definedName name="IQ_EPS_REPORTED_MEDIAN_EST_REUT">"c5397"</definedName>
    <definedName name="IQ_EPS_REPORTED_NUM_EST">"c1748"</definedName>
    <definedName name="IQ_EPS_REPORTED_NUM_EST_REUT">"c5400"</definedName>
    <definedName name="IQ_EPS_REPORTED_STDDEV_EST">"c1749"</definedName>
    <definedName name="IQ_EPS_REPORTED_STDDEV_EST_REUT">"c5401"</definedName>
    <definedName name="IQ_EPS_SBC_ACT_OR_EST">"c4376"</definedName>
    <definedName name="IQ_EPS_SBC_GW_ACT_OR_EST">"c4380"</definedName>
    <definedName name="IQ_EPS_STDDEV_EST" hidden="1">"c403"</definedName>
    <definedName name="IQ_EPS_STDDEV_EST_REUT">"c5452"</definedName>
    <definedName name="IQ_EQV_OVER_BV" hidden="1">"c1596"</definedName>
    <definedName name="IQ_EQV_OVER_LTM_PRETAX_INC" hidden="1">"c1390"</definedName>
    <definedName name="IQ_EQUITY_AFFIL" hidden="1">"c1451"</definedName>
    <definedName name="IQ_EQUITY_METHOD" hidden="1">"c404"</definedName>
    <definedName name="IQ_ESOP_DEBT" hidden="1">"c1597"</definedName>
    <definedName name="IQ_EST_ACT_CFPS">"c1673"</definedName>
    <definedName name="IQ_EST_ACT_DPS">"c1680"</definedName>
    <definedName name="IQ_EST_ACT_EBIT">"c1687"</definedName>
    <definedName name="IQ_EST_ACT_EBITDA">"c1664"</definedName>
    <definedName name="IQ_EST_ACT_EPS">"c1648"</definedName>
    <definedName name="IQ_EST_ACT_EPS_GW">"c1743"</definedName>
    <definedName name="IQ_EST_ACT_EPS_GW_REUT">"c5395"</definedName>
    <definedName name="IQ_EST_ACT_EPS_NORM">"c2232"</definedName>
    <definedName name="IQ_EST_ACT_EPS_NORM_REUT">"c5332"</definedName>
    <definedName name="IQ_EST_ACT_EPS_REPORTED">"c1750"</definedName>
    <definedName name="IQ_EST_ACT_EPS_REPORTED_REUT">"c5402"</definedName>
    <definedName name="IQ_EST_ACT_FFO">"c1666"</definedName>
    <definedName name="IQ_EST_ACT_NAV">"c1757"</definedName>
    <definedName name="IQ_EST_ACT_NI">"c1722"</definedName>
    <definedName name="IQ_EST_ACT_NI_GW">"c1729"</definedName>
    <definedName name="IQ_EST_ACT_NI_REPORTED">"c1736"</definedName>
    <definedName name="IQ_EST_ACT_OPER_INC">"c1694"</definedName>
    <definedName name="IQ_EST_ACT_PRETAX_GW_INC">"c1708"</definedName>
    <definedName name="IQ_EST_ACT_PRETAX_INC">"c1701"</definedName>
    <definedName name="IQ_EST_ACT_PRETAX_REPORT_INC">"c1715"</definedName>
    <definedName name="IQ_EST_ACT_REV">"c2113"</definedName>
    <definedName name="IQ_EST_CFPS_DIFF">"c1871"</definedName>
    <definedName name="IQ_EST_CFPS_GROWTH_1YR">"c1774"</definedName>
    <definedName name="IQ_EST_CFPS_GROWTH_2YR">"c1775"</definedName>
    <definedName name="IQ_EST_CFPS_GROWTH_Q_1YR">"c1776"</definedName>
    <definedName name="IQ_EST_CFPS_SEQ_GROWTH_Q">"c1777"</definedName>
    <definedName name="IQ_EST_CFPS_SURPRISE_PERCENT">"c1872"</definedName>
    <definedName name="IQ_EST_CURRENCY" hidden="1">"c2140"</definedName>
    <definedName name="IQ_EST_CURRENCY_REUT">"c5437"</definedName>
    <definedName name="IQ_EST_DATE" hidden="1">"c1634"</definedName>
    <definedName name="IQ_EST_DATE_REUT">"c5438"</definedName>
    <definedName name="IQ_EST_DPS_DIFF">"c1873"</definedName>
    <definedName name="IQ_EST_DPS_GROWTH_1YR">"c1778"</definedName>
    <definedName name="IQ_EST_DPS_GROWTH_2YR">"c1779"</definedName>
    <definedName name="IQ_EST_DPS_GROWTH_Q_1YR">"c1780"</definedName>
    <definedName name="IQ_EST_DPS_SEQ_GROWTH_Q">"c1781"</definedName>
    <definedName name="IQ_EST_DPS_SURPRISE_PERCENT">"c1874"</definedName>
    <definedName name="IQ_EST_EBIT_DIFF">"c1875"</definedName>
    <definedName name="IQ_EST_EBIT_SURPRISE_PERCENT">"c1876"</definedName>
    <definedName name="IQ_EST_EBITDA_DIFF">"c1867"</definedName>
    <definedName name="IQ_EST_EBITDA_GROWTH_1YR">"c1766"</definedName>
    <definedName name="IQ_EST_EBITDA_GROWTH_2YR">"c1767"</definedName>
    <definedName name="IQ_EST_EBITDA_GROWTH_Q_1YR">"c1768"</definedName>
    <definedName name="IQ_EST_EBITDA_SEQ_GROWTH_Q">"c1769"</definedName>
    <definedName name="IQ_EST_EBITDA_SURPRISE_PERCENT">"c1868"</definedName>
    <definedName name="IQ_EST_EPS_DIFF">"c1864"</definedName>
    <definedName name="IQ_EST_EPS_GROWTH_1YR" hidden="1">"c1636"</definedName>
    <definedName name="IQ_EST_EPS_GROWTH_1YR_REUT">"c3646"</definedName>
    <definedName name="IQ_EST_EPS_GROWTH_2YR">"c1637"</definedName>
    <definedName name="IQ_EST_EPS_GROWTH_5YR" hidden="1">"c1655"</definedName>
    <definedName name="IQ_EST_EPS_GROWTH_5YR_HIGH">"c1657"</definedName>
    <definedName name="IQ_EST_EPS_GROWTH_5YR_LOW">"c1658"</definedName>
    <definedName name="IQ_EST_EPS_GROWTH_5YR_MEDIAN">"c1656"</definedName>
    <definedName name="IQ_EST_EPS_GROWTH_5YR_NUM">"c1659"</definedName>
    <definedName name="IQ_EST_EPS_GROWTH_5YR_REUT">"c3633"</definedName>
    <definedName name="IQ_EST_EPS_GROWTH_5YR_STDDEV">"c1660"</definedName>
    <definedName name="IQ_EST_EPS_GROWTH_Q_1YR" hidden="1">"c1641"</definedName>
    <definedName name="IQ_EST_EPS_GROWTH_Q_1YR_REUT">"c5410"</definedName>
    <definedName name="IQ_EST_EPS_GW_DIFF">"c1891"</definedName>
    <definedName name="IQ_EST_EPS_GW_DIFF_REUT">"c5429"</definedName>
    <definedName name="IQ_EST_EPS_GW_SURPRISE_PERCENT">"c1892"</definedName>
    <definedName name="IQ_EST_EPS_GW_SURPRISE_PERCENT_REUT">"c5430"</definedName>
    <definedName name="IQ_EST_EPS_NORM_DIFF">"c2247"</definedName>
    <definedName name="IQ_EST_EPS_NORM_DIFF_REUT">"c5411"</definedName>
    <definedName name="IQ_EST_EPS_NORM_SURPRISE_PERCENT">"c2248"</definedName>
    <definedName name="IQ_EST_EPS_NORM_SURPRISE_PERCENT_REUT">"c5412"</definedName>
    <definedName name="IQ_EST_EPS_REPORT_DIFF">"c1893"</definedName>
    <definedName name="IQ_EST_EPS_REPORT_DIFF_REUT">"c5431"</definedName>
    <definedName name="IQ_EST_EPS_REPORT_SURPRISE_PERCENT">"c1894"</definedName>
    <definedName name="IQ_EST_EPS_REPORT_SURPRISE_PERCENT_REUT">"c5432"</definedName>
    <definedName name="IQ_EST_EPS_SEQ_GROWTH_Q">"c1764"</definedName>
    <definedName name="IQ_EST_EPS_SURPRISE_PERCENT">"c1635"</definedName>
    <definedName name="IQ_EST_FFO_DIFF">"c1869"</definedName>
    <definedName name="IQ_EST_FFO_GROWTH_1YR">"c1770"</definedName>
    <definedName name="IQ_EST_FFO_GROWTH_2YR">"c1771"</definedName>
    <definedName name="IQ_EST_FFO_GROWTH_Q_1YR">"c1772"</definedName>
    <definedName name="IQ_EST_FFO_SEQ_GROWTH_Q">"c1773"</definedName>
    <definedName name="IQ_EST_FFO_SURPRISE_PERCENT">"c1870"</definedName>
    <definedName name="IQ_EST_NAV_DIFF">"c1895"</definedName>
    <definedName name="IQ_EST_NAV_SURPRISE_PERCENT">"c1896"</definedName>
    <definedName name="IQ_EST_NI_DIFF">"c1885"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UM_BUY">"c1759"</definedName>
    <definedName name="IQ_EST_NUM_HOLD">"c1761"</definedName>
    <definedName name="IQ_EST_NUM_NO_OPINION">"c1758"</definedName>
    <definedName name="IQ_EST_NUM_OUTPERFORM">"c1760"</definedName>
    <definedName name="IQ_EST_NUM_SELL">"c1763"</definedName>
    <definedName name="IQ_EST_NUM_UNDERPERFORM">"c1762"</definedName>
    <definedName name="IQ_EST_OPER_INC_DIFF">"c1877"</definedName>
    <definedName name="IQ_EST_OPER_INC_SURPRISE_PERCENT">"c1878"</definedName>
    <definedName name="IQ_EST_PRE_TAX_DIFF">"c1879"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REV_DIFF">"c1865"</definedName>
    <definedName name="IQ_EST_REV_GROWTH_1YR">"c1638"</definedName>
    <definedName name="IQ_EST_REV_GROWTH_2YR">"c1639"</definedName>
    <definedName name="IQ_EST_REV_GROWTH_Q_1YR">"c1640"</definedName>
    <definedName name="IQ_EST_REV_SEQ_GROWTH_Q">"c1765"</definedName>
    <definedName name="IQ_EST_REV_SURPRISE_PERCENT">"c1866"</definedName>
    <definedName name="IQ_EST_VENDOR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ISE_TAXES_EXCL_SALES">"c5515"</definedName>
    <definedName name="IQ_EXCISE_TAXES_INCL_SALES">"c5514"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>"c2216"</definedName>
    <definedName name="IQ_FFO_ADJ_ACT_OR_EST">"c4435"</definedName>
    <definedName name="IQ_FFO_EST">"c418"</definedName>
    <definedName name="IQ_FFO_HIGH_EST">"c419"</definedName>
    <definedName name="IQ_FFO_LOW_EST">"c420"</definedName>
    <definedName name="IQ_FFO_MEDIAN_EST">"c1665"</definedName>
    <definedName name="IQ_FFO_NUM_EST">"c421"</definedName>
    <definedName name="IQ_FFO_PAYOUT_RATIO" hidden="1">"c3492"</definedName>
    <definedName name="IQ_FFO_SHARE_ACT_OR_EST">"c4446"</definedName>
    <definedName name="IQ_FFO_STDDEV_EST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>"c5524"</definedName>
    <definedName name="IQ_FIN_DIV_CURRENT_PORT_LEASES_TOTAL">"c5523"</definedName>
    <definedName name="IQ_FIN_DIV_DEBT_CURRENT" hidden="1">"c429"</definedName>
    <definedName name="IQ_FIN_DIV_DEBT_LT" hidden="1">"c430"</definedName>
    <definedName name="IQ_FIN_DIV_DEBT_LT_TOTAL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>"c5522"</definedName>
    <definedName name="IQ_FIN_DIV_REV" hidden="1">"c437"</definedName>
    <definedName name="IQ_FIN_DIV_ST_DEBT_TOTAL">"c5527"</definedName>
    <definedName name="IQ_FINANCING_CASH" hidden="1">"c1405"</definedName>
    <definedName name="IQ_FINANCING_CASH_SUPPL" hidden="1">"c1406"</definedName>
    <definedName name="IQ_FINANCING_OBLIG_CURRENT">"c6190"</definedName>
    <definedName name="IQ_FINANCING_OBLIG_NON_CURRENT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OODWILL_NET" hidden="1">"c1380"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DAYS_REV_OUT">"c5993"</definedName>
    <definedName name="IQ_HC_EQUIV_ADMISSIONS_GROWTH">"c5998"</definedName>
    <definedName name="IQ_HC_EQUIVALENT_ADMISSIONS">"c5958"</definedName>
    <definedName name="IQ_HC_EQUIVALENT_ADMISSIONS_SF">"c6007"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SALARIES_PCT_REV">"c5970"</definedName>
    <definedName name="IQ_HC_SUPPLIES_PCT_REV">"c5971"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IGH_TARGET_PRICE" hidden="1">"c1651"</definedName>
    <definedName name="IQ_HIGH_TARGET_PRICE_REUT">"c5317"</definedName>
    <definedName name="IQ_HIGHPRICE" hidden="1">"c545"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">"c6225"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>"c2225"</definedName>
    <definedName name="IQ_NAV_EST">"c1751"</definedName>
    <definedName name="IQ_NAV_HIGH_EST">"c1753"</definedName>
    <definedName name="IQ_NAV_LOW_EST">"c1754"</definedName>
    <definedName name="IQ_NAV_MEDIAN_EST">"c1752"</definedName>
    <definedName name="IQ_NAV_NUM_EST">"c1755"</definedName>
    <definedName name="IQ_NAV_STDDEV_EST">"c1756"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CHANGE" hidden="1">"c749"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>"c1716"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LOW_EST">"c1719"</definedName>
    <definedName name="IQ_NI_MARGIN" hidden="1">"c794"</definedName>
    <definedName name="IQ_NI_MEDIAN_EST">"c1717"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GW_ACT_OR_EST">"c4478"</definedName>
    <definedName name="IQ_NI_SFAS" hidden="1">"c795"</definedName>
    <definedName name="IQ_NI_STDDEV_EST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>"c2220"</definedName>
    <definedName name="IQ_OPER_INC_BR" hidden="1">"c850"</definedName>
    <definedName name="IQ_OPER_INC_EST">"c1688"</definedName>
    <definedName name="IQ_OPER_INC_FIN" hidden="1">"c851"</definedName>
    <definedName name="IQ_OPER_INC_HIGH_EST">"c1690"</definedName>
    <definedName name="IQ_OPER_INC_INS" hidden="1">"c852"</definedName>
    <definedName name="IQ_OPER_INC_LOW_EST">"c1691"</definedName>
    <definedName name="IQ_OPER_INC_MARGIN" hidden="1">"c1448"</definedName>
    <definedName name="IQ_OPER_INC_MEDIAN_EST">"c1689"</definedName>
    <definedName name="IQ_OPER_INC_NUM_EST">"c1692"</definedName>
    <definedName name="IQ_OPER_INC_RE">"c6240"</definedName>
    <definedName name="IQ_OPER_INC_REIT" hidden="1">"c853"</definedName>
    <definedName name="IQ_OPER_INC_STDDEV_EST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>"c5563"</definedName>
    <definedName name="IQ_OTHER_AMORT_BNK">"c5565"</definedName>
    <definedName name="IQ_OTHER_AMORT_BR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>"c4049"</definedName>
    <definedName name="IQ_PE_NORMALIZED" hidden="1">"c2207"</definedName>
    <definedName name="IQ_PE_RATIO" hidden="1">"c1610"</definedName>
    <definedName name="IQ_PEG_FWD">"c1863"</definedName>
    <definedName name="IQ_PEG_FWD_REUT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>"c1852"</definedName>
    <definedName name="IQ_PERCENT_CHANGE_EST_5YR_GROWTH_RATE_18MONTHS">"c1853"</definedName>
    <definedName name="IQ_PERCENT_CHANGE_EST_5YR_GROWTH_RATE_3MONTHS">"c1849"</definedName>
    <definedName name="IQ_PERCENT_CHANGE_EST_5YR_GROWTH_RATE_6MONTHS">"c1850"</definedName>
    <definedName name="IQ_PERCENT_CHANGE_EST_5YR_GROWTH_RATE_9MONTHS">"c1851"</definedName>
    <definedName name="IQ_PERCENT_CHANGE_EST_5YR_GROWTH_RATE_DAY">"c1846"</definedName>
    <definedName name="IQ_PERCENT_CHANGE_EST_5YR_GROWTH_RATE_MONTH">"c1848"</definedName>
    <definedName name="IQ_PERCENT_CHANGE_EST_5YR_GROWTH_RATE_WEEK">"c1847"</definedName>
    <definedName name="IQ_PERCENT_CHANGE_EST_CFPS_12MONTHS">"c1812"</definedName>
    <definedName name="IQ_PERCENT_CHANGE_EST_CFPS_18MONTHS">"c1813"</definedName>
    <definedName name="IQ_PERCENT_CHANGE_EST_CFPS_3MONTHS">"c1809"</definedName>
    <definedName name="IQ_PERCENT_CHANGE_EST_CFPS_6MONTHS">"c1810"</definedName>
    <definedName name="IQ_PERCENT_CHANGE_EST_CFPS_9MONTHS">"c1811"</definedName>
    <definedName name="IQ_PERCENT_CHANGE_EST_CFPS_DAY">"c1806"</definedName>
    <definedName name="IQ_PERCENT_CHANGE_EST_CFPS_MONTH">"c1808"</definedName>
    <definedName name="IQ_PERCENT_CHANGE_EST_CFPS_WEEK">"c1807"</definedName>
    <definedName name="IQ_PERCENT_CHANGE_EST_DPS_12MONTHS">"c1820"</definedName>
    <definedName name="IQ_PERCENT_CHANGE_EST_DPS_18MONTHS">"c1821"</definedName>
    <definedName name="IQ_PERCENT_CHANGE_EST_DPS_3MONTHS">"c1817"</definedName>
    <definedName name="IQ_PERCENT_CHANGE_EST_DPS_6MONTHS">"c1818"</definedName>
    <definedName name="IQ_PERCENT_CHANGE_EST_DPS_9MONTHS">"c1819"</definedName>
    <definedName name="IQ_PERCENT_CHANGE_EST_DPS_DAY">"c1814"</definedName>
    <definedName name="IQ_PERCENT_CHANGE_EST_DPS_MONTH">"c1816"</definedName>
    <definedName name="IQ_PERCENT_CHANGE_EST_DPS_WEEK">"c1815"</definedName>
    <definedName name="IQ_PERCENT_CHANGE_EST_EBITDA_12MONTHS">"c1804"</definedName>
    <definedName name="IQ_PERCENT_CHANGE_EST_EBITDA_18MONTHS">"c1805"</definedName>
    <definedName name="IQ_PERCENT_CHANGE_EST_EBITDA_3MONTHS">"c1801"</definedName>
    <definedName name="IQ_PERCENT_CHANGE_EST_EBITDA_6MONTHS">"c1802"</definedName>
    <definedName name="IQ_PERCENT_CHANGE_EST_EBITDA_9MONTHS">"c1803"</definedName>
    <definedName name="IQ_PERCENT_CHANGE_EST_EBITDA_DAY">"c1798"</definedName>
    <definedName name="IQ_PERCENT_CHANGE_EST_EBITDA_MONTH">"c1800"</definedName>
    <definedName name="IQ_PERCENT_CHANGE_EST_EBITDA_WEEK">"c1799"</definedName>
    <definedName name="IQ_PERCENT_CHANGE_EST_EPS_12MONTHS">"c1788"</definedName>
    <definedName name="IQ_PERCENT_CHANGE_EST_EPS_18MONTHS">"c1789"</definedName>
    <definedName name="IQ_PERCENT_CHANGE_EST_EPS_3MONTHS">"c1785"</definedName>
    <definedName name="IQ_PERCENT_CHANGE_EST_EPS_6MONTHS">"c1786"</definedName>
    <definedName name="IQ_PERCENT_CHANGE_EST_EPS_9MONTHS">"c1787"</definedName>
    <definedName name="IQ_PERCENT_CHANGE_EST_EPS_DAY">"c1782"</definedName>
    <definedName name="IQ_PERCENT_CHANGE_EST_EPS_MONTH">"c1784"</definedName>
    <definedName name="IQ_PERCENT_CHANGE_EST_EPS_WEEK">"c1783"</definedName>
    <definedName name="IQ_PERCENT_CHANGE_EST_FFO_12MONTHS">"c1828"</definedName>
    <definedName name="IQ_PERCENT_CHANGE_EST_FFO_18MONTHS">"c1829"</definedName>
    <definedName name="IQ_PERCENT_CHANGE_EST_FFO_3MONTHS">"c1825"</definedName>
    <definedName name="IQ_PERCENT_CHANGE_EST_FFO_6MONTHS">"c1826"</definedName>
    <definedName name="IQ_PERCENT_CHANGE_EST_FFO_9MONTHS">"c1827"</definedName>
    <definedName name="IQ_PERCENT_CHANGE_EST_FFO_DAY">"c1822"</definedName>
    <definedName name="IQ_PERCENT_CHANGE_EST_FFO_MONTH">"c1824"</definedName>
    <definedName name="IQ_PERCENT_CHANGE_EST_FFO_WEEK">"c1823"</definedName>
    <definedName name="IQ_PERCENT_CHANGE_EST_PRICE_TARGET_12MONTHS">"c1844"</definedName>
    <definedName name="IQ_PERCENT_CHANGE_EST_PRICE_TARGET_18MONTHS">"c1845"</definedName>
    <definedName name="IQ_PERCENT_CHANGE_EST_PRICE_TARGET_3MONTHS">"c1841"</definedName>
    <definedName name="IQ_PERCENT_CHANGE_EST_PRICE_TARGET_6MONTHS">"c1842"</definedName>
    <definedName name="IQ_PERCENT_CHANGE_EST_PRICE_TARGET_9MONTHS">"c1843"</definedName>
    <definedName name="IQ_PERCENT_CHANGE_EST_PRICE_TARGET_DAY">"c1838"</definedName>
    <definedName name="IQ_PERCENT_CHANGE_EST_PRICE_TARGET_MONTH">"c1840"</definedName>
    <definedName name="IQ_PERCENT_CHANGE_EST_PRICE_TARGET_WEEK">"c1839"</definedName>
    <definedName name="IQ_PERCENT_CHANGE_EST_RECO_12MONTHS">"c1836"</definedName>
    <definedName name="IQ_PERCENT_CHANGE_EST_RECO_18MONTHS">"c1837"</definedName>
    <definedName name="IQ_PERCENT_CHANGE_EST_RECO_3MONTHS">"c1833"</definedName>
    <definedName name="IQ_PERCENT_CHANGE_EST_RECO_6MONTHS">"c1834"</definedName>
    <definedName name="IQ_PERCENT_CHANGE_EST_RECO_9MONTHS">"c1835"</definedName>
    <definedName name="IQ_PERCENT_CHANGE_EST_RECO_DAY">"c1830"</definedName>
    <definedName name="IQ_PERCENT_CHANGE_EST_RECO_MONTH">"c1832"</definedName>
    <definedName name="IQ_PERCENT_CHANGE_EST_RECO_WEEK">"c1831"</definedName>
    <definedName name="IQ_PERCENT_CHANGE_EST_REV_12MONTHS">"c1796"</definedName>
    <definedName name="IQ_PERCENT_CHANGE_EST_REV_18MONTHS">"c1797"</definedName>
    <definedName name="IQ_PERCENT_CHANGE_EST_REV_3MONTHS">"c1793"</definedName>
    <definedName name="IQ_PERCENT_CHANGE_EST_REV_6MONTHS">"c1794"</definedName>
    <definedName name="IQ_PERCENT_CHANGE_EST_REV_9MONTHS">"c1795"</definedName>
    <definedName name="IQ_PERCENT_CHANGE_EST_REV_DAY">"c1790"</definedName>
    <definedName name="IQ_PERCENT_CHANGE_EST_REV_MONTH">"c1792"</definedName>
    <definedName name="IQ_PERCENT_CHANGE_EST_REV_WEEK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>"c1855"</definedName>
    <definedName name="IQ_PRE_OPEN_COST" hidden="1">"c1040"</definedName>
    <definedName name="IQ_PRE_TAX_ACT_OR_EST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EST">"c1695"</definedName>
    <definedName name="IQ_PRETAX_INC_HIGH_EST">"c1697"</definedName>
    <definedName name="IQ_PRETAX_INC_LOW_EST">"c1698"</definedName>
    <definedName name="IQ_PRETAX_INC_MEDIAN_EST">"c1696"</definedName>
    <definedName name="IQ_PRETAX_INC_NUM_EST">"c1699"</definedName>
    <definedName name="IQ_PRETAX_INC_STDDEV_EST">"c1700"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ICE_CFPS_FWD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>"c4507"</definedName>
    <definedName name="IQ_RECURRING_PROFIT_SHARE_ACT_OR_EST">"c4508"</definedName>
    <definedName name="IQ_REDEEM_PREF_STOCK" hidden="1">"c1417"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>"c3634"</definedName>
    <definedName name="IQ_REVENUE_HIGH_EST" hidden="1">"c1127"</definedName>
    <definedName name="IQ_REVENUE_HIGH_EST_REUT">"c3636"</definedName>
    <definedName name="IQ_REVENUE_LOW_EST" hidden="1">"c1128"</definedName>
    <definedName name="IQ_REVENUE_LOW_EST_REUT">"c3637"</definedName>
    <definedName name="IQ_REVENUE_MEDIAN_EST" hidden="1">"c1662"</definedName>
    <definedName name="IQ_REVENUE_MEDIAN_EST_REUT">"c3635"</definedName>
    <definedName name="IQ_REVENUE_NUM_EST" hidden="1">"c1129"</definedName>
    <definedName name="IQ_REVENUE_NUM_EST_REUT">"c3638"</definedName>
    <definedName name="IQ_REVISION_DATE_" hidden="1">39406.4446296296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>"c5821"</definedName>
    <definedName name="IQ_SHARES_PURCHASED_QUARTER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W" hidden="1">"c2166"</definedName>
    <definedName name="IQ_STRIKE_PRICE_ISSUED" hidden="1">"c1645"</definedName>
    <definedName name="IQ_STRIKE_PRICE_OS" hidden="1">"c1646"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>"c5319"</definedName>
    <definedName name="IQ_TARGET_PRICE_STDDEV" hidden="1">"c1654"</definedName>
    <definedName name="IQ_TARGET_PRICE_STDDEV_REUT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CHURN" hidden="1">"c2122"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CHANGE_CONTROL" hidden="1">"c2365"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LOW_PCT" hidden="1">"c2350"</definedName>
    <definedName name="IQ_TR_TARGET_52WKHI_PCT" hidden="1">"c2351"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R_fiveyear">[7]PPS!$R$24:$X$32</definedName>
    <definedName name="IRR_threeyear">[7]PPS!$R$8:$X$16</definedName>
    <definedName name="IsColHidden">FALSE</definedName>
    <definedName name="IsLTMColHidden">FALSE</definedName>
    <definedName name="jj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K">[8]WV!$E$32</definedName>
    <definedName name="Laidlaw_AVP">[13]Hays_Consolidated_AVP!$C$2:$K$39</definedName>
    <definedName name="last12">'[6]Buy-in_1y'!$K$2:$K$8</definedName>
    <definedName name="last6">'[6]Buy-in_6mo'!$K$2:$K$8</definedName>
    <definedName name="laura1">'[6]Buy-in_1y'!$A$2:$C$132</definedName>
    <definedName name="LBO">#REF!,#REF!,#REF!</definedName>
    <definedName name="LBO_1">#REF!</definedName>
    <definedName name="LBO_2">#REF!</definedName>
    <definedName name="LBO_3">#REF!</definedName>
    <definedName name="LBO_4">#REF!</definedName>
    <definedName name="LBO_5">#REF!</definedName>
    <definedName name="LBO_6">#REF!</definedName>
    <definedName name="LBO_7">#REF!</definedName>
    <definedName name="LBO_8">#REF!</definedName>
    <definedName name="Length">'[20]DCF I (In)'!$G$105</definedName>
    <definedName name="LIBOR">#REF!</definedName>
    <definedName name="LTIP">'[7]NOSH—Mar 05'!$B$26:$F$33</definedName>
    <definedName name="man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Management_Share">[4]COCKPIT!$E$312</definedName>
    <definedName name="Management_Share_Out">[4]COCKPIT!$F$320</definedName>
    <definedName name="mans">{"quarterly",#N/A,FALSE,"Income Statement";#N/A,#N/A,FALSE,"print segment";#N/A,#N/A,FALSE,"Balance Sheet";#N/A,#N/A,FALSE,"Annl Inc";#N/A,#N/A,FALSE,"Cash Flow"}</definedName>
    <definedName name="MarginSens_Base">[7]DCF!$E$159:$K$166</definedName>
    <definedName name="Market">[14]Input!$B$8:$AE$131</definedName>
    <definedName name="me">"Button 5"</definedName>
    <definedName name="MEXICO_CASE" localSheetId="5">#REF!</definedName>
    <definedName name="MEXICO_CASE">#REF!</definedName>
    <definedName name="Month">'[21]Validation &amp; Graph Calcs'!$A$4:$A$15</definedName>
    <definedName name="mtr">[13]Hays_DealSheet!$L$22</definedName>
    <definedName name="mult">[6]FootballField!$B$34:$O$37</definedName>
    <definedName name="Multiples">[5]SOTP!$I$7:$M$14</definedName>
    <definedName name="n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SH">[4]COCKPIT!$I$54</definedName>
    <definedName name="o">[4]LBO!$G$353</definedName>
    <definedName name="Offer_Price">[4]COCKPIT!$I$38</definedName>
    <definedName name="ok">'[22]Error Check'!$C$71</definedName>
    <definedName name="oneyr">'[6]2yr &amp; 1yr share price'!$AB$10:$AG$272</definedName>
    <definedName name="Operating_profit_plus_D_A">[7]CFS!$B$9:$H$21</definedName>
    <definedName name="Options">'[7]NOSH—Mar 05'!$G$7:$L$35</definedName>
    <definedName name="Partner_Share">[4]COCKPIT!$D$88</definedName>
    <definedName name="Partner_Share_Out">[4]COCKPIT!$F$88</definedName>
    <definedName name="PE_bands">[7]PE_Bands!$L$14:$S$1693</definedName>
    <definedName name="PEER_SP">'[19]Share price performance'!$Q$10:$W$274</definedName>
    <definedName name="PEER_SP_GROWTH">'[19]Share price performance'!$Y$10:$AC$17</definedName>
    <definedName name="Pension_Adjusts">[7]Pension!$H$7:$M$16</definedName>
    <definedName name="Pension_Assumpt">[7]Pension!$B$24:$E$34</definedName>
    <definedName name="Pension_Cashcost">[7]Pension!$J$37:$L$39</definedName>
    <definedName name="Pension_Charges">[7]Pension!$B$40:$C$50</definedName>
    <definedName name="Pension_Liabs">[7]Pension!$B$7:$D$19</definedName>
    <definedName name="pensions">[7]Assumptions!$AC$3</definedName>
    <definedName name="Percent">[4]COCKPIT!$I$16</definedName>
    <definedName name="Perp">[4]COCKPIT!$D$80</definedName>
    <definedName name="PF_Financials">[13]PF_PPS!$B$11:$J$24</definedName>
    <definedName name="PF_Trading">[13]PF_PPS!$B$4:$G$9</definedName>
    <definedName name="print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_xlnm.Print_Area" localSheetId="5">' Financials'!$B$2:$W$80</definedName>
    <definedName name="_xlnm.Print_Area" localSheetId="3">Assumptions!$B$2:$L$25</definedName>
    <definedName name="_xlnm.Print_Area" localSheetId="1">'Cover sheet'!$B$2:$U$44</definedName>
    <definedName name="_xlnm.Print_Area" localSheetId="6">'DCF input'!$B$2:$U$128</definedName>
    <definedName name="Project_Summary">[5]LBO!$O$26:$U$34</definedName>
    <definedName name="Pul_USD_fins">[7]PPS!$C$88:$G$97</definedName>
    <definedName name="R_EV">[16]Valuation!$A$3:$E$21</definedName>
    <definedName name="R_EV_adj">[16]Valuation!$A$22:$B$32</definedName>
    <definedName name="R_F">[16]F!$M$10:$O$28</definedName>
    <definedName name="R_F2">[16]F!$D$10:$F$26</definedName>
    <definedName name="R_G1">[16]Operational!$A$7:$C$33</definedName>
    <definedName name="R_G2">[16]Operational!$D$7:$F$33</definedName>
    <definedName name="R_G3">[16]Operational!$G$7:$I$33</definedName>
    <definedName name="R_key_drivers">[16]Valuation!$N$44:$R$52</definedName>
    <definedName name="R_npv">[16]NPV!$G$47:$AF$47</definedName>
    <definedName name="range">'[6]Buy-in_6mo'!$H$2:$H$8</definedName>
    <definedName name="range_1">#REF!</definedName>
    <definedName name="range_16" localSheetId="5">#REF!</definedName>
    <definedName name="range_16">#REF!</definedName>
    <definedName name="range_17" localSheetId="5">#REF!</definedName>
    <definedName name="range_17">#REF!</definedName>
    <definedName name="range_18" localSheetId="5">#REF!</definedName>
    <definedName name="range_18">#REF!</definedName>
    <definedName name="range_2">#REF!</definedName>
    <definedName name="range_FF">#REF!</definedName>
    <definedName name="Range_Financials" localSheetId="5">' Financials'!#REF!</definedName>
    <definedName name="Range_Financials">#REF!</definedName>
    <definedName name="rate">[8]WV!$E$34</definedName>
    <definedName name="Recap_scenario">{"cap_structure",#N/A,FALSE,"Graph-Mkt Cap";"price",#N/A,FALSE,"Graph-Price";"ebit",#N/A,FALSE,"Graph-EBITDA";"ebitda",#N/A,FALSE,"Graph-EBITDA"}</definedName>
    <definedName name="refin">[7]DealSheet!$E$36</definedName>
    <definedName name="Relative_Mkt_Cap">[13]Hays_VED_MV!$B$8:$B$529,[13]Hays_VED_MV!$C$8:$C$529,[13]Hays_VED_MV!$F$8:$F$529</definedName>
    <definedName name="Relative_valuation">[16]Relative!$A$4:$O$33</definedName>
    <definedName name="RNG">[23]Edinburgh!$AA$10:$AM$109</definedName>
    <definedName name="roll_forward">[7]DealSheet!$F$14</definedName>
    <definedName name="s">[8]WV!$E$30</definedName>
    <definedName name="S_G1">[16]Operational!$K$7:$M$33</definedName>
    <definedName name="S_G2">[16]Operational!$N$7:$P$33</definedName>
    <definedName name="S_G3">[16]Operational!$Q$7:$S$33</definedName>
    <definedName name="S_U">#REF!</definedName>
    <definedName name="S1_BUYBACK_CASE" localSheetId="5">#REF!</definedName>
    <definedName name="S1_BUYBACK_CASE">#REF!</definedName>
    <definedName name="S1_CRSO_CASE" localSheetId="5">#REF!</definedName>
    <definedName name="S1_CRSO_CASE">#REF!</definedName>
    <definedName name="S1_EQUITY_RAISE_METHOD" localSheetId="5">#REF!</definedName>
    <definedName name="S1_EQUITY_RAISE_METHOD">#REF!</definedName>
    <definedName name="S1_RATINGS_CASE" localSheetId="5">#REF!</definedName>
    <definedName name="S1_RATINGS_CASE">#REF!</definedName>
    <definedName name="S1_WINECO_CASE" localSheetId="5">#REF!</definedName>
    <definedName name="S1_WINECO_CASE">#REF!</definedName>
    <definedName name="S2_BUYBACK_CASE" localSheetId="5">#REF!</definedName>
    <definedName name="S2_BUYBACK_CASE">#REF!</definedName>
    <definedName name="S2_EQUITY_RAISE_METHOD" localSheetId="5">#REF!</definedName>
    <definedName name="S2_EQUITY_RAISE_METHOD">#REF!</definedName>
    <definedName name="S2_RATINGS_CASE" localSheetId="5">#REF!</definedName>
    <definedName name="S2_RATINGS_CASE">#REF!</definedName>
    <definedName name="S3_EQUITY_RAISE_METHOD" localSheetId="5">#REF!</definedName>
    <definedName name="S3_EQUITY_RAISE_METHOD">#REF!</definedName>
    <definedName name="SAB_FINS_CASE" localSheetId="5">#REF!</definedName>
    <definedName name="SAB_FINS_CASE">#REF!</definedName>
    <definedName name="SAB_SP" localSheetId="5">#REF!</definedName>
    <definedName name="SAB_SP">#REF!</definedName>
    <definedName name="SandU">[7]LBO!$BP$49:$BU$67</definedName>
    <definedName name="SAPBEXrevision">18</definedName>
    <definedName name="SAPBEXsysID">"BWG"</definedName>
    <definedName name="SAPBEXwbID">"3LG2HDNOMZXXPT5GCGTKWGJ0B"</definedName>
    <definedName name="SC_Disposal">[4]COCKPIT!$D$104</definedName>
    <definedName name="SC_Disposals">[4]COCKPIT!$D$104</definedName>
    <definedName name="SC_trans_date">'[4]Specialty Chem Cluster_COCKPIT'!$E$10</definedName>
    <definedName name="scenario">[22]Scenarios!$H$6</definedName>
    <definedName name="ScenarioSwitch">'[20]DCF I (In)'!$Q$99</definedName>
    <definedName name="sellers">[7]PPS!$C$31:$D$36</definedName>
    <definedName name="sencount">1</definedName>
    <definedName name="Sensitivity_tables">[5]LBO!$B$302:$H$333</definedName>
    <definedName name="SGRF_Share">[4]COCKPIT!$D$87</definedName>
    <definedName name="SGRF_Share_Out">[4]COCKPIT!$F$87</definedName>
    <definedName name="SHAD">[23]Dundee!$Z$10:$AL$111</definedName>
    <definedName name="share_box">[7]PPS!$I$25:$K$31</definedName>
    <definedName name="Ship_Sales_EBITDA">[5]Ships!$B$121:$H$128</definedName>
    <definedName name="Ship_WACC_TV">[5]Ships!$B$111:$H$118</definedName>
    <definedName name="SO_trans_date">'[4]Stdalone Other Cluster_COCKPIT'!$E$10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</definedName>
    <definedName name="solver_nwt">1</definedName>
    <definedName name="solver_pre">0.1</definedName>
    <definedName name="solver_rel1">2</definedName>
    <definedName name="solver_rel2">2</definedName>
    <definedName name="solver_rhs1">7</definedName>
    <definedName name="solver_rhs2">7</definedName>
    <definedName name="solver_scl">2</definedName>
    <definedName name="solver_sho">2</definedName>
    <definedName name="solver_tim">100</definedName>
    <definedName name="solver_tol">0.1</definedName>
    <definedName name="solver_typ">3</definedName>
    <definedName name="solver_val">7</definedName>
    <definedName name="SOP1_S">[3]V!$K$8:$K$19</definedName>
    <definedName name="SOP2_S">[3]V!$K$19:$K$24</definedName>
    <definedName name="sopval">'[6]sop valuation'!$C$2:$M$13</definedName>
    <definedName name="SOTP">[5]SOTP!$B$7:$G$19</definedName>
    <definedName name="Sources_Uses">[4]COCKPIT!$C$127:$M$147</definedName>
    <definedName name="sp">'[6]Buy-in_1y'!$D$8:$E$269</definedName>
    <definedName name="SP_Disposal">[4]COCKPIT!$D$105</definedName>
    <definedName name="SP_Disposals">[4]COCKPIT!$D$105</definedName>
    <definedName name="SP_trans_date">'[4]Specialty Plast Cluster_COCKPIT'!$E$10</definedName>
    <definedName name="sssssss">'[24]DCF I (In)'!$I$119</definedName>
    <definedName name="sssssssssssssssssssssssssssssss">'[24]DCF I (In)'!$A$117</definedName>
    <definedName name="Stand_Disposal">[4]COCKPIT!$D$103</definedName>
    <definedName name="Stub">[25]Combined!$H$9</definedName>
    <definedName name="stub_period">'[22]Inc Statement'!$I$9</definedName>
    <definedName name="stubb1">[5]LBO!$E$26</definedName>
    <definedName name="Sub_Sales_EBITDA">[5]Submarine!$B$121:$H$128</definedName>
    <definedName name="Sub_WACC_TV">[5]Submarine!$B$111:$H$118</definedName>
    <definedName name="sum">[6]Contribution!$B$4:$J$29</definedName>
    <definedName name="summ_DCFfins">[7]PPS!$C$102:$Q$127</definedName>
    <definedName name="summ_fins">[7]PPS!$C$41:$G$69</definedName>
    <definedName name="Summary_financials">[5]LBO!$B$255:$P$298</definedName>
    <definedName name="Sunil">[4]LBO!$A$1</definedName>
    <definedName name="sweep">[5]Debt!$D$27</definedName>
    <definedName name="SwitchDiscount">'[20]DCF I (In)'!$A$125</definedName>
    <definedName name="SwitchExit">'[20]DCF I (In)'!$I$119</definedName>
    <definedName name="SwitchListed">'[20]DCF I (In)'!$A$117</definedName>
    <definedName name="synergy">[7]PPS!$C$149:$F$156</definedName>
    <definedName name="Synergy_Sensitivity">'[5]Babcock synergies'!$C$36:$J$44</definedName>
    <definedName name="SYNERGIES_CASE" localSheetId="5">#REF!</definedName>
    <definedName name="SYNERGIES_CASE">#REF!</definedName>
    <definedName name="Synergies_Table_2">'[5]Babcock synergies'!$C$38:$J$44</definedName>
    <definedName name="t">[8]WV!$E$31</definedName>
    <definedName name="Table_20">[4]LBO!$R$360:$Z$370</definedName>
    <definedName name="Table_21">[4]LBO!$B$315:$T$351</definedName>
    <definedName name="Table_22">[4]LBO!$B$78:$R$100</definedName>
    <definedName name="Table_23">[4]COCKPIT!$B$152:$D$161</definedName>
    <definedName name="Table_24">[4]COCKPIT!$K$152:$N$161</definedName>
    <definedName name="table1">'[6]Buy-in_1y'!$I$38:$K$41</definedName>
    <definedName name="table2">'[6]Buy-in_6mo'!$I$38:$K$41</definedName>
    <definedName name="takeout">[6]TAKEOUT_ANALYSIS!$B$4:$M$29</definedName>
    <definedName name="Targ_IRR_3year">[7]LBO!$AT$64:$AZ$70</definedName>
    <definedName name="Tax_rate">[13]Hays_DealSheet!$L$22</definedName>
    <definedName name="Temp1">{"quarterly",#N/A,FALSE,"Income Statement";#N/A,#N/A,FALSE,"print segment";#N/A,#N/A,FALSE,"Balance Sheet";#N/A,#N/A,FALSE,"Annl Inc";#N/A,#N/A,FALSE,"Cash Flow"}</definedName>
    <definedName name="TVandWACC_FV">[7]DCF!$M$102:$Q$106</definedName>
    <definedName name="TVandWACC_ImpliedMultiples">[7]DCF!$AN$111:$AT$117</definedName>
    <definedName name="TVandWACC_OfferPrice">[7]DCF!$AN$100:$AT$106</definedName>
    <definedName name="twoyr">'[6]2yr &amp; 1yr share price'!$K$10:$P$532</definedName>
    <definedName name="Three_IRR_EBITA">[7]PPS!$R$60:$X$68</definedName>
    <definedName name="Three_MM">[7]PPS!$R$74:$X$82</definedName>
    <definedName name="Trans_Date">[4]COCKPIT!$I$13</definedName>
    <definedName name="update">'[22]Error Check'!$I$71</definedName>
    <definedName name="Upside_case_EV">[3]V!$B$16:$G$27</definedName>
    <definedName name="v">[8]WV!$E$33</definedName>
    <definedName name="val">[3]F!$B$8:$B$30,[3]F!$M$9,[3]F!$M$9:$O$30</definedName>
    <definedName name="Val_data">[3]F!$D$10:$F$25</definedName>
    <definedName name="val_mult">[3]F!$B$34:$O$36</definedName>
    <definedName name="Valuation">[5]Valuation!$B$7:$G$12</definedName>
    <definedName name="Various_Nosh">'[7]NOSH—Mar 05'!$Q$7:$W$12</definedName>
    <definedName name="Ved_exchange_rate">[13]Ved_Financials_Cal!$M$2</definedName>
    <definedName name="Ved_exchange_ratio">[13]Ved_Financials_Cal!$M$2</definedName>
    <definedName name="Ved_Financials">[13]Ved_PPS!$B$18:$J$34</definedName>
    <definedName name="Ved_Trading">[13]Ved_PPS!$B$4:$I$16</definedName>
    <definedName name="Vedior_exchange_rate">[13]Ved_Financials_Cal!$M$2</definedName>
    <definedName name="Vedior_Graph">[13]Shr_Graphs!$J$8:$K$530,[13]Shr_Graphs!$N$8:$N$530</definedName>
    <definedName name="WACC">[5]DCF!$E$10</definedName>
    <definedName name="WACC_calculation">[9]Summary!$G$5:$K$25</definedName>
    <definedName name="WACC1">'[5]VT DCF'!$E$10</definedName>
    <definedName name="Wil_USD_fins">[7]PPS!$C$74:$G$83</definedName>
    <definedName name="wrn.Accounts._.and._.Assumptions.">{"S&amp;U",#N/A,FALSE,"s&amp;u";"financing",#N/A,FALSE,"Input";"financing2",#N/A,FALSE,"Input";"Balance Sheet",#N/A,FALSE,"BS";"P&amp;L",#N/A,FALSE,"P&amp;L";"Cashflow",#N/A,FALSE,"CF"}</definedName>
    <definedName name="wrn.ALL.">{#N/A,#N/A,FALSE,"DCF";#N/A,#N/A,FALSE,"WACC";#N/A,#N/A,FALSE,"Sales_EBIT";#N/A,#N/A,FALSE,"Capex_Depreciation";#N/A,#N/A,FALSE,"WC";#N/A,#N/A,FALSE,"Interest";#N/A,#N/A,FALSE,"Assumptions"}</definedName>
    <definedName name="wrn.Complete._.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venants.">{"Covenants",#N/A,FALSE,"Covs";"quarterly covenants",#N/A,FALSE,"Covs";"quarterly projections",#N/A,FALSE,"Covs"}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DCFEpervier.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Earnings._.Model.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forecast.">{#N/A,#N/A,FALSE,"model"}</definedName>
    <definedName name="wrn.forecast2">{#N/A,#N/A,FALSE,"model"}</definedName>
    <definedName name="wrn.forecastassumptions.">{#N/A,#N/A,FALSE,"model"}</definedName>
    <definedName name="wrn.forecastassumptions2">{#N/A,#N/A,FALSE,"model"}</definedName>
    <definedName name="wrn.forecastROIC.">{#N/A,#N/A,FALSE,"model"}</definedName>
    <definedName name="wrn.forecastROIC2">{#N/A,#N/A,FALSE,"model"}</definedName>
    <definedName name="wrn.Full.">{"front",#N/A,FALSE,"Cover";"S&amp;U",#N/A,FALSE,"s&amp;u";"financing",#N/A,FALSE,"Input";"financing2",#N/A,FALSE,"Input";"Ratios",#N/A,FALSE,"Ratios";"P&amp;L",#N/A,FALSE,"P&amp;L";"Cashflow",#N/A,FALSE,"CF";"Balance Sheet",#N/A,FALSE,"BS";"Exit Cap",#N/A,FALSE,"Rets";"Returns",#N/A,FALSE,"Rets";"Covenants",#N/A,FALSE,"Covs";"input1",#N/A,FALSE,"Input";"input2",#N/A,FALSE,"Input";"input3",#N/A,FALSE,"Input";"graph",#N/A,FALSE,"Graphs"}</definedName>
    <definedName name="wrn.Full._.Print.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wrn.handout.">{"quarterly",#N/A,FALSE,"Income Statement New CPB";"annual",#N/A,FALSE,"Income Statement New CPB";"cash flow",#N/A,FALSE,"Cash Flow";"balance",#N/A,FALSE,"Balance Sheet";"seg",#N/A,FALSE,"New Segment Breakout"}</definedName>
    <definedName name="wrn.history.">{#N/A,#N/A,FALSE,"model"}</definedName>
    <definedName name="wrn.history2">{#N/A,#N/A,FALSE,"model"}</definedName>
    <definedName name="wrn.histROIC.">{#N/A,#N/A,FALSE,"model"}</definedName>
    <definedName name="wrn.histROIC2">{#N/A,#N/A,FALSE,"model"}</definedName>
    <definedName name="wrn.market._.share.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PRINT.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wrn.print._.graphs.">{"cap_structure",#N/A,FALSE,"Graph-Mkt Cap";"price",#N/A,FALSE,"Graph-Price";"ebit",#N/A,FALSE,"Graph-EBITDA";"ebitda",#N/A,FALSE,"Graph-EBITDA"}</definedName>
    <definedName name="wrn.print._.raw._.data._.entry.">{"inputs raw data",#N/A,TRUE,"INPUT"}</definedName>
    <definedName name="wrn.print._.summary._.sheets.">{"summary1",#N/A,TRUE,"Comps";"summary2",#N/A,TRUE,"Comps";"summary3",#N/A,TRUE,"Comps"}</definedName>
    <definedName name="wrn.Print_model.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Short._.Print.">{#N/A,#N/A,FALSE,"Summary";#N/A,#N/A,FALSE,"Returns";#N/A,#N/A,FALSE,"Opening BS";#N/A,#N/A,FALSE,"EMO";#N/A,#N/A,FALSE,"BS";#N/A,#N/A,FALSE,"IS";#N/A,#N/A,FALSE,"Metalworking IS";#N/A,#N/A,FALSE,"CFS";#N/A,#N/A,FALSE,"Ratios"}</definedName>
    <definedName name="wrn.Summary.">{"front",#N/A,TRUE,"Cover";"P&amp;L",#N/A,TRUE,"P&amp;L";"Balance Sheet",#N/A,TRUE,"BS";"Cashflow",#N/A,TRUE,"CF";"Exit Cap",#N/A,TRUE,"Rets";"Returns",#N/A,TRUE,"Rets";"S&amp;U",#N/A,TRUE,"s&amp;u"}</definedName>
    <definedName name="wrn1.history">{#N/A,#N/A,FALSE,"model"}</definedName>
    <definedName name="wrn3.histroic">{#N/A,#N/A,FALSE,"model"}</definedName>
    <definedName name="WSMI_Sales_EBITDA">[5]WSMI!$C$123:$H$128</definedName>
    <definedName name="WSMI_WACC_TV">[5]WSMI!$C$113:$H$118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str">'[6]xstrata as %'!$G$8:$J$874</definedName>
    <definedName name="xx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year_days">[4]COCKPIT!$X$13</definedName>
    <definedName name="year2">'[6]Share price_2years'!$L$7:$Q$531</definedName>
    <definedName name="ZZZ">{"AR",#N/A,FALSE,"ASMGTSUM";"INV",#N/A,FALSE,"ASMGTSUM";"HCCOMP",#N/A,FALSE,"ASMGTSUM";"cap.depr",#N/A,FALSE,"ASMGTSUM"}</definedName>
  </definedNames>
  <calcPr calcId="191028" iterate="1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0" i="31" l="1"/>
  <c r="H50" i="31"/>
  <c r="I50" i="31"/>
  <c r="J50" i="31"/>
  <c r="K50" i="31"/>
  <c r="L50" i="31"/>
  <c r="M50" i="31"/>
  <c r="F50" i="31"/>
  <c r="G59" i="31"/>
  <c r="H59" i="31"/>
  <c r="I59" i="31"/>
  <c r="J59" i="31"/>
  <c r="K59" i="31"/>
  <c r="L59" i="31"/>
  <c r="M59" i="31"/>
  <c r="N59" i="31"/>
  <c r="F59" i="31"/>
  <c r="G58" i="31"/>
  <c r="H58" i="31"/>
  <c r="I58" i="31"/>
  <c r="J58" i="31"/>
  <c r="K58" i="31"/>
  <c r="L58" i="31"/>
  <c r="M58" i="31"/>
  <c r="N58" i="31"/>
  <c r="O58" i="31"/>
  <c r="P58" i="31"/>
  <c r="Q58" i="31"/>
  <c r="R58" i="31"/>
  <c r="S58" i="31"/>
  <c r="F58" i="31"/>
  <c r="G56" i="31"/>
  <c r="H56" i="31"/>
  <c r="I56" i="31"/>
  <c r="J56" i="31"/>
  <c r="K56" i="31"/>
  <c r="L56" i="31"/>
  <c r="M56" i="31"/>
  <c r="N56" i="31"/>
  <c r="F56" i="31"/>
  <c r="G55" i="31"/>
  <c r="H55" i="31"/>
  <c r="I55" i="31"/>
  <c r="J55" i="31"/>
  <c r="K55" i="31"/>
  <c r="L55" i="31"/>
  <c r="M55" i="31"/>
  <c r="N55" i="31"/>
  <c r="O55" i="31"/>
  <c r="P55" i="31"/>
  <c r="Q55" i="31"/>
  <c r="R55" i="31"/>
  <c r="S55" i="31"/>
  <c r="F55" i="31"/>
  <c r="F53" i="31"/>
  <c r="G52" i="31"/>
  <c r="H52" i="31"/>
  <c r="I52" i="31"/>
  <c r="J52" i="31"/>
  <c r="K52" i="31"/>
  <c r="L52" i="31"/>
  <c r="M52" i="31"/>
  <c r="N52" i="31"/>
  <c r="F52" i="31"/>
  <c r="G49" i="31"/>
  <c r="H49" i="31"/>
  <c r="I49" i="31"/>
  <c r="J49" i="31"/>
  <c r="K49" i="31"/>
  <c r="L49" i="31"/>
  <c r="M49" i="31"/>
  <c r="N49" i="31"/>
  <c r="F49" i="31"/>
  <c r="G48" i="31"/>
  <c r="H48" i="31"/>
  <c r="I48" i="31"/>
  <c r="J48" i="31"/>
  <c r="K48" i="31"/>
  <c r="L48" i="31"/>
  <c r="M48" i="31"/>
  <c r="N48" i="31"/>
  <c r="O48" i="31"/>
  <c r="P48" i="31"/>
  <c r="Q48" i="31"/>
  <c r="R48" i="31"/>
  <c r="S48" i="31"/>
  <c r="F48" i="31"/>
  <c r="K46" i="31"/>
  <c r="L46" i="31"/>
  <c r="M46" i="31"/>
  <c r="J46" i="31"/>
  <c r="K44" i="31"/>
  <c r="L44" i="31"/>
  <c r="M44" i="31"/>
  <c r="J44" i="31"/>
  <c r="J43" i="31"/>
  <c r="K43" i="31"/>
  <c r="L43" i="31"/>
  <c r="M43" i="31"/>
  <c r="I43" i="31"/>
  <c r="J42" i="31"/>
  <c r="K42" i="31"/>
  <c r="L42" i="31"/>
  <c r="M42" i="31"/>
  <c r="I42" i="31"/>
  <c r="J39" i="31"/>
  <c r="K39" i="31"/>
  <c r="L39" i="31"/>
  <c r="M39" i="31"/>
  <c r="I39" i="31"/>
  <c r="J40" i="31"/>
  <c r="K40" i="31"/>
  <c r="L40" i="31"/>
  <c r="M40" i="31"/>
  <c r="N40" i="31"/>
  <c r="O40" i="31"/>
  <c r="P40" i="31"/>
  <c r="Q40" i="31"/>
  <c r="R40" i="31"/>
  <c r="S40" i="31"/>
  <c r="I40" i="31"/>
  <c r="H37" i="31"/>
  <c r="I37" i="31"/>
  <c r="J37" i="31"/>
  <c r="K37" i="31"/>
  <c r="L37" i="31"/>
  <c r="M37" i="31"/>
  <c r="G37" i="31"/>
  <c r="G36" i="31"/>
  <c r="H36" i="31"/>
  <c r="I36" i="31"/>
  <c r="J36" i="31"/>
  <c r="K36" i="31"/>
  <c r="L36" i="31"/>
  <c r="M36" i="31"/>
  <c r="F36" i="31"/>
  <c r="G33" i="31"/>
  <c r="H33" i="31"/>
  <c r="I33" i="31"/>
  <c r="J33" i="31"/>
  <c r="K33" i="31"/>
  <c r="L33" i="31"/>
  <c r="M33" i="31"/>
  <c r="F33" i="31"/>
  <c r="G32" i="31"/>
  <c r="H32" i="31"/>
  <c r="I32" i="31"/>
  <c r="J32" i="31"/>
  <c r="K32" i="31"/>
  <c r="L32" i="31"/>
  <c r="M32" i="31"/>
  <c r="F32" i="31"/>
  <c r="G31" i="31"/>
  <c r="H31" i="31"/>
  <c r="I31" i="31"/>
  <c r="J31" i="31"/>
  <c r="K31" i="31"/>
  <c r="L31" i="31"/>
  <c r="M31" i="31"/>
  <c r="F31" i="31"/>
  <c r="H29" i="31"/>
  <c r="I29" i="31"/>
  <c r="J29" i="31"/>
  <c r="K29" i="31"/>
  <c r="L29" i="31"/>
  <c r="M29" i="31"/>
  <c r="G29" i="31"/>
  <c r="G28" i="31"/>
  <c r="H28" i="31"/>
  <c r="I28" i="31"/>
  <c r="J28" i="31"/>
  <c r="K28" i="31"/>
  <c r="L28" i="31"/>
  <c r="M28" i="31"/>
  <c r="F28" i="31"/>
  <c r="G27" i="31"/>
  <c r="H27" i="31"/>
  <c r="I27" i="31"/>
  <c r="J27" i="31"/>
  <c r="K27" i="31"/>
  <c r="L27" i="31"/>
  <c r="M27" i="31"/>
  <c r="F27" i="31"/>
  <c r="G24" i="31"/>
  <c r="H24" i="31"/>
  <c r="I24" i="31"/>
  <c r="J24" i="31"/>
  <c r="K24" i="31"/>
  <c r="L24" i="31"/>
  <c r="M24" i="31"/>
  <c r="N24" i="31"/>
  <c r="F24" i="31"/>
  <c r="H25" i="31"/>
  <c r="I25" i="31"/>
  <c r="J25" i="31"/>
  <c r="K25" i="31"/>
  <c r="L25" i="31"/>
  <c r="M25" i="31"/>
  <c r="N25" i="31"/>
  <c r="G25" i="31"/>
  <c r="R40" i="45"/>
  <c r="S40" i="45"/>
  <c r="T40" i="45"/>
  <c r="U40" i="45"/>
  <c r="V40" i="45"/>
  <c r="Q40" i="45"/>
  <c r="R49" i="45"/>
  <c r="S49" i="45"/>
  <c r="T49" i="45"/>
  <c r="U49" i="45"/>
  <c r="V49" i="45"/>
  <c r="Q49" i="45"/>
  <c r="M49" i="45"/>
  <c r="N49" i="45"/>
  <c r="O49" i="45"/>
  <c r="P49" i="45"/>
  <c r="L49" i="45"/>
  <c r="M53" i="45"/>
  <c r="N53" i="45"/>
  <c r="O53" i="45"/>
  <c r="P53" i="45"/>
  <c r="L53" i="45"/>
  <c r="M45" i="45"/>
  <c r="N45" i="45"/>
  <c r="O45" i="45"/>
  <c r="P45" i="45"/>
  <c r="L45" i="45"/>
  <c r="L22" i="45"/>
  <c r="M22" i="45"/>
  <c r="N22" i="45"/>
  <c r="O22" i="45"/>
  <c r="P22" i="45"/>
  <c r="M40" i="45"/>
  <c r="N40" i="45"/>
  <c r="O40" i="45"/>
  <c r="P40" i="45"/>
  <c r="L40" i="45"/>
  <c r="M20" i="45"/>
  <c r="N20" i="45"/>
  <c r="O20" i="45"/>
  <c r="P20" i="45"/>
  <c r="L20" i="45"/>
  <c r="M16" i="45"/>
  <c r="N16" i="45"/>
  <c r="O16" i="45"/>
  <c r="P16" i="45"/>
  <c r="L16" i="45"/>
  <c r="M12" i="45"/>
  <c r="N12" i="45"/>
  <c r="O12" i="45"/>
  <c r="P12" i="45"/>
  <c r="L12" i="45"/>
  <c r="K33" i="45"/>
  <c r="J33" i="45"/>
  <c r="I33" i="45"/>
  <c r="H33" i="45"/>
  <c r="G33" i="45"/>
  <c r="F33" i="45"/>
  <c r="K32" i="45"/>
  <c r="J32" i="45"/>
  <c r="I32" i="45"/>
  <c r="H32" i="45"/>
  <c r="G32" i="45"/>
  <c r="F32" i="45"/>
  <c r="E19" i="9" l="1"/>
  <c r="D111" i="31" l="1"/>
  <c r="D22" i="31"/>
  <c r="C9" i="45"/>
  <c r="G76" i="45" l="1"/>
  <c r="H76" i="45"/>
  <c r="I76" i="45"/>
  <c r="J76" i="45"/>
  <c r="K76" i="45"/>
  <c r="Q76" i="45"/>
  <c r="G78" i="45"/>
  <c r="H78" i="45"/>
  <c r="I78" i="45"/>
  <c r="J78" i="45"/>
  <c r="K78" i="45"/>
  <c r="Q78" i="45"/>
  <c r="F76" i="45"/>
  <c r="F78" i="45"/>
  <c r="R53" i="45"/>
  <c r="R54" i="45" s="1"/>
  <c r="O78" i="45"/>
  <c r="P78" i="45"/>
  <c r="L54" i="45"/>
  <c r="R76" i="45"/>
  <c r="M76" i="45"/>
  <c r="N76" i="45"/>
  <c r="Q50" i="45"/>
  <c r="K55" i="45"/>
  <c r="J55" i="45"/>
  <c r="I55" i="45"/>
  <c r="H55" i="45"/>
  <c r="G55" i="45"/>
  <c r="F55" i="45"/>
  <c r="K54" i="45"/>
  <c r="J54" i="45"/>
  <c r="I54" i="45"/>
  <c r="H54" i="45"/>
  <c r="G54" i="45"/>
  <c r="F54" i="45"/>
  <c r="K51" i="45"/>
  <c r="J51" i="45"/>
  <c r="I51" i="45"/>
  <c r="H51" i="45"/>
  <c r="G51" i="45"/>
  <c r="F51" i="45"/>
  <c r="K50" i="45"/>
  <c r="J50" i="45"/>
  <c r="I50" i="45"/>
  <c r="H50" i="45"/>
  <c r="G50" i="45"/>
  <c r="F50" i="45"/>
  <c r="G125" i="31" l="1"/>
  <c r="F125" i="31"/>
  <c r="V76" i="45"/>
  <c r="H124" i="31"/>
  <c r="R50" i="45"/>
  <c r="G124" i="31"/>
  <c r="F124" i="31"/>
  <c r="N24" i="40"/>
  <c r="N78" i="45"/>
  <c r="R78" i="45"/>
  <c r="P76" i="45"/>
  <c r="L76" i="45"/>
  <c r="P54" i="45"/>
  <c r="M78" i="45"/>
  <c r="S53" i="45"/>
  <c r="S54" i="45" s="1"/>
  <c r="O76" i="45"/>
  <c r="L78" i="45"/>
  <c r="H125" i="31"/>
  <c r="P50" i="45"/>
  <c r="N50" i="45"/>
  <c r="O54" i="45"/>
  <c r="O50" i="45"/>
  <c r="Q54" i="45"/>
  <c r="M54" i="45"/>
  <c r="N54" i="45"/>
  <c r="L50" i="45"/>
  <c r="M50" i="45"/>
  <c r="T50" i="45" l="1"/>
  <c r="U50" i="45"/>
  <c r="V50" i="45"/>
  <c r="U76" i="45"/>
  <c r="S50" i="45"/>
  <c r="T76" i="45"/>
  <c r="S76" i="45"/>
  <c r="N125" i="31"/>
  <c r="J124" i="31"/>
  <c r="I125" i="31"/>
  <c r="N26" i="40"/>
  <c r="N124" i="31"/>
  <c r="M24" i="40"/>
  <c r="K125" i="31"/>
  <c r="I124" i="31"/>
  <c r="S78" i="45"/>
  <c r="T53" i="45"/>
  <c r="K24" i="40" l="1"/>
  <c r="J26" i="40"/>
  <c r="L125" i="31"/>
  <c r="L24" i="40"/>
  <c r="K26" i="40"/>
  <c r="K124" i="31"/>
  <c r="O26" i="40"/>
  <c r="O124" i="31"/>
  <c r="L26" i="40"/>
  <c r="L124" i="31"/>
  <c r="M125" i="31"/>
  <c r="J125" i="31"/>
  <c r="J24" i="40"/>
  <c r="T54" i="45"/>
  <c r="T78" i="45"/>
  <c r="U53" i="45"/>
  <c r="M124" i="31" l="1"/>
  <c r="M26" i="40"/>
  <c r="U78" i="45"/>
  <c r="V53" i="45"/>
  <c r="U54" i="45"/>
  <c r="P124" i="31" l="1"/>
  <c r="P26" i="40"/>
  <c r="V54" i="45"/>
  <c r="V78" i="45"/>
  <c r="Q26" i="40" l="1"/>
  <c r="Q124" i="31"/>
  <c r="R26" i="40" l="1"/>
  <c r="R124" i="31"/>
  <c r="S26" i="40" l="1"/>
  <c r="S124" i="31"/>
  <c r="C16" i="45"/>
  <c r="G43" i="45" l="1"/>
  <c r="H43" i="45"/>
  <c r="I43" i="45"/>
  <c r="J43" i="45"/>
  <c r="K43" i="45"/>
  <c r="F43" i="45"/>
  <c r="K72" i="45" l="1"/>
  <c r="J72" i="45"/>
  <c r="I72" i="45"/>
  <c r="H72" i="45"/>
  <c r="G72" i="45"/>
  <c r="F72" i="45"/>
  <c r="K71" i="45"/>
  <c r="J71" i="45"/>
  <c r="I71" i="45"/>
  <c r="H71" i="45"/>
  <c r="G71" i="45"/>
  <c r="F71" i="45"/>
  <c r="K68" i="45"/>
  <c r="J68" i="45"/>
  <c r="I68" i="45"/>
  <c r="H68" i="45"/>
  <c r="G68" i="45"/>
  <c r="F68" i="45"/>
  <c r="K62" i="45"/>
  <c r="J62" i="45"/>
  <c r="I62" i="45"/>
  <c r="H62" i="45"/>
  <c r="G62" i="45"/>
  <c r="F62" i="45"/>
  <c r="F63" i="45" s="1"/>
  <c r="K60" i="45"/>
  <c r="J60" i="45"/>
  <c r="I60" i="45"/>
  <c r="H60" i="45"/>
  <c r="G60" i="45"/>
  <c r="F60" i="45"/>
  <c r="F58" i="45"/>
  <c r="M46" i="45"/>
  <c r="K45" i="45"/>
  <c r="K74" i="45" s="1"/>
  <c r="K75" i="45" s="1"/>
  <c r="J45" i="45"/>
  <c r="J47" i="45" s="1"/>
  <c r="I45" i="45"/>
  <c r="I74" i="45" s="1"/>
  <c r="I75" i="45" s="1"/>
  <c r="H45" i="45"/>
  <c r="G45" i="45"/>
  <c r="G74" i="45" s="1"/>
  <c r="G75" i="45" s="1"/>
  <c r="F45" i="45"/>
  <c r="F74" i="45" s="1"/>
  <c r="F75" i="45" s="1"/>
  <c r="K42" i="45"/>
  <c r="J42" i="45"/>
  <c r="I42" i="45"/>
  <c r="H42" i="45"/>
  <c r="G42" i="45"/>
  <c r="F42" i="45"/>
  <c r="K41" i="45"/>
  <c r="J41" i="45"/>
  <c r="I41" i="45"/>
  <c r="H41" i="45"/>
  <c r="G41" i="45"/>
  <c r="F41" i="45"/>
  <c r="K27" i="45"/>
  <c r="J27" i="45"/>
  <c r="I27" i="45"/>
  <c r="H27" i="45"/>
  <c r="G27" i="45"/>
  <c r="F27" i="45"/>
  <c r="K26" i="45"/>
  <c r="J26" i="45"/>
  <c r="I26" i="45"/>
  <c r="H26" i="45"/>
  <c r="G26" i="45"/>
  <c r="F26" i="45"/>
  <c r="K20" i="45"/>
  <c r="K23" i="45" s="1"/>
  <c r="J20" i="45"/>
  <c r="I20" i="45"/>
  <c r="I23" i="45" s="1"/>
  <c r="H20" i="45"/>
  <c r="H23" i="45" s="1"/>
  <c r="G20" i="45"/>
  <c r="G23" i="45" s="1"/>
  <c r="F20" i="45"/>
  <c r="K17" i="45"/>
  <c r="J17" i="45"/>
  <c r="I17" i="45"/>
  <c r="H17" i="45"/>
  <c r="G17" i="45"/>
  <c r="F17" i="45"/>
  <c r="G9" i="45"/>
  <c r="H9" i="45" s="1"/>
  <c r="F10" i="44"/>
  <c r="E10" i="44"/>
  <c r="D10" i="44"/>
  <c r="C10" i="44"/>
  <c r="B10" i="44"/>
  <c r="F8" i="44"/>
  <c r="E8" i="44"/>
  <c r="D8" i="44"/>
  <c r="C8" i="44"/>
  <c r="B8" i="44"/>
  <c r="F6" i="44"/>
  <c r="E6" i="44"/>
  <c r="D6" i="44"/>
  <c r="C6" i="44"/>
  <c r="K65" i="45" l="1"/>
  <c r="K67" i="45" s="1"/>
  <c r="H69" i="45"/>
  <c r="H61" i="45"/>
  <c r="H79" i="45"/>
  <c r="H77" i="45"/>
  <c r="I77" i="45"/>
  <c r="I79" i="45"/>
  <c r="F61" i="45"/>
  <c r="F77" i="45"/>
  <c r="F79" i="45"/>
  <c r="J77" i="45"/>
  <c r="J79" i="45"/>
  <c r="G22" i="45"/>
  <c r="G79" i="45"/>
  <c r="G77" i="45"/>
  <c r="K77" i="45"/>
  <c r="K79" i="45"/>
  <c r="K22" i="45"/>
  <c r="G69" i="45"/>
  <c r="J69" i="45"/>
  <c r="I73" i="45"/>
  <c r="I64" i="45"/>
  <c r="G73" i="45"/>
  <c r="P13" i="45"/>
  <c r="C11" i="44"/>
  <c r="E11" i="44"/>
  <c r="B13" i="44"/>
  <c r="L31" i="45" s="1"/>
  <c r="L32" i="45" s="1"/>
  <c r="F11" i="44"/>
  <c r="D11" i="44"/>
  <c r="I46" i="45"/>
  <c r="H22" i="45"/>
  <c r="H46" i="45"/>
  <c r="L46" i="45"/>
  <c r="H47" i="45"/>
  <c r="K61" i="45"/>
  <c r="H63" i="45"/>
  <c r="H73" i="45"/>
  <c r="H21" i="45"/>
  <c r="I47" i="45"/>
  <c r="I63" i="45"/>
  <c r="K69" i="45"/>
  <c r="I21" i="45"/>
  <c r="J46" i="45"/>
  <c r="I61" i="45"/>
  <c r="H64" i="45"/>
  <c r="K70" i="45"/>
  <c r="G70" i="45"/>
  <c r="J73" i="45"/>
  <c r="J70" i="45"/>
  <c r="N13" i="45"/>
  <c r="O13" i="45"/>
  <c r="M13" i="45"/>
  <c r="M41" i="45"/>
  <c r="M72" i="45"/>
  <c r="L13" i="45"/>
  <c r="N72" i="45"/>
  <c r="N41" i="45"/>
  <c r="L41" i="45"/>
  <c r="L72" i="45"/>
  <c r="J21" i="45"/>
  <c r="J23" i="45"/>
  <c r="J22" i="45"/>
  <c r="K21" i="45"/>
  <c r="H65" i="45"/>
  <c r="H70" i="45"/>
  <c r="F70" i="45"/>
  <c r="G61" i="45"/>
  <c r="H58" i="45"/>
  <c r="I9" i="45"/>
  <c r="F23" i="45"/>
  <c r="F22" i="45"/>
  <c r="F21" i="45"/>
  <c r="F64" i="45"/>
  <c r="H74" i="45"/>
  <c r="H75" i="45" s="1"/>
  <c r="J63" i="45"/>
  <c r="J65" i="45"/>
  <c r="J64" i="45"/>
  <c r="K63" i="45"/>
  <c r="F46" i="45"/>
  <c r="F47" i="45"/>
  <c r="G46" i="45"/>
  <c r="N46" i="45"/>
  <c r="N74" i="45"/>
  <c r="G58" i="45"/>
  <c r="I22" i="45"/>
  <c r="G64" i="45"/>
  <c r="G63" i="45"/>
  <c r="I70" i="45"/>
  <c r="I69" i="45"/>
  <c r="K64" i="45"/>
  <c r="G65" i="45"/>
  <c r="K73" i="45"/>
  <c r="J74" i="45"/>
  <c r="J75" i="45" s="1"/>
  <c r="G21" i="45"/>
  <c r="R47" i="45"/>
  <c r="I65" i="45"/>
  <c r="F65" i="45"/>
  <c r="F69" i="45"/>
  <c r="K47" i="45"/>
  <c r="K46" i="45"/>
  <c r="J61" i="45"/>
  <c r="F73" i="45"/>
  <c r="G47" i="45"/>
  <c r="L74" i="45"/>
  <c r="M74" i="45"/>
  <c r="D13" i="44"/>
  <c r="N31" i="45" s="1"/>
  <c r="N32" i="45" s="1"/>
  <c r="E13" i="44"/>
  <c r="O31" i="45" s="1"/>
  <c r="O32" i="45" s="1"/>
  <c r="F13" i="44"/>
  <c r="P31" i="45" s="1"/>
  <c r="P32" i="45" s="1"/>
  <c r="C13" i="44"/>
  <c r="M31" i="45" s="1"/>
  <c r="B11" i="44"/>
  <c r="L11" i="45" l="1"/>
  <c r="L33" i="45" s="1"/>
  <c r="M32" i="45"/>
  <c r="K66" i="45"/>
  <c r="M11" i="45"/>
  <c r="M33" i="45" s="1"/>
  <c r="L55" i="45"/>
  <c r="L51" i="45"/>
  <c r="B16" i="44"/>
  <c r="B20" i="44" s="1"/>
  <c r="E16" i="44"/>
  <c r="E20" i="44" s="1"/>
  <c r="C16" i="44"/>
  <c r="C20" i="44" s="1"/>
  <c r="F16" i="44"/>
  <c r="F20" i="44" s="1"/>
  <c r="D16" i="44"/>
  <c r="D20" i="44" s="1"/>
  <c r="L42" i="45"/>
  <c r="F67" i="45"/>
  <c r="F66" i="45"/>
  <c r="I66" i="45"/>
  <c r="I67" i="45"/>
  <c r="S47" i="45"/>
  <c r="G66" i="45"/>
  <c r="G67" i="45"/>
  <c r="J66" i="45"/>
  <c r="J67" i="45"/>
  <c r="I58" i="45"/>
  <c r="F22" i="31" s="1"/>
  <c r="J9" i="45"/>
  <c r="H67" i="45"/>
  <c r="H66" i="45"/>
  <c r="L60" i="45"/>
  <c r="L47" i="45"/>
  <c r="N11" i="45" l="1"/>
  <c r="N33" i="45" s="1"/>
  <c r="L73" i="45"/>
  <c r="L79" i="45"/>
  <c r="L77" i="45"/>
  <c r="M55" i="45"/>
  <c r="M51" i="45"/>
  <c r="B31" i="44"/>
  <c r="L18" i="45"/>
  <c r="L15" i="45" s="1"/>
  <c r="C31" i="44"/>
  <c r="C32" i="44" s="1"/>
  <c r="M18" i="45"/>
  <c r="M15" i="45" s="1"/>
  <c r="F31" i="44"/>
  <c r="F32" i="44" s="1"/>
  <c r="P18" i="45"/>
  <c r="D31" i="44"/>
  <c r="D32" i="44" s="1"/>
  <c r="N18" i="45"/>
  <c r="E31" i="44"/>
  <c r="E32" i="44" s="1"/>
  <c r="O18" i="45"/>
  <c r="L75" i="45"/>
  <c r="M42" i="45"/>
  <c r="M47" i="45"/>
  <c r="M60" i="45"/>
  <c r="L61" i="45"/>
  <c r="K9" i="45"/>
  <c r="J58" i="45"/>
  <c r="G22" i="31" s="1"/>
  <c r="T47" i="45"/>
  <c r="O11" i="45" l="1"/>
  <c r="O33" i="45" s="1"/>
  <c r="N15" i="45"/>
  <c r="M77" i="45"/>
  <c r="M79" i="45"/>
  <c r="N55" i="45"/>
  <c r="N51" i="45"/>
  <c r="L25" i="45"/>
  <c r="M25" i="45"/>
  <c r="L17" i="45"/>
  <c r="L71" i="45"/>
  <c r="L43" i="45"/>
  <c r="L62" i="45"/>
  <c r="B35" i="44"/>
  <c r="B32" i="44"/>
  <c r="M43" i="45"/>
  <c r="N47" i="45"/>
  <c r="N42" i="45"/>
  <c r="M61" i="45"/>
  <c r="M75" i="45"/>
  <c r="M73" i="45"/>
  <c r="U47" i="45"/>
  <c r="K58" i="45"/>
  <c r="H22" i="31" s="1"/>
  <c r="L9" i="45"/>
  <c r="L21" i="45"/>
  <c r="L23" i="45"/>
  <c r="M62" i="45"/>
  <c r="M71" i="45"/>
  <c r="M17" i="45"/>
  <c r="N60" i="45"/>
  <c r="P11" i="45" l="1"/>
  <c r="O15" i="45"/>
  <c r="D19" i="12"/>
  <c r="N77" i="45"/>
  <c r="N79" i="45"/>
  <c r="N25" i="45"/>
  <c r="M68" i="45"/>
  <c r="M70" i="45" s="1"/>
  <c r="M26" i="45"/>
  <c r="M27" i="45"/>
  <c r="L68" i="45"/>
  <c r="L65" i="45" s="1"/>
  <c r="L27" i="45"/>
  <c r="L26" i="45"/>
  <c r="L64" i="45"/>
  <c r="L63" i="45"/>
  <c r="B36" i="44"/>
  <c r="C34" i="44"/>
  <c r="C35" i="44" s="1"/>
  <c r="N43" i="45"/>
  <c r="N61" i="45"/>
  <c r="N75" i="45"/>
  <c r="N73" i="45"/>
  <c r="N62" i="45"/>
  <c r="N17" i="45"/>
  <c r="N71" i="45"/>
  <c r="M23" i="45"/>
  <c r="M21" i="45"/>
  <c r="M63" i="45"/>
  <c r="M64" i="45"/>
  <c r="M9" i="45"/>
  <c r="L58" i="45"/>
  <c r="I22" i="31" s="1"/>
  <c r="V47" i="45"/>
  <c r="P60" i="45" l="1"/>
  <c r="P33" i="45"/>
  <c r="L67" i="45"/>
  <c r="I46" i="31"/>
  <c r="Q11" i="45"/>
  <c r="Q60" i="45" s="1"/>
  <c r="P15" i="45"/>
  <c r="M65" i="45"/>
  <c r="L66" i="45"/>
  <c r="M69" i="45"/>
  <c r="L69" i="45"/>
  <c r="L70" i="45"/>
  <c r="N26" i="45"/>
  <c r="N68" i="45"/>
  <c r="N65" i="45" s="1"/>
  <c r="N27" i="45"/>
  <c r="C36" i="44"/>
  <c r="D34" i="44"/>
  <c r="D35" i="44" s="1"/>
  <c r="M58" i="45"/>
  <c r="J22" i="31" s="1"/>
  <c r="N9" i="45"/>
  <c r="N23" i="45"/>
  <c r="N21" i="45"/>
  <c r="N64" i="45"/>
  <c r="N63" i="45"/>
  <c r="M66" i="45" l="1"/>
  <c r="M67" i="45"/>
  <c r="N67" i="45"/>
  <c r="N66" i="45"/>
  <c r="N69" i="45"/>
  <c r="N70" i="45"/>
  <c r="E34" i="44"/>
  <c r="E35" i="44" s="1"/>
  <c r="D36" i="44"/>
  <c r="N58" i="45"/>
  <c r="K22" i="31" s="1"/>
  <c r="O9" i="45"/>
  <c r="F34" i="44" l="1"/>
  <c r="F35" i="44" s="1"/>
  <c r="F36" i="44" s="1"/>
  <c r="E36" i="44"/>
  <c r="O58" i="45"/>
  <c r="L22" i="31" s="1"/>
  <c r="P9" i="45"/>
  <c r="P58" i="45" l="1"/>
  <c r="M22" i="31" s="1"/>
  <c r="Q9" i="45"/>
  <c r="Q58" i="45" l="1"/>
  <c r="N22" i="31" s="1"/>
  <c r="R9" i="45"/>
  <c r="R58" i="45" l="1"/>
  <c r="O22" i="31" s="1"/>
  <c r="S9" i="45"/>
  <c r="S58" i="45" l="1"/>
  <c r="P22" i="31" s="1"/>
  <c r="T9" i="45"/>
  <c r="U9" i="45" l="1"/>
  <c r="T58" i="45"/>
  <c r="Q22" i="31" s="1"/>
  <c r="U58" i="45" l="1"/>
  <c r="R22" i="31" s="1"/>
  <c r="V9" i="45"/>
  <c r="V58" i="45" s="1"/>
  <c r="S22" i="31" s="1"/>
  <c r="J7" i="40" l="1"/>
  <c r="K7" i="40" s="1"/>
  <c r="L7" i="40" s="1"/>
  <c r="M7" i="40" s="1"/>
  <c r="N7" i="40" s="1"/>
  <c r="O7" i="40" s="1"/>
  <c r="P7" i="40" s="1"/>
  <c r="Q7" i="40" s="1"/>
  <c r="R7" i="40" s="1"/>
  <c r="S7" i="40" s="1"/>
  <c r="J29" i="40" l="1"/>
  <c r="G111" i="31" l="1"/>
  <c r="G112" i="31" l="1"/>
  <c r="H35" i="31" l="1"/>
  <c r="H112" i="31"/>
  <c r="H113" i="31" s="1"/>
  <c r="H122" i="31"/>
  <c r="G123" i="31"/>
  <c r="H111" i="31"/>
  <c r="I8" i="40"/>
  <c r="H121" i="31" l="1"/>
  <c r="H114" i="31"/>
  <c r="H115" i="31" s="1"/>
  <c r="H123" i="31"/>
  <c r="I111" i="31"/>
  <c r="H116" i="31"/>
  <c r="H117" i="31" s="1"/>
  <c r="J8" i="40"/>
  <c r="J111" i="31" l="1"/>
  <c r="K8" i="40"/>
  <c r="K111" i="31" l="1"/>
  <c r="L8" i="40"/>
  <c r="L111" i="31" l="1"/>
  <c r="M8" i="40"/>
  <c r="M111" i="31" l="1"/>
  <c r="N8" i="40"/>
  <c r="N111" i="31" l="1"/>
  <c r="O8" i="40"/>
  <c r="O111" i="31" l="1"/>
  <c r="P8" i="40"/>
  <c r="P111" i="31" l="1"/>
  <c r="Q8" i="40"/>
  <c r="Q111" i="31" l="1"/>
  <c r="R8" i="40"/>
  <c r="S8" i="40" l="1"/>
  <c r="S111" i="31"/>
  <c r="R111" i="31"/>
  <c r="E97" i="31" l="1"/>
  <c r="E96" i="31" s="1"/>
  <c r="K20" i="40"/>
  <c r="L20" i="40"/>
  <c r="K29" i="40"/>
  <c r="F112" i="31"/>
  <c r="F7" i="31"/>
  <c r="E106" i="31"/>
  <c r="E107" i="31" s="1"/>
  <c r="E108" i="31" s="1"/>
  <c r="O103" i="31"/>
  <c r="N103" i="31" s="1"/>
  <c r="M103" i="31" s="1"/>
  <c r="H103" i="31"/>
  <c r="I103" i="31" s="1"/>
  <c r="J103" i="31" s="1"/>
  <c r="P37" i="40" s="1"/>
  <c r="H94" i="31"/>
  <c r="I94" i="31" s="1"/>
  <c r="J94" i="31" s="1"/>
  <c r="N78" i="31"/>
  <c r="H78" i="31"/>
  <c r="F40" i="40" s="1"/>
  <c r="O94" i="31"/>
  <c r="N94" i="31" s="1"/>
  <c r="M94" i="31" s="1"/>
  <c r="P88" i="31"/>
  <c r="M88" i="31"/>
  <c r="L106" i="31" s="1"/>
  <c r="L107" i="31" s="1"/>
  <c r="L108" i="31" s="1"/>
  <c r="K40" i="40" l="1"/>
  <c r="L97" i="31"/>
  <c r="L98" i="31" s="1"/>
  <c r="L99" i="31" s="1"/>
  <c r="E105" i="31"/>
  <c r="E104" i="31" s="1"/>
  <c r="E98" i="31"/>
  <c r="G122" i="31"/>
  <c r="F8" i="31"/>
  <c r="S17" i="31"/>
  <c r="S18" i="31" s="1"/>
  <c r="J119" i="31"/>
  <c r="J20" i="40"/>
  <c r="P103" i="31"/>
  <c r="Q103" i="31" s="1"/>
  <c r="P94" i="31"/>
  <c r="Q94" i="31" s="1"/>
  <c r="I119" i="31"/>
  <c r="L119" i="31"/>
  <c r="K119" i="31"/>
  <c r="K39" i="40"/>
  <c r="E95" i="31"/>
  <c r="K38" i="40" s="1"/>
  <c r="N37" i="40"/>
  <c r="L105" i="31"/>
  <c r="L104" i="31" s="1"/>
  <c r="O37" i="40"/>
  <c r="G94" i="31"/>
  <c r="F94" i="31" s="1"/>
  <c r="G103" i="31"/>
  <c r="F122" i="31"/>
  <c r="I122" i="31"/>
  <c r="C35" i="40" l="1"/>
  <c r="L96" i="31"/>
  <c r="L95" i="31" s="1"/>
  <c r="F113" i="31"/>
  <c r="E99" i="31"/>
  <c r="K42" i="40" s="1"/>
  <c r="K41" i="40"/>
  <c r="G113" i="31"/>
  <c r="G121" i="31"/>
  <c r="J123" i="31"/>
  <c r="F119" i="31"/>
  <c r="G119" i="31"/>
  <c r="F123" i="31"/>
  <c r="F114" i="31"/>
  <c r="F115" i="31" s="1"/>
  <c r="F35" i="31"/>
  <c r="F116" i="31" s="1"/>
  <c r="F117" i="31" s="1"/>
  <c r="I123" i="31"/>
  <c r="F103" i="31"/>
  <c r="L37" i="40" s="1"/>
  <c r="M37" i="40"/>
  <c r="F121" i="31"/>
  <c r="L29" i="40"/>
  <c r="K123" i="31" l="1"/>
  <c r="K23" i="40"/>
  <c r="G35" i="31"/>
  <c r="G116" i="31" s="1"/>
  <c r="G117" i="31" s="1"/>
  <c r="G114" i="31"/>
  <c r="G115" i="31" s="1"/>
  <c r="J21" i="40"/>
  <c r="J122" i="31"/>
  <c r="K122" i="31"/>
  <c r="K21" i="40"/>
  <c r="J23" i="40"/>
  <c r="H119" i="31"/>
  <c r="N119" i="31"/>
  <c r="N20" i="40"/>
  <c r="F118" i="31"/>
  <c r="M119" i="31"/>
  <c r="M20" i="40"/>
  <c r="P108" i="31"/>
  <c r="I106" i="31"/>
  <c r="O40" i="40" s="1"/>
  <c r="M108" i="31"/>
  <c r="Q106" i="31"/>
  <c r="Q105" i="31"/>
  <c r="N108" i="31"/>
  <c r="F105" i="31"/>
  <c r="L39" i="40" s="1"/>
  <c r="J106" i="31"/>
  <c r="P40" i="40" s="1"/>
  <c r="H108" i="31"/>
  <c r="N42" i="40" s="1"/>
  <c r="G105" i="31"/>
  <c r="M39" i="40" s="1"/>
  <c r="I108" i="31"/>
  <c r="O42" i="40" s="1"/>
  <c r="Q104" i="31"/>
  <c r="H104" i="31"/>
  <c r="N38" i="40" s="1"/>
  <c r="N106" i="31"/>
  <c r="I104" i="31"/>
  <c r="O38" i="40" s="1"/>
  <c r="M105" i="31"/>
  <c r="F108" i="31"/>
  <c r="L42" i="40" s="1"/>
  <c r="J105" i="31"/>
  <c r="P39" i="40" s="1"/>
  <c r="P105" i="31"/>
  <c r="Q108" i="31"/>
  <c r="H107" i="31"/>
  <c r="N41" i="40" s="1"/>
  <c r="O104" i="31"/>
  <c r="P107" i="31"/>
  <c r="G108" i="31"/>
  <c r="M42" i="40" s="1"/>
  <c r="G104" i="31"/>
  <c r="M38" i="40" s="1"/>
  <c r="M107" i="31"/>
  <c r="I107" i="31"/>
  <c r="O41" i="40" s="1"/>
  <c r="F107" i="31"/>
  <c r="L41" i="40" s="1"/>
  <c r="J108" i="31"/>
  <c r="P42" i="40" s="1"/>
  <c r="J104" i="31"/>
  <c r="P38" i="40" s="1"/>
  <c r="O106" i="31"/>
  <c r="P106" i="31"/>
  <c r="H106" i="31"/>
  <c r="N40" i="40" s="1"/>
  <c r="N105" i="31"/>
  <c r="O108" i="31"/>
  <c r="G107" i="31"/>
  <c r="M41" i="40" s="1"/>
  <c r="P104" i="31"/>
  <c r="Q107" i="31"/>
  <c r="N104" i="31"/>
  <c r="I105" i="31"/>
  <c r="O39" i="40" s="1"/>
  <c r="J107" i="31"/>
  <c r="P41" i="40" s="1"/>
  <c r="M104" i="31"/>
  <c r="N107" i="31"/>
  <c r="O107" i="31"/>
  <c r="F106" i="31"/>
  <c r="L40" i="40" s="1"/>
  <c r="H105" i="31"/>
  <c r="N39" i="40" s="1"/>
  <c r="M106" i="31"/>
  <c r="F104" i="31"/>
  <c r="L38" i="40" s="1"/>
  <c r="G106" i="31"/>
  <c r="M40" i="40" s="1"/>
  <c r="O105" i="31"/>
  <c r="D18" i="12"/>
  <c r="F111" i="31"/>
  <c r="M29" i="40"/>
  <c r="G118" i="31" l="1"/>
  <c r="H118" i="31"/>
  <c r="O119" i="31"/>
  <c r="O20" i="40"/>
  <c r="H17" i="31"/>
  <c r="H18" i="31" s="1"/>
  <c r="D24" i="12"/>
  <c r="G17" i="31"/>
  <c r="G18" i="31" s="1"/>
  <c r="N29" i="40"/>
  <c r="H120" i="31" l="1"/>
  <c r="H127" i="31" s="1"/>
  <c r="I9" i="40"/>
  <c r="I11" i="40"/>
  <c r="F120" i="31"/>
  <c r="F127" i="31" s="1"/>
  <c r="P119" i="31"/>
  <c r="P20" i="40"/>
  <c r="I17" i="31"/>
  <c r="I18" i="31" s="1"/>
  <c r="J11" i="40"/>
  <c r="I14" i="40"/>
  <c r="I66" i="31"/>
  <c r="O29" i="40"/>
  <c r="G120" i="31" l="1"/>
  <c r="G127" i="31" s="1"/>
  <c r="I15" i="40"/>
  <c r="I112" i="31"/>
  <c r="I113" i="31" s="1"/>
  <c r="J9" i="40"/>
  <c r="I17" i="40"/>
  <c r="I18" i="40" s="1"/>
  <c r="I121" i="31"/>
  <c r="I114" i="31"/>
  <c r="I115" i="31" s="1"/>
  <c r="Q119" i="31"/>
  <c r="Q20" i="40"/>
  <c r="I12" i="40"/>
  <c r="J121" i="31"/>
  <c r="J112" i="31"/>
  <c r="J113" i="31" s="1"/>
  <c r="J17" i="31"/>
  <c r="J18" i="31" s="1"/>
  <c r="K11" i="40"/>
  <c r="K13" i="40" s="1"/>
  <c r="I35" i="31"/>
  <c r="J13" i="40"/>
  <c r="J66" i="31"/>
  <c r="I67" i="31"/>
  <c r="P29" i="40"/>
  <c r="I116" i="31" l="1"/>
  <c r="I117" i="31" s="1"/>
  <c r="J22" i="40"/>
  <c r="J27" i="40"/>
  <c r="J25" i="40"/>
  <c r="S119" i="31"/>
  <c r="S20" i="40"/>
  <c r="J10" i="40"/>
  <c r="J12" i="40"/>
  <c r="J14" i="40"/>
  <c r="K112" i="31"/>
  <c r="K113" i="31" s="1"/>
  <c r="K9" i="40"/>
  <c r="R119" i="31"/>
  <c r="R20" i="40"/>
  <c r="K17" i="31"/>
  <c r="K18" i="31" s="1"/>
  <c r="J35" i="31"/>
  <c r="J114" i="31"/>
  <c r="J115" i="31" s="1"/>
  <c r="K14" i="40"/>
  <c r="K16" i="40" s="1"/>
  <c r="J67" i="31"/>
  <c r="K66" i="31"/>
  <c r="Q29" i="40"/>
  <c r="J15" i="40" l="1"/>
  <c r="J16" i="40"/>
  <c r="I61" i="31"/>
  <c r="K10" i="40"/>
  <c r="K27" i="40"/>
  <c r="K25" i="40"/>
  <c r="J17" i="40"/>
  <c r="K35" i="31"/>
  <c r="K116" i="31" s="1"/>
  <c r="K117" i="31" s="1"/>
  <c r="K121" i="31"/>
  <c r="K22" i="40"/>
  <c r="K12" i="40"/>
  <c r="J30" i="40"/>
  <c r="J116" i="31"/>
  <c r="J117" i="31" s="1"/>
  <c r="I118" i="31"/>
  <c r="L17" i="31"/>
  <c r="L18" i="31" s="1"/>
  <c r="J118" i="31"/>
  <c r="K17" i="40"/>
  <c r="K15" i="40"/>
  <c r="K114" i="31"/>
  <c r="K115" i="31" s="1"/>
  <c r="L66" i="31"/>
  <c r="K67" i="31"/>
  <c r="K30" i="40" s="1"/>
  <c r="R29" i="40"/>
  <c r="J18" i="40" l="1"/>
  <c r="K19" i="40"/>
  <c r="K28" i="40" s="1"/>
  <c r="I120" i="31"/>
  <c r="I127" i="31" s="1"/>
  <c r="I63" i="31"/>
  <c r="I64" i="31" s="1"/>
  <c r="K61" i="31"/>
  <c r="J19" i="40"/>
  <c r="J28" i="40" s="1"/>
  <c r="K18" i="40"/>
  <c r="M17" i="31"/>
  <c r="M18" i="31" s="1"/>
  <c r="J61" i="31"/>
  <c r="M66" i="31"/>
  <c r="L67" i="31"/>
  <c r="L30" i="40" s="1"/>
  <c r="S29" i="40"/>
  <c r="J31" i="40" l="1"/>
  <c r="K120" i="31"/>
  <c r="K127" i="31" s="1"/>
  <c r="K118" i="31"/>
  <c r="K31" i="40"/>
  <c r="K63" i="31"/>
  <c r="K64" i="31" s="1"/>
  <c r="J120" i="31"/>
  <c r="J127" i="31" s="1"/>
  <c r="N17" i="31"/>
  <c r="N18" i="31" s="1"/>
  <c r="N66" i="31"/>
  <c r="M67" i="31"/>
  <c r="M30" i="40" s="1"/>
  <c r="J63" i="31" l="1"/>
  <c r="J64" i="31" s="1"/>
  <c r="O17" i="31"/>
  <c r="O18" i="31" s="1"/>
  <c r="O66" i="31"/>
  <c r="N67" i="31"/>
  <c r="N30" i="40" s="1"/>
  <c r="P17" i="31" l="1"/>
  <c r="P18" i="31" s="1"/>
  <c r="O67" i="31"/>
  <c r="O30" i="40" s="1"/>
  <c r="P66" i="31"/>
  <c r="Q17" i="31" l="1"/>
  <c r="Q18" i="31" s="1"/>
  <c r="Q66" i="31"/>
  <c r="P67" i="31"/>
  <c r="P30" i="40" s="1"/>
  <c r="R17" i="31" l="1"/>
  <c r="R18" i="31" s="1"/>
  <c r="Q67" i="31"/>
  <c r="Q30" i="40" s="1"/>
  <c r="R66" i="31"/>
  <c r="S66" i="31" s="1"/>
  <c r="S67" i="31" l="1"/>
  <c r="S30" i="40" s="1"/>
  <c r="R67" i="31"/>
  <c r="R30" i="40" s="1"/>
  <c r="O55" i="45" l="1"/>
  <c r="O51" i="45"/>
  <c r="O47" i="45"/>
  <c r="O42" i="45"/>
  <c r="O60" i="45"/>
  <c r="O61" i="45" l="1"/>
  <c r="O77" i="45"/>
  <c r="O79" i="45"/>
  <c r="P55" i="45"/>
  <c r="P51" i="45"/>
  <c r="P47" i="45"/>
  <c r="P42" i="45"/>
  <c r="O46" i="45"/>
  <c r="O74" i="45"/>
  <c r="O75" i="45" l="1"/>
  <c r="P61" i="45"/>
  <c r="P77" i="45"/>
  <c r="P79" i="45"/>
  <c r="P46" i="45"/>
  <c r="P74" i="45"/>
  <c r="P75" i="45" l="1"/>
  <c r="O43" i="45"/>
  <c r="O25" i="45"/>
  <c r="P43" i="45"/>
  <c r="P25" i="45"/>
  <c r="O17" i="45"/>
  <c r="P71" i="45"/>
  <c r="O62" i="45"/>
  <c r="O71" i="45"/>
  <c r="P17" i="45"/>
  <c r="P62" i="45"/>
  <c r="P63" i="45" l="1"/>
  <c r="P64" i="45"/>
  <c r="O63" i="45"/>
  <c r="O64" i="45"/>
  <c r="O26" i="45" l="1"/>
  <c r="P26" i="45"/>
  <c r="O27" i="45"/>
  <c r="P27" i="45"/>
  <c r="O68" i="45"/>
  <c r="O70" i="45" s="1"/>
  <c r="P68" i="45"/>
  <c r="P65" i="45" s="1"/>
  <c r="P66" i="45" l="1"/>
  <c r="O69" i="45"/>
  <c r="P70" i="45"/>
  <c r="O65" i="45"/>
  <c r="P69" i="45"/>
  <c r="O21" i="45"/>
  <c r="P21" i="45"/>
  <c r="O23" i="45"/>
  <c r="P23" i="45"/>
  <c r="O66" i="45" l="1"/>
  <c r="O41" i="45"/>
  <c r="P41" i="45"/>
  <c r="O72" i="45"/>
  <c r="P72" i="45"/>
  <c r="P73" i="45" l="1"/>
  <c r="O67" i="45"/>
  <c r="P67" i="45"/>
  <c r="O73" i="45"/>
  <c r="Q42" i="45" l="1"/>
  <c r="Q55" i="45"/>
  <c r="Q51" i="45"/>
  <c r="Q45" i="45"/>
  <c r="Q61" i="45" l="1"/>
  <c r="Q79" i="45"/>
  <c r="Q77" i="45"/>
  <c r="Q74" i="45"/>
  <c r="Q46" i="45"/>
  <c r="Q41" i="45"/>
  <c r="Q72" i="45"/>
  <c r="R41" i="45"/>
  <c r="S41" i="45"/>
  <c r="T41" i="45"/>
  <c r="U41" i="45"/>
  <c r="V41" i="45"/>
  <c r="R72" i="45"/>
  <c r="S72" i="45"/>
  <c r="T72" i="45"/>
  <c r="U72" i="45"/>
  <c r="V72" i="45"/>
  <c r="Q73" i="45" l="1"/>
  <c r="Q75" i="45"/>
  <c r="L122" i="31"/>
  <c r="L21" i="40"/>
  <c r="O21" i="40"/>
  <c r="Q122" i="31"/>
  <c r="M21" i="40" l="1"/>
  <c r="M122" i="31"/>
  <c r="R21" i="40"/>
  <c r="R122" i="31"/>
  <c r="S122" i="31"/>
  <c r="S21" i="40"/>
  <c r="O122" i="31"/>
  <c r="Q21" i="40"/>
  <c r="P122" i="31"/>
  <c r="P21" i="40"/>
  <c r="N122" i="31" l="1"/>
  <c r="N21" i="40"/>
  <c r="M11" i="40" l="1"/>
  <c r="M23" i="40"/>
  <c r="M9" i="40"/>
  <c r="M25" i="40" s="1"/>
  <c r="N9" i="40" l="1"/>
  <c r="N22" i="40" s="1"/>
  <c r="M123" i="31"/>
  <c r="M22" i="40"/>
  <c r="M121" i="31"/>
  <c r="M112" i="31"/>
  <c r="M113" i="31" s="1"/>
  <c r="M27" i="40"/>
  <c r="M14" i="40"/>
  <c r="M17" i="40" s="1"/>
  <c r="N23" i="40"/>
  <c r="N123" i="31"/>
  <c r="M12" i="40"/>
  <c r="M35" i="31"/>
  <c r="L35" i="31"/>
  <c r="L116" i="31" s="1"/>
  <c r="L117" i="31" s="1"/>
  <c r="L114" i="31"/>
  <c r="L115" i="31" s="1"/>
  <c r="M114" i="31"/>
  <c r="M115" i="31" s="1"/>
  <c r="L9" i="40"/>
  <c r="L123" i="31"/>
  <c r="L23" i="40"/>
  <c r="L121" i="31"/>
  <c r="L14" i="40"/>
  <c r="L112" i="31"/>
  <c r="L113" i="31" s="1"/>
  <c r="L11" i="40"/>
  <c r="N27" i="40" l="1"/>
  <c r="N10" i="40"/>
  <c r="N25" i="40"/>
  <c r="M16" i="40"/>
  <c r="M15" i="40"/>
  <c r="M116" i="31"/>
  <c r="M117" i="31" s="1"/>
  <c r="M118" i="31"/>
  <c r="L118" i="31"/>
  <c r="M18" i="40"/>
  <c r="M19" i="40"/>
  <c r="L12" i="40"/>
  <c r="L13" i="40"/>
  <c r="L17" i="40"/>
  <c r="M13" i="40"/>
  <c r="L10" i="40"/>
  <c r="L22" i="40"/>
  <c r="L25" i="40"/>
  <c r="L27" i="40"/>
  <c r="M10" i="40"/>
  <c r="L15" i="40"/>
  <c r="L16" i="40"/>
  <c r="M28" i="40" l="1"/>
  <c r="M31" i="40" s="1"/>
  <c r="L18" i="40"/>
  <c r="L19" i="40"/>
  <c r="L28" i="40" l="1"/>
  <c r="L31" i="40" s="1"/>
  <c r="L61" i="31"/>
  <c r="L63" i="31" s="1"/>
  <c r="L64" i="31" s="1"/>
  <c r="M61" i="31"/>
  <c r="M63" i="31" s="1"/>
  <c r="M64" i="31" s="1"/>
  <c r="M120" i="31"/>
  <c r="M127" i="31" s="1"/>
  <c r="L120" i="31"/>
  <c r="L127" i="31" s="1"/>
  <c r="V20" i="45"/>
  <c r="O125" i="31" l="1"/>
  <c r="P125" i="31"/>
  <c r="Q125" i="31"/>
  <c r="R125" i="31"/>
  <c r="S125" i="31"/>
  <c r="O24" i="40"/>
  <c r="P24" i="40"/>
  <c r="Q24" i="40"/>
  <c r="R24" i="40"/>
  <c r="S24" i="40"/>
  <c r="R11" i="45"/>
  <c r="S11" i="45"/>
  <c r="T11" i="45"/>
  <c r="U11" i="45"/>
  <c r="V11" i="45"/>
  <c r="R13" i="45"/>
  <c r="S13" i="45"/>
  <c r="T13" i="45"/>
  <c r="U13" i="45"/>
  <c r="Q15" i="45"/>
  <c r="R15" i="45"/>
  <c r="S15" i="45"/>
  <c r="T15" i="45"/>
  <c r="U15" i="45"/>
  <c r="V15" i="45"/>
  <c r="Q17" i="45"/>
  <c r="R17" i="45"/>
  <c r="S17" i="45"/>
  <c r="T17" i="45"/>
  <c r="U17" i="45"/>
  <c r="V17" i="45"/>
  <c r="Q18" i="45"/>
  <c r="R18" i="45"/>
  <c r="S18" i="45"/>
  <c r="T18" i="45"/>
  <c r="U18" i="45"/>
  <c r="Q20" i="45"/>
  <c r="R20" i="45"/>
  <c r="S20" i="45"/>
  <c r="T20" i="45"/>
  <c r="U20" i="45"/>
  <c r="Q21" i="45"/>
  <c r="R21" i="45"/>
  <c r="S21" i="45"/>
  <c r="T21" i="45"/>
  <c r="U21" i="45"/>
  <c r="V21" i="45"/>
  <c r="Q22" i="45"/>
  <c r="R22" i="45"/>
  <c r="S22" i="45"/>
  <c r="T22" i="45"/>
  <c r="U22" i="45"/>
  <c r="Q23" i="45"/>
  <c r="R23" i="45"/>
  <c r="S23" i="45"/>
  <c r="T23" i="45"/>
  <c r="U23" i="45"/>
  <c r="V23" i="45"/>
  <c r="Q25" i="45"/>
  <c r="R25" i="45"/>
  <c r="S25" i="45"/>
  <c r="T25" i="45"/>
  <c r="U25" i="45"/>
  <c r="V25" i="45"/>
  <c r="Q26" i="45"/>
  <c r="R26" i="45"/>
  <c r="S26" i="45"/>
  <c r="T26" i="45"/>
  <c r="U26" i="45"/>
  <c r="V26" i="45"/>
  <c r="Q27" i="45"/>
  <c r="R27" i="45"/>
  <c r="S27" i="45"/>
  <c r="T27" i="45"/>
  <c r="U27" i="45"/>
  <c r="V27" i="45"/>
  <c r="R42" i="45"/>
  <c r="S42" i="45"/>
  <c r="T42" i="45"/>
  <c r="U42" i="45"/>
  <c r="V42" i="45"/>
  <c r="Q43" i="45"/>
  <c r="R43" i="45"/>
  <c r="S43" i="45"/>
  <c r="T43" i="45"/>
  <c r="U43" i="45"/>
  <c r="V43" i="45"/>
  <c r="R45" i="45"/>
  <c r="S45" i="45"/>
  <c r="T45" i="45"/>
  <c r="U45" i="45"/>
  <c r="V45" i="45"/>
  <c r="R46" i="45"/>
  <c r="S46" i="45"/>
  <c r="T46" i="45"/>
  <c r="U46" i="45"/>
  <c r="V46" i="45"/>
  <c r="R51" i="45"/>
  <c r="S51" i="45"/>
  <c r="T51" i="45"/>
  <c r="U51" i="45"/>
  <c r="V51" i="45"/>
  <c r="R55" i="45"/>
  <c r="S55" i="45"/>
  <c r="T55" i="45"/>
  <c r="U55" i="45"/>
  <c r="V55" i="45"/>
  <c r="R60" i="45"/>
  <c r="S60" i="45"/>
  <c r="T60" i="45"/>
  <c r="U60" i="45"/>
  <c r="V60" i="45"/>
  <c r="R61" i="45"/>
  <c r="S61" i="45"/>
  <c r="T61" i="45"/>
  <c r="U61" i="45"/>
  <c r="V61" i="45"/>
  <c r="Q62" i="45"/>
  <c r="R62" i="45"/>
  <c r="S62" i="45"/>
  <c r="T62" i="45"/>
  <c r="U62" i="45"/>
  <c r="V62" i="45"/>
  <c r="Q63" i="45"/>
  <c r="R63" i="45"/>
  <c r="S63" i="45"/>
  <c r="T63" i="45"/>
  <c r="U63" i="45"/>
  <c r="V63" i="45"/>
  <c r="Q64" i="45"/>
  <c r="R64" i="45"/>
  <c r="S64" i="45"/>
  <c r="T64" i="45"/>
  <c r="U64" i="45"/>
  <c r="V64" i="45"/>
  <c r="Q65" i="45"/>
  <c r="R65" i="45"/>
  <c r="S65" i="45"/>
  <c r="T65" i="45"/>
  <c r="U65" i="45"/>
  <c r="V65" i="45"/>
  <c r="Q66" i="45"/>
  <c r="R66" i="45"/>
  <c r="S66" i="45"/>
  <c r="T66" i="45"/>
  <c r="U66" i="45"/>
  <c r="V66" i="45"/>
  <c r="Q67" i="45"/>
  <c r="R67" i="45"/>
  <c r="S67" i="45"/>
  <c r="T67" i="45"/>
  <c r="U67" i="45"/>
  <c r="V67" i="45"/>
  <c r="Q68" i="45"/>
  <c r="R68" i="45"/>
  <c r="S68" i="45"/>
  <c r="T68" i="45"/>
  <c r="U68" i="45"/>
  <c r="V68" i="45"/>
  <c r="Q69" i="45"/>
  <c r="R69" i="45"/>
  <c r="S69" i="45"/>
  <c r="T69" i="45"/>
  <c r="U69" i="45"/>
  <c r="V69" i="45"/>
  <c r="Q70" i="45"/>
  <c r="R70" i="45"/>
  <c r="S70" i="45"/>
  <c r="T70" i="45"/>
  <c r="U70" i="45"/>
  <c r="V70" i="45"/>
  <c r="Q71" i="45"/>
  <c r="R71" i="45"/>
  <c r="S71" i="45"/>
  <c r="T71" i="45"/>
  <c r="U71" i="45"/>
  <c r="V71" i="45"/>
  <c r="R73" i="45"/>
  <c r="S73" i="45"/>
  <c r="T73" i="45"/>
  <c r="U73" i="45"/>
  <c r="V73" i="45"/>
  <c r="R74" i="45"/>
  <c r="S74" i="45"/>
  <c r="T74" i="45"/>
  <c r="U74" i="45"/>
  <c r="V74" i="45"/>
  <c r="R75" i="45"/>
  <c r="S75" i="45"/>
  <c r="T75" i="45"/>
  <c r="U75" i="45"/>
  <c r="V75" i="45"/>
  <c r="R77" i="45"/>
  <c r="S77" i="45"/>
  <c r="T77" i="45"/>
  <c r="U77" i="45"/>
  <c r="V77" i="45"/>
  <c r="R79" i="45"/>
  <c r="S79" i="45"/>
  <c r="T79" i="45"/>
  <c r="U79" i="45"/>
  <c r="V79" i="45"/>
  <c r="O24" i="31"/>
  <c r="P24" i="31"/>
  <c r="Q24" i="31"/>
  <c r="R24" i="31"/>
  <c r="S24" i="31"/>
  <c r="O25" i="31"/>
  <c r="P25" i="31"/>
  <c r="Q25" i="31"/>
  <c r="R25" i="31"/>
  <c r="S25" i="31"/>
  <c r="N27" i="31"/>
  <c r="O27" i="31"/>
  <c r="P27" i="31"/>
  <c r="Q27" i="31"/>
  <c r="R27" i="31"/>
  <c r="S27" i="31"/>
  <c r="N28" i="31"/>
  <c r="O28" i="31"/>
  <c r="P28" i="31"/>
  <c r="Q28" i="31"/>
  <c r="R28" i="31"/>
  <c r="S28" i="31"/>
  <c r="N29" i="31"/>
  <c r="O29" i="31"/>
  <c r="P29" i="31"/>
  <c r="Q29" i="31"/>
  <c r="R29" i="31"/>
  <c r="S29" i="31"/>
  <c r="N31" i="31"/>
  <c r="O31" i="31"/>
  <c r="P31" i="31"/>
  <c r="Q31" i="31"/>
  <c r="R31" i="31"/>
  <c r="S31" i="31"/>
  <c r="N32" i="31"/>
  <c r="O32" i="31"/>
  <c r="P32" i="31"/>
  <c r="Q32" i="31"/>
  <c r="R32" i="31"/>
  <c r="S32" i="31"/>
  <c r="N33" i="31"/>
  <c r="O33" i="31"/>
  <c r="P33" i="31"/>
  <c r="Q33" i="31"/>
  <c r="R33" i="31"/>
  <c r="S33" i="31"/>
  <c r="N35" i="31"/>
  <c r="O35" i="31"/>
  <c r="P35" i="31"/>
  <c r="Q35" i="31"/>
  <c r="R35" i="31"/>
  <c r="S35" i="31"/>
  <c r="N36" i="31"/>
  <c r="O36" i="31"/>
  <c r="P36" i="31"/>
  <c r="Q36" i="31"/>
  <c r="R36" i="31"/>
  <c r="S36" i="31"/>
  <c r="N37" i="31"/>
  <c r="O37" i="31"/>
  <c r="P37" i="31"/>
  <c r="Q37" i="31"/>
  <c r="R37" i="31"/>
  <c r="S37" i="31"/>
  <c r="N39" i="31"/>
  <c r="O39" i="31"/>
  <c r="P39" i="31"/>
  <c r="Q39" i="31"/>
  <c r="R39" i="31"/>
  <c r="S39" i="31"/>
  <c r="N42" i="31"/>
  <c r="O42" i="31"/>
  <c r="P42" i="31"/>
  <c r="Q42" i="31"/>
  <c r="R42" i="31"/>
  <c r="S42" i="31"/>
  <c r="N43" i="31"/>
  <c r="O43" i="31"/>
  <c r="P43" i="31"/>
  <c r="Q43" i="31"/>
  <c r="R43" i="31"/>
  <c r="S43" i="31"/>
  <c r="N44" i="31"/>
  <c r="O44" i="31"/>
  <c r="P44" i="31"/>
  <c r="Q44" i="31"/>
  <c r="R44" i="31"/>
  <c r="S44" i="31"/>
  <c r="N46" i="31"/>
  <c r="O46" i="31"/>
  <c r="P46" i="31"/>
  <c r="Q46" i="31"/>
  <c r="R46" i="31"/>
  <c r="S46" i="31"/>
  <c r="O49" i="31"/>
  <c r="P49" i="31"/>
  <c r="Q49" i="31"/>
  <c r="R49" i="31"/>
  <c r="S49" i="31"/>
  <c r="N50" i="31"/>
  <c r="O50" i="31"/>
  <c r="P50" i="31"/>
  <c r="Q50" i="31"/>
  <c r="R50" i="31"/>
  <c r="S50" i="31"/>
  <c r="O52" i="31"/>
  <c r="P52" i="31"/>
  <c r="Q52" i="31"/>
  <c r="R52" i="31"/>
  <c r="S52" i="31"/>
  <c r="O56" i="31"/>
  <c r="P56" i="31"/>
  <c r="Q56" i="31"/>
  <c r="R56" i="31"/>
  <c r="S56" i="31"/>
  <c r="O59" i="31"/>
  <c r="P59" i="31"/>
  <c r="Q59" i="31"/>
  <c r="R59" i="31"/>
  <c r="S59" i="31"/>
  <c r="N61" i="31"/>
  <c r="O61" i="31"/>
  <c r="P61" i="31"/>
  <c r="Q61" i="31"/>
  <c r="R61" i="31"/>
  <c r="S61" i="31"/>
  <c r="N63" i="31"/>
  <c r="O63" i="31"/>
  <c r="P63" i="31"/>
  <c r="Q63" i="31"/>
  <c r="R63" i="31"/>
  <c r="S63" i="31"/>
  <c r="N64" i="31"/>
  <c r="O64" i="31"/>
  <c r="P64" i="31"/>
  <c r="Q64" i="31"/>
  <c r="R64" i="31"/>
  <c r="S64" i="31"/>
  <c r="T69" i="31"/>
  <c r="T70" i="31"/>
  <c r="H75" i="31"/>
  <c r="I75" i="31"/>
  <c r="N75" i="31"/>
  <c r="O75" i="31"/>
  <c r="H76" i="31"/>
  <c r="I76" i="31"/>
  <c r="N76" i="31"/>
  <c r="O76" i="31"/>
  <c r="H77" i="31"/>
  <c r="I77" i="31"/>
  <c r="N77" i="31"/>
  <c r="O77" i="31"/>
  <c r="H79" i="31"/>
  <c r="N79" i="31"/>
  <c r="H80" i="31"/>
  <c r="N80" i="31"/>
  <c r="H81" i="31"/>
  <c r="N81" i="31"/>
  <c r="E94" i="31"/>
  <c r="L94" i="31"/>
  <c r="E103" i="31"/>
  <c r="L103" i="31"/>
  <c r="N112" i="31"/>
  <c r="O112" i="31"/>
  <c r="P112" i="31"/>
  <c r="Q112" i="31"/>
  <c r="R112" i="31"/>
  <c r="S112" i="31"/>
  <c r="N113" i="31"/>
  <c r="O113" i="31"/>
  <c r="P113" i="31"/>
  <c r="Q113" i="31"/>
  <c r="R113" i="31"/>
  <c r="S113" i="31"/>
  <c r="N114" i="31"/>
  <c r="O114" i="31"/>
  <c r="P114" i="31"/>
  <c r="Q114" i="31"/>
  <c r="R114" i="31"/>
  <c r="S114" i="31"/>
  <c r="N115" i="31"/>
  <c r="O115" i="31"/>
  <c r="P115" i="31"/>
  <c r="Q115" i="31"/>
  <c r="R115" i="31"/>
  <c r="S115" i="31"/>
  <c r="N116" i="31"/>
  <c r="O116" i="31"/>
  <c r="P116" i="31"/>
  <c r="Q116" i="31"/>
  <c r="R116" i="31"/>
  <c r="S116" i="31"/>
  <c r="N117" i="31"/>
  <c r="O117" i="31"/>
  <c r="P117" i="31"/>
  <c r="Q117" i="31"/>
  <c r="R117" i="31"/>
  <c r="S117" i="31"/>
  <c r="N118" i="31"/>
  <c r="O118" i="31"/>
  <c r="P118" i="31"/>
  <c r="Q118" i="31"/>
  <c r="R118" i="31"/>
  <c r="S118" i="31"/>
  <c r="N120" i="31"/>
  <c r="O120" i="31"/>
  <c r="P120" i="31"/>
  <c r="Q120" i="31"/>
  <c r="R120" i="31"/>
  <c r="S120" i="31"/>
  <c r="N121" i="31"/>
  <c r="O121" i="31"/>
  <c r="P121" i="31"/>
  <c r="Q121" i="31"/>
  <c r="R121" i="31"/>
  <c r="S121" i="31"/>
  <c r="O123" i="31"/>
  <c r="P123" i="31"/>
  <c r="Q123" i="31"/>
  <c r="R123" i="31"/>
  <c r="S123" i="31"/>
  <c r="N127" i="31"/>
  <c r="O127" i="31"/>
  <c r="P127" i="31"/>
  <c r="Q127" i="31"/>
  <c r="R127" i="31"/>
  <c r="S127" i="31"/>
  <c r="O9" i="40"/>
  <c r="P9" i="40"/>
  <c r="Q9" i="40"/>
  <c r="R9" i="40"/>
  <c r="S9" i="40"/>
  <c r="O10" i="40"/>
  <c r="P10" i="40"/>
  <c r="Q10" i="40"/>
  <c r="R10" i="40"/>
  <c r="S10" i="40"/>
  <c r="N11" i="40"/>
  <c r="O11" i="40"/>
  <c r="P11" i="40"/>
  <c r="Q11" i="40"/>
  <c r="R11" i="40"/>
  <c r="S11" i="40"/>
  <c r="N12" i="40"/>
  <c r="O12" i="40"/>
  <c r="P12" i="40"/>
  <c r="Q12" i="40"/>
  <c r="R12" i="40"/>
  <c r="S12" i="40"/>
  <c r="N13" i="40"/>
  <c r="O13" i="40"/>
  <c r="P13" i="40"/>
  <c r="Q13" i="40"/>
  <c r="R13" i="40"/>
  <c r="S13" i="40"/>
  <c r="N14" i="40"/>
  <c r="O14" i="40"/>
  <c r="P14" i="40"/>
  <c r="Q14" i="40"/>
  <c r="R14" i="40"/>
  <c r="S14" i="40"/>
  <c r="N15" i="40"/>
  <c r="O15" i="40"/>
  <c r="P15" i="40"/>
  <c r="Q15" i="40"/>
  <c r="R15" i="40"/>
  <c r="S15" i="40"/>
  <c r="N16" i="40"/>
  <c r="O16" i="40"/>
  <c r="P16" i="40"/>
  <c r="Q16" i="40"/>
  <c r="R16" i="40"/>
  <c r="S16" i="40"/>
  <c r="N17" i="40"/>
  <c r="O17" i="40"/>
  <c r="P17" i="40"/>
  <c r="Q17" i="40"/>
  <c r="R17" i="40"/>
  <c r="S17" i="40"/>
  <c r="N18" i="40"/>
  <c r="O18" i="40"/>
  <c r="P18" i="40"/>
  <c r="Q18" i="40"/>
  <c r="R18" i="40"/>
  <c r="S18" i="40"/>
  <c r="N19" i="40"/>
  <c r="O19" i="40"/>
  <c r="P19" i="40"/>
  <c r="Q19" i="40"/>
  <c r="R19" i="40"/>
  <c r="S19" i="40"/>
  <c r="O22" i="40"/>
  <c r="P22" i="40"/>
  <c r="Q22" i="40"/>
  <c r="R22" i="40"/>
  <c r="S22" i="40"/>
  <c r="O23" i="40"/>
  <c r="P23" i="40"/>
  <c r="Q23" i="40"/>
  <c r="R23" i="40"/>
  <c r="S23" i="40"/>
  <c r="O25" i="40"/>
  <c r="P25" i="40"/>
  <c r="Q25" i="40"/>
  <c r="R25" i="40"/>
  <c r="S25" i="40"/>
  <c r="O27" i="40"/>
  <c r="P27" i="40"/>
  <c r="Q27" i="40"/>
  <c r="R27" i="40"/>
  <c r="S27" i="40"/>
  <c r="N28" i="40"/>
  <c r="O28" i="40"/>
  <c r="P28" i="40"/>
  <c r="Q28" i="40"/>
  <c r="R28" i="40"/>
  <c r="S28" i="40"/>
  <c r="T28" i="40"/>
  <c r="N31" i="40"/>
  <c r="O31" i="40"/>
  <c r="P31" i="40"/>
  <c r="Q31" i="40"/>
  <c r="R31" i="40"/>
  <c r="S31" i="40"/>
  <c r="T31" i="40"/>
  <c r="F37" i="40"/>
  <c r="G37" i="40"/>
  <c r="F38" i="40"/>
  <c r="G38" i="40"/>
  <c r="F39" i="40"/>
  <c r="G39" i="40"/>
  <c r="F41" i="40"/>
  <c r="F42" i="40"/>
  <c r="F43" i="4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JPMorgan Chase &amp; Co.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Version="1"&gt;&lt;FQL&gt;&lt;Q&gt;HFD-GB^JULIAN(FG_PRICE(43488,43853).DATES)&lt;/Q&gt;&lt;R&gt;260&lt;/R&gt;&lt;C&gt;1&lt;/C&gt;&lt;D xsi:type="xsd:int"&gt;43488&lt;/D&gt;&lt;D xsi:type="xsd:int"&gt;43489&lt;/D&gt;&lt;D xsi:type="xsd:int"&gt;43490&lt;/D&gt;&lt;D xsi:type="xsd:int"&gt;43493&lt;/D&gt;&lt;D xsi:type="xsd:int"&gt;43494&lt;/D&gt;&lt;D xsi:type="xsd:int"&gt;43495&lt;/D&gt;&lt;D xsi:type="xsd:int"&gt;43496&lt;/D&gt;&lt;D xsi:type="xsd:int"&gt;43497&lt;/D&gt;&lt;D xsi:type="xsd:int"&gt;43500&lt;/D&gt;&lt;D xsi:type="xsd:int"&gt;43501&lt;/D&gt;&lt;D xsi:type="xsd:int"&gt;43502&lt;/D&gt;&lt;D xsi:type="xsd:int"&gt;43503&lt;/D&gt;&lt;D xsi:type="xsd:int"&gt;43504&lt;/D&gt;&lt;D xsi:type="xsd:int"&gt;43507&lt;/D&gt;&lt;D xsi:type="xsd:int"&gt;43508&lt;/D&gt;&lt;D xsi:type="xsd:int"&gt;43509&lt;/D&gt;&lt;D xsi:type="xsd:int"&gt;43510&lt;/D&gt;&lt;D xsi:type="xsd:int"&gt;43511&lt;/D&gt;&lt;D xsi:type="xsd:int"&gt;43514&lt;/D&gt;&lt;D xsi:type="xsd:int"&gt;43515&lt;/D&gt;&lt;D xsi:type="xsd:int"&gt;43516&lt;/D&gt;&lt;D xsi:type="xsd:int"&gt;43517&lt;/D&gt;&lt;D xsi:type="xsd:int"&gt;43518&lt;/D&gt;&lt;D xsi:type="xsd:int"&gt;43521&lt;/D&gt;&lt;D xsi:type="xsd:int"&gt;43522&lt;/D&gt;&lt;D xsi:type="xsd:int"&gt;43523&lt;/D&gt;&lt;D xsi:type="xsd:int"&gt;43524&lt;/D&gt;&lt;D xsi:type="xsd:int"&gt;43525&lt;/D&gt;&lt;D xsi:type="xsd:int"&gt;43528&lt;/D&gt;&lt;D xsi:type="xsd:int"&gt;43529&lt;/D&gt;&lt;D xsi:type="xsd:int"&gt;43530&lt;/D&gt;&lt;D xsi:type="xsd:int"&gt;43531&lt;/D&gt;&lt;D xsi:type="xsd:int"&gt;43532&lt;/D&gt;&lt;D xsi:type="xsd:int"&gt;43535&lt;/D&gt;&lt;D xsi:type="xsd:int"&gt;43536&lt;/D&gt;&lt;D xsi:type="xsd:int"&gt;43537&lt;/D&gt;&lt;D xsi:type="xsd:int"&gt;43538&lt;/D&gt;&lt;D xsi:type="xsd:int"&gt;43539&lt;/D&gt;&lt;D xsi:type="xsd:int"&gt;43542&lt;/D&gt;&lt;D xsi:type="xsd:int"&gt;43543&lt;/D&gt;&lt;D xsi:type="xsd:int"&gt;43544&lt;/D&gt;&lt;D xsi:type="xsd:int"&gt;43545&lt;/D&gt;&lt;D xsi:type="xsd:int"&gt;43546&lt;/D&gt;&lt;D xsi:type="xsd:int"&gt;43549&lt;/D&gt;&lt;D xsi:type="xsd:int"&gt;43550&lt;/D&gt;&lt;D xsi:type="xsd:int"&gt;43551&lt;/D&gt;&lt;D xsi:type="xsd:int"&gt;43552&lt;/D&gt;&lt;D xsi:type="xsd:int"&gt;43553&lt;/D&gt;&lt;D xsi:type="xsd:int"&gt;43556&lt;/D&gt;&lt;D xsi:type="xsd:int"&gt;43557&lt;/D&gt;&lt;D xsi:type="xsd:int"&gt;43558&lt;/D&gt;&lt;D xsi:type="xsd:int"&gt;43559&lt;/D&gt;&lt;D xsi:type="xsd:int"&gt;43560&lt;/D&gt;&lt;D xsi:type="xsd:int"&gt;43563&lt;/D&gt;&lt;D xsi:type="xsd:int"&gt;43564&lt;/D&gt;&lt;D xsi:type="xsd:int"&gt;43565&lt;/D&gt;&lt;D xsi:type="xsd:int"&gt;43566&lt;/D&gt;&lt;D xsi:type="xsd:int"&gt;43567&lt;/D&gt;&lt;D xsi:type="xsd:int"&gt;43570&lt;/D&gt;&lt;D xsi:type="xsd:int"&gt;43571&lt;/D&gt;&lt;D xsi:type="xsd:int"&gt;43572&lt;/D&gt;&lt;D xsi:type="xsd:int"&gt;43573&lt;/D&gt;&lt;D xsi:type="xsd:int"&gt;43574&lt;/D&gt;&lt;D xsi:type="xsd:int"&gt;43577&lt;/D&gt;&lt;D xsi:type="xsd:int"&gt;43578&lt;/D&gt;&lt;D xsi:type="xsd:int"&gt;43579&lt;/D&gt;&lt;D xsi:type="xsd:int"&gt;43580&lt;/D&gt;&lt;D xsi:type="xsd:int"&gt;43581&lt;/D&gt;&lt;D xsi:type="xsd:int"&gt;43584&lt;/D&gt;&lt;D xsi:type="xsd:int"&gt;43585&lt;/D&gt;&lt;D xsi:type="xsd:int"&gt;43586&lt;/D&gt;&lt;D xsi:type="xsd:int"&gt;43587&lt;/D&gt;&lt;D xsi:type="xsd:int"&gt;43588&lt;/D&gt;&lt;D xsi:type="xsd:int"&gt;43591&lt;/D&gt;&lt;D xsi:type="xsd:int"&gt;43592&lt;/D&gt;&lt;D xsi:type="xsd:int"&gt;43593&lt;/D&gt;&lt;D xsi:type="xsd:int"&gt;43594&lt;/D&gt;&lt;D xsi:type="xsd:int"&gt;43595&lt;/D&gt;&lt;D xsi:type="xsd:int"&gt;43598&lt;/D&gt;&lt;D xsi:type="xsd:int"&gt;43599&lt;/D&gt;&lt;D xsi:type="xsd:int"&gt;43600&lt;/D&gt;&lt;D xsi:type="xsd:int"&gt;43601&lt;/D&gt;&lt;D xsi:type="xsd:int"&gt;43602&lt;/D&gt;&lt;D xsi:type="xsd:int"&gt;43605&lt;/D&gt;&lt;D xsi:type="xsd:int"&gt;43606&lt;/D&gt;&lt;D xsi:type="xsd:int"&gt;43607&lt;/D&gt;&lt;D xsi:type="xsd:int"&gt;43608&lt;/D&gt;&lt;D xsi:type="xsd:int"&gt;43609&lt;/D&gt;&lt;D xsi:type="xsd:int"&gt;43612&lt;/D&gt;&lt;D xsi:type="xsd:int"&gt;43613&lt;/D&gt;&lt;D xsi:type="xsd:int"&gt;43614&lt;/D&gt;&lt;D xsi:type="xsd:int"&gt;43615&lt;/D&gt;&lt;D xsi:type="xsd:int"&gt;43616&lt;/D&gt;&lt;D xsi:type="xsd:int"&gt;43619&lt;/D&gt;&lt;D xsi:type="xsd:int"&gt;43620&lt;/D&gt;&lt;D xsi:type="xsd:int"&gt;43621&lt;/D&gt;&lt;D xsi:type="xsd:int"&gt;43622&lt;/D&gt;&lt;D xsi:type="xsd:int"&gt;43623&lt;/D&gt;&lt;D xsi:type="xsd:int"&gt;43626&lt;/D&gt;&lt;D xsi:type="xsd:int"&gt;43627&lt;/D&gt;&lt;D xsi:type="xsd:int"&gt;43628&lt;/D&gt;&lt;D xsi:type="xsd:int"&gt;43629&lt;/D&gt;&lt;D xsi:type="xsd:int"&gt;43630&lt;/D&gt;&lt;D xsi:type="xsd:int"&gt;43633&lt;/D&gt;&lt;D xsi:type="xsd:int"&gt;43634&lt;/D&gt;&lt;D xsi:type="xsd:int"&gt;43635&lt;/D&gt;&lt;D xsi:type="xsd:int"&gt;43636&lt;/D&gt;&lt;D xsi:type="xsd:int"&gt;43637&lt;/D&gt;&lt;D xsi:type="xsd:int"&gt;43640&lt;/D&gt;&lt;D xsi:type="xsd:int"&gt;43641&lt;/D&gt;&lt;D xsi:type="xsd:int"&gt;43642&lt;/D&gt;&lt;D xsi:type="xsd:int"&gt;43643&lt;/D&gt;&lt;D xsi:type="xsd:int"&gt;43644&lt;/D&gt;&lt;D xsi:type="xsd:int"&gt;43647&lt;/D&gt;&lt;D xsi:type="xsd:int"&gt;43648&lt;/D&gt;&lt;D xsi:type="xsd:int"&gt;43649&lt;/D&gt;&lt;D xsi:type="xsd:int"&gt;43650&lt;/D&gt;&lt;D xsi:type="xsd:int"&gt;43651&lt;/D&gt;&lt;D xsi:type="xsd:int"&gt;43654&lt;/D&gt;&lt;D xsi:type="xsd:int"&gt;43655&lt;/D&gt;&lt;D xsi:type="xsd:int"&gt;43656&lt;/D&gt;&lt;D xsi:type="xsd:int"&gt;43657&lt;/D&gt;&lt;D xsi:type="xsd:int"&gt;43658&lt;/D&gt;&lt;D xsi:type="xsd:int"&gt;43661&lt;/D&gt;&lt;D xsi:type="xsd:int"&gt;43662&lt;/D&gt;&lt;D xsi:type="xsd:int"&gt;43663&lt;/D&gt;&lt;D xsi:type="xsd:int"&gt;43664&lt;/D&gt;&lt;D xsi:type="xsd:int"&gt;43665&lt;/D&gt;&lt;D xsi:type="xsd:int"&gt;43668&lt;/D&gt;&lt;D xsi:type="xsd:int"&gt;43669&lt;/D&gt;&lt;D xsi:type="xsd:int"&gt;43670&lt;/D&gt;&lt;D xsi:type="xsd:int"&gt;43671&lt;/D&gt;&lt;D xsi:type="xsd:int"&gt;43672&lt;/D&gt;&lt;D xsi:type="xsd:int"&gt;43675&lt;/D&gt;&lt;D xsi:type="xsd:int"&gt;43676&lt;/D&gt;&lt;D xsi:type="xsd:int"&gt;43677&lt;/D&gt;&lt;D xsi:type="xsd:int"&gt;43678&lt;/D&gt;&lt;D xsi:type="xsd:int"&gt;43679&lt;/D&gt;&lt;D xsi:type="xsd:int"&gt;43682&lt;/D&gt;&lt;D xsi:type="xsd:int"&gt;43683&lt;/D&gt;&lt;D xsi:type="xsd:int"&gt;43684&lt;/D&gt;&lt;D xsi:type="xsd:int"&gt;43685&lt;/D&gt;&lt;D xsi:type="xsd:int"&gt;43686&lt;/D&gt;&lt;D xsi:type="xsd:int"&gt;43689&lt;/D&gt;&lt;D xsi:type="xsd:int"&gt;43690&lt;/D&gt;&lt;D xsi:type="xsd:int"&gt;43691&lt;/D&gt;&lt;D xsi:type="xsd:int"&gt;43692&lt;/D&gt;&lt;D xsi:type="xsd:int"&gt;43693&lt;/D&gt;&lt;D xsi:type="xsd:int"&gt;43696&lt;/D&gt;&lt;D xsi:type="xsd:int"&gt;43697&lt;/D&gt;&lt;D xsi:type="xsd:int"&gt;43698&lt;/D&gt;&lt;D xsi:type="xsd:int"&gt;43699&lt;/D&gt;&lt;D xsi:type="xsd:int"&gt;43700&lt;/D&gt;&lt;D xsi:type="xsd:int"&gt;43703&lt;/D&gt;&lt;D xsi:type="xsd:int"&gt;43704&lt;/D&gt;&lt;D xsi:type="xsd:int"&gt;43705&lt;/D&gt;&lt;D xsi:type="xsd:int"&gt;43706&lt;/D&gt;&lt;D xsi:type="xsd:int"&gt;43707&lt;/D&gt;&lt;D xsi:type="xsd:int"&gt;43710&lt;/D&gt;&lt;D xsi:type="xsd:int"&gt;43711&lt;/D&gt;&lt;D xsi:type="xsd:int"&gt;43712&lt;/D&gt;&lt;D xsi:type="xsd:int"&gt;43713&lt;/D&gt;&lt;D xsi:type="xsd:int"&gt;43714&lt;/D&gt;&lt;D xsi:type="xsd:int"&gt;43717&lt;/D&gt;&lt;D xsi:type="xsd:int"&gt;43718&lt;/D&gt;&lt;D xsi:type="xsd:int"&gt;43719&lt;/D&gt;&lt;D xsi:type="xsd:int"&gt;43720&lt;/D&gt;&lt;D xsi:type="xsd:int"&gt;43721&lt;/D&gt;&lt;D xsi:type="xsd:int"&gt;43724&lt;/D&gt;&lt;D xsi:type="xsd:int"&gt;43725&lt;/D&gt;&lt;D xsi:type="xsd:int"&gt;43726&lt;/D&gt;&lt;D xsi:type="xsd:int"&gt;43727&lt;/D&gt;&lt;D xsi:type="xsd:int"&gt;43728&lt;/D&gt;&lt;D xsi:type="xsd:int"&gt;43731&lt;/D&gt;&lt;D xsi:type="xsd:int"&gt;43732&lt;/D&gt;&lt;D xsi:type="xsd:int"&gt;43733&lt;/D&gt;&lt;D xsi:type="xsd:int"&gt;43734&lt;/D&gt;&lt;D xsi:type="xsd:int"&gt;43735&lt;/D&gt;&lt;D xsi:type="xsd:int"&gt;43738&lt;/D&gt;&lt;D xsi:type="xsd:int"&gt;43739&lt;/D&gt;&lt;D xsi:type="xsd:int"&gt;43740&lt;/D&gt;&lt;D xsi:type="xsd:int"&gt;43741&lt;/D&gt;&lt;D xsi:type="xsd:int"&gt;43742&lt;/D&gt;&lt;D xsi:type="xsd:int"&gt;43745&lt;/D&gt;&lt;D xsi:type="xsd:int"&gt;43746&lt;/D&gt;&lt;D xsi:type="xsd:int"&gt;43747&lt;/D&gt;&lt;D xsi:type="xsd:int"&gt;43748&lt;/D&gt;&lt;D xsi:type="xsd:int"&gt;43749&lt;/D&gt;&lt;D xsi:type="xsd:int"&gt;43752&lt;/D&gt;&lt;D xsi:type="xsd:int"&gt;43753&lt;/D&gt;&lt;D xsi:type="xsd:int"&gt;43754&lt;/D&gt;&lt;D xsi:type="xsd:int"&gt;43755&lt;/D&gt;&lt;D xsi:type="xsd:int"&gt;43756&lt;/D&gt;&lt;D xsi:type="xsd:int"&gt;43759&lt;/D&gt;&lt;D xsi:type="xsd:int"&gt;43760&lt;/D&gt;&lt;D xsi:type="xsd:int"&gt;43761&lt;/D&gt;&lt;D xsi:type="xsd:int"&gt;43762&lt;/D&gt;&lt;D xsi:type="xsd:int"&gt;43763&lt;/D&gt;&lt;D xsi:type="xsd:int"&gt;43766&lt;/D&gt;&lt;D xsi:type="xsd:int"&gt;43767&lt;/D&gt;&lt;D xsi:type="xsd:int"&gt;43768&lt;/D&gt;&lt;D xsi:type="xsd:int"&gt;43769&lt;/D&gt;&lt;D xsi:type="xsd:int"&gt;43770&lt;/D&gt;&lt;D xsi:type="xsd:int"&gt;43773&lt;/D&gt;&lt;D xsi:type="xsd:int"&gt;43774&lt;/D&gt;&lt;D xsi:type="xsd:int"&gt;43775&lt;/D&gt;&lt;D xsi:type="xsd:int"&gt;43776&lt;/D&gt;&lt;D xsi:type="xsd:int"&gt;43777&lt;/D&gt;&lt;D xsi:type="xsd:int"&gt;43780&lt;/D&gt;&lt;D xsi:type="xsd:int"&gt;43781&lt;/D&gt;&lt;D xsi:type="xsd:int"&gt;43782&lt;/D&gt;&lt;D xsi:type="xsd:int"&gt;43783&lt;/D&gt;&lt;D xsi:type="xsd:int"&gt;43784&lt;/D&gt;&lt;D xsi:type="xsd:int"&gt;43787&lt;/D&gt;&lt;D xsi:type="xsd:int"&gt;43788&lt;/D&gt;&lt;D xsi:type="xsd:int"&gt;43789&lt;/D&gt;&lt;D xsi:type="xsd:int"&gt;43790&lt;/D&gt;&lt;D xsi:type="xsd:int"&gt;43791&lt;/D&gt;&lt;D xsi:type="xsd:int"&gt;43794&lt;/D&gt;&lt;D xsi:type="xsd:int"&gt;43795&lt;/D&gt;&lt;D xsi:type="xsd:int"&gt;43796&lt;/D&gt;&lt;D xsi:type="xsd:int"&gt;43797&lt;/D&gt;&lt;D xsi:type="xsd:int"&gt;43798&lt;/D&gt;&lt;D xsi:type="xsd:int"&gt;43801&lt;/D&gt;&lt;D xsi:type="xsd:int"&gt;43802&lt;/D&gt;&lt;D xsi:type="xsd:int"&gt;43803&lt;/D&gt;&lt;D xsi:type="xsd:int"&gt;43804&lt;/D&gt;&lt;D xsi:type="xsd:int"&gt;43805&lt;/D&gt;&lt;D xsi:type="xsd:int"&gt;43808&lt;/D&gt;&lt;D xsi:type="xsd:int"&gt;43809&lt;/D&gt;&lt;D xsi:type="xsd:int"&gt;43810&lt;/D&gt;&lt;D xsi:type="xsd:int"&gt;43811&lt;/D&gt;&lt;D xsi:type="xsd:int"&gt;43812&lt;/D&gt;&lt;D xsi:type="xsd:int"&gt;43815&lt;/D&gt;&lt;D xsi:type="xsd:int"&gt;43816&lt;/D&gt;&lt;D xsi:type="xsd:int"&gt;43817&lt;/D&gt;&lt;D xsi:type="xsd:int"&gt;43818&lt;/D&gt;&lt;D xsi:type="xsd:int"&gt;43819&lt;/D&gt;&lt;D xsi:type="xsd:int"&gt;43822&lt;/D&gt;&lt;D xsi:type="xsd:int"&gt;43823&lt;/D&gt;&lt;D xsi:type="xsd:int"&gt;43825&lt;/D&gt;&lt;D xsi:type="xsd:int"&gt;43826&lt;/D&gt;&lt;D xsi:type="xsd:int"&gt;43829&lt;/D&gt;&lt;D xsi:type="xsd:int"&gt;43830&lt;/D&gt;&lt;D xsi:type="xsd:int"&gt;43832&lt;/D&gt;&lt;D xsi:type="xsd:int"&gt;43833&lt;/D&gt;&lt;D xsi:type="xsd:int"&gt;43836&lt;/D&gt;&lt;D xsi:type="xsd:int"&gt;43837&lt;/D&gt;&lt;D xsi:type="xsd:int"&gt;43838&lt;/D&gt;&lt;D xsi:type="xsd:int"&gt;43839&lt;/D&gt;&lt;D xsi:type="xsd:int"&gt;43840&lt;/D&gt;&lt;D xsi:type="xsd:int"&gt;43843&lt;/D&gt;&lt;D xsi:type="xsd:int"&gt;43844&lt;/D&gt;&lt;D xsi:type="xsd:int"&gt;43845&lt;/D&gt;&lt;D xsi:type="xsd:int"&gt;43846&lt;/D&gt;&lt;D xsi:type="xsd:int"&gt;43847&lt;/D&gt;&lt;D xsi:type="xsd:int"&gt;43850&lt;/D&gt;&lt;D xsi:type="xsd:int"&gt;43851&lt;/D&gt;&lt;D xsi:type="xsd:int"&gt;43852&lt;/D&gt;&lt;D xsi:type="xsd:int"&gt;43853&lt;/D&gt;&lt;/FQL&gt;&lt;FQL&gt;&lt;Q&gt;HFD-GB^MIN(XP_PRICE_VWAP(-6AM,43853))&lt;/Q&gt;&lt;R&gt;1&lt;/R&gt;&lt;C&gt;1&lt;/C&gt;&lt;D xsi:type="xsd:double"&gt;1.4523777&lt;/D&gt;&lt;/FQL&gt;&lt;FQL&gt;&lt;Q&gt;HFD-GB^FG_PRICE(01/23/2020)&lt;/Q&gt;&lt;R&gt;1&lt;/R&gt;&lt;C&gt;1&lt;/C&gt;&lt;D xsi:type="xsd:double"&gt;1.6389999&lt;/D&gt;&lt;/FQL&gt;&lt;FQL&gt;&lt;Q&gt;HFD-GB^FE_ESTIMATE(EBIT,MED,ANNUAL_ROLL,+2,43853,,,'CURRENCY=ESTCUR,,,')&lt;/Q&gt;&lt;R&gt;1&lt;/R&gt;&lt;C&gt;1&lt;/C&gt;&lt;D xsi:type="xsd:double"&gt;52.46267&lt;/D&gt;&lt;/FQL&gt;&lt;FQL&gt;&lt;Q&gt;HFD-GB^FE_ESTIMATE(CAPEX,MED,ANNUAL_ROLL,+2,43853,,,'CURRENCY=ESTCUR,,,')&lt;/Q&gt;&lt;R&gt;1&lt;/R&gt;&lt;C&gt;1&lt;/C&gt;&lt;D xsi:type="xsd:double"&gt;40&lt;/D&gt;&lt;/FQL&gt;&lt;FQL&gt;&lt;Q&gt;HFD-GB^MIN(XP_PRICE_VWAP(-12AM,43853))&lt;/Q&gt;&lt;R&gt;1&lt;/R&gt;&lt;C&gt;1&lt;/C&gt;&lt;D xsi:type="xsd:double"&gt;1.4523777&lt;/D&gt;&lt;/FQL&gt;&lt;FQL&gt;&lt;Q&gt;HFD-GB^FE_ESTIMATE(SALES,MED,ANNUAL_ROLL,+1,43853,,,'CURRENCY=ESTCUR,,,')&lt;/Q&gt;&lt;R&gt;1&lt;/R&gt;&lt;C&gt;1&lt;/C&gt;&lt;D xsi:type="xsd:double"&gt;1140&lt;/D&gt;&lt;/FQL&gt;&lt;FQL&gt;&lt;Q&gt;HFD-GB^FE_ESTIMATE(EBIT,MED,ANNUAL_ROLL,+3,43853,,,'CURRENCY=ESTCUR,,,')&lt;/Q&gt;&lt;R&gt;1&lt;/R&gt;&lt;C&gt;1&lt;/C&gt;&lt;D xsi:type="xsd:double"&gt;55&lt;/D&gt;&lt;/FQL&gt;&lt;FQL&gt;&lt;Q&gt;HFD-GB^FE_ESTIMATE(CAPEX,MED,ANNUAL_ROLL,+3,43853,,,'CURRENCY=ESTCUR,,,')&lt;/Q&gt;&lt;R&gt;1&lt;/R&gt;&lt;C&gt;1&lt;/C&gt;&lt;D xsi:type="xsd:double"&gt;40&lt;/D&gt;&lt;/FQL&gt;&lt;FQL&gt;&lt;Q&gt;HFD-GB^P_PRICE_HIGH(43488,43853,,,,"PRICE","CLOSE")&lt;/Q&gt;&lt;R&gt;1&lt;/R&gt;&lt;C&gt;1&lt;/C&gt;&lt;D xsi:type="xsd:double"&gt;2.586&lt;/D&gt;&lt;/FQL&gt;&lt;FQL&gt;&lt;Q&gt;HFD-GB^FE_ESTIMATE(SALES,MED,ANNUAL_ROLL,+2,43853,,,'CURRENCY=ESTCUR,,,')&lt;/Q&gt;&lt;R&gt;1&lt;/R&gt;&lt;C&gt;1&lt;/C&gt;&lt;D xsi:type="xsd:double"&gt;1154&lt;/D&gt;&lt;/FQL&gt;&lt;FQL&gt;&lt;Q&gt;HFD-GB^FE_ESTIMATE(NET_INC,MED,ANNUAL_ROLL,+1,43853,,,'CURRENCY=ESTCUR,,,')&lt;/Q&gt;&lt;R&gt;1&lt;/R&gt;&lt;C&gt;1&lt;/C&gt;&lt;D xsi:type="xsd:double"&gt;43.4&lt;/D&gt;&lt;/FQL&gt;&lt;FQL&gt;&lt;Q&gt;HFD-GB^P_PRICE(43853)&lt;/Q&gt;&lt;R&gt;1&lt;/R&gt;&lt;C&gt;1&lt;/C&gt;&lt;D xsi:type="xsd:double"&gt;1.6389999&lt;/D&gt;&lt;/FQL&gt;&lt;FQL&gt;&lt;Q&gt;HFD-GB^WAVG(XP_VOLUME(43761,43853,D),XP_PRICE_VWAP(43761,43853,D))&lt;/Q&gt;&lt;R&gt;1&lt;/R&gt;&lt;C&gt;1&lt;/C&gt;&lt;D xsi:type="xsd:double"&gt;1.61869650576464&lt;/D&gt;&lt;/FQL&gt;&lt;FQL&gt;&lt;Q&gt;HFD-GB^MAX(XP_PRICE_VWAP(-1AM,43853))&lt;/Q&gt;&lt;R&gt;1&lt;/R&gt;&lt;C&gt;1&lt;/C&gt;&lt;D xsi:type="xsd:double"&gt;1.7375548&lt;/D&gt;&lt;/FQL&gt;&lt;FQL&gt;&lt;Q&gt;HFD-GB^FE_ESTIMATE(SALES,MED,ANNUAL_ROLL,+3,43853,,,'CURRENCY=ESTCUR,,,')&lt;/Q&gt;&lt;R&gt;1&lt;/R&gt;&lt;C&gt;1&lt;/C&gt;&lt;D xsi:type="xsd:double"&gt;1167.85&lt;/D&gt;&lt;/FQL&gt;&lt;FQL&gt;&lt;Q&gt;HFD-GB^FE_ESTIMATE(NET_INC,MED,ANNUAL_ROLL,+2,43853,,,'CURRENCY=ESTCUR,,,')&lt;/Q&gt;&lt;R&gt;1&lt;/R&gt;&lt;C&gt;1&lt;/C&gt;&lt;D xsi:type="xsd:double"&gt;40.3&lt;/D&gt;&lt;/FQL&gt;&lt;FQL&gt;&lt;Q&gt;HFD-GB^P_PRICE_LOW(43488,43853,,,,"PRICE","CLOSE")&lt;/Q&gt;&lt;R&gt;1&lt;/R&gt;&lt;C&gt;1&lt;/C&gt;&lt;D xsi:type="xsd:double"&gt;1.42&lt;/D&gt;&lt;/FQL&gt;&lt;FQL&gt;&lt;Q&gt;HFD-GB^FE_ESTIMATE(EBITDA,MED,ANNUAL_ROLL,+2,43853,,,'CURRENCY=ESTCUR,,,')&lt;/Q&gt;&lt;R&gt;1&lt;/R&gt;&lt;C&gt;1&lt;/C&gt;&lt;D xsi:type="xsd:double"&gt;88.3&lt;/D&gt;&lt;/FQL&gt;&lt;FQL&gt;&lt;Q&gt;HFD-GB^FG_PRICE(43488,43853)&lt;/Q&gt;&lt;R&gt;260&lt;/R&gt;&lt;C&gt;1&lt;/C&gt;&lt;D xsi:type="xsd:double"&gt;2.432&lt;/D&gt;&lt;D xsi:type="xsd:double"&gt;2.38&lt;/D&gt;&lt;D xsi:type="xsd:double"&gt;2.396&lt;/D&gt;&lt;D xsi:type="xsd:double"&gt;2.358&lt;/D&gt;&lt;D xsi:type="xsd:double"&gt;2.366&lt;/D&gt;&lt;D xsi:type="xsd:double"&gt;2.332&lt;/D&gt;&lt;D xsi:type="xsd:double"&gt;2.316&lt;/D&gt;&lt;D xsi:type="xsd:double"&gt;2.326&lt;/D&gt;&lt;D xsi:type="xsd:double"&gt;2.32&lt;/D&gt;&lt;D xsi:type="xsd:double"&gt;2.29&lt;/D&gt;&lt;D xsi:type="xsd:double"&gt;2.29&lt;/D&gt;&lt;D xsi:type="xsd:double"&gt;2.288&lt;/D&gt;&lt;D xsi:type="xsd:double"&gt;2.286&lt;/D&gt;&lt;D xsi:type="xsd:double"&gt;2.326&lt;/D&gt;&lt;D xsi:type="xsd:double"&gt;2.376&lt;/D&gt;&lt;D xsi:type="xsd:double"&gt;2.416&lt;/D&gt;&lt;D xsi:type="xsd:double"&gt;2.416&lt;/D&gt;&lt;D xsi:type="xsd:double"&gt;2.442&lt;/D&gt;&lt;D xsi:type="xsd:double"&gt;2.448&lt;/D&gt;&lt;D xsi:type="xsd:double"&gt;2.416&lt;/D&gt;&lt;D xsi:type="xsd:double"&gt;2.396&lt;/D&gt;&lt;D xsi:type="xsd:double"&gt;2.348&lt;/D&gt;&lt;D xsi:type="xsd:double"&gt;2.342&lt;/D&gt;&lt;D xsi:type="xsd:double"&gt;2.356&lt;/D&gt;&lt;D xsi:type="xsd:double"&gt;2.404&lt;/D&gt;&lt;D xsi:type="xsd:double"&gt;2.38&lt;/D&gt;&lt;D xsi:type="xsd:double"&gt;2.366&lt;/D&gt;&lt;D xsi:type="xsd:double"&gt;2.47&lt;/D&gt;&lt;D xsi:type="xsd:double"&gt;2.46&lt;/D&gt;&lt;D xsi:type="xsd:double"&gt;2.476&lt;/D&gt;&lt;D xsi:type="xsd:double"&gt;2.478&lt;/D&gt;&lt;D xsi:type="xsd:double"&gt;2.43&lt;/D&gt;&lt;D xsi:type="xsd:double"&gt;2.38&lt;/D&gt;&lt;D xsi:type="xsd:double"&gt;2.356&lt;/D&gt;&lt;D xsi:type="xsd:double"&gt;2.402&lt;/D&gt;&lt;D xsi:type="xsd:double"&gt;2.45&lt;/D&gt;&lt;D xsi:type="xsd:double"&gt;2.486&lt;/D&gt;&lt;D xsi:type="xsd:double"&gt;2.468&lt;/D&gt;&lt;D xsi:type="xsd:double"&gt;2.464&lt;/D&gt;&lt;D xsi:type="xsd:double"&gt;2.586&lt;/D&gt;&lt;D xsi:type="xsd:double"&gt;2.456&lt;/D&gt;&lt;D xsi:type="xsd:double"&gt;2.45&lt;/D&gt;&lt;D xsi:type="xsd:double"&gt;2.418&lt;/D&gt;&lt;D xsi:type="xsd:double"&gt;2.338&lt;/D&gt;&lt;D xsi:type="xsd:double"&gt;2.326&lt;/D&gt;&lt;D xsi:type="xsd:double"&gt;2.324&lt;/D&gt;&lt;D xsi:type="xsd:double"&gt;2.32&lt;/D&gt;&lt;D xsi:type="xsd:double"&gt;2.32&lt;/D&gt;&lt;D xsi:type="xsd:double"&gt;2.354&lt;/D&gt;&lt;D xsi:type="xsd:double"&gt;2.416&lt;/D&gt;&lt;D xsi:type="xsd:double"&gt;2.388&lt;/D&gt;&lt;D xsi:type="xsd:double"&gt;2.366&lt;/D&gt;&lt;D xsi:type="xsd:double"&gt;2.388&lt;/D&gt;&lt;D xsi:type="xsd:double"&gt;2.356&lt;/D&gt;&lt;D xsi:type="xsd:double"&gt;2.344&lt;/D&gt;&lt;D xsi:type="xsd:double"&gt;2.322&lt;/D&gt;&lt;D xsi:type="xsd:double"&gt;2.3600001&lt;/D&gt;&lt;D xsi:type="xsd:double"&gt;2.3600001&lt;/D&gt;&lt;D xsi:type="xsd:double"&gt;2.3600001&lt;/D&gt;&lt;D xsi:type="xsd:double"&gt;2.3600001&lt;/D&gt;&lt;D xsi:type="xsd:double"&gt;2.4&lt;/D&gt;&lt;D xsi:type="xsd:double"&gt;2.422&lt;/D&gt;&lt;D xsi:type="xsd:double"&gt;2.422&lt;/D&gt;&lt;D xsi:type="xsd:double"&gt;2.422&lt;/D&gt;&lt;D xsi:type="xsd:double"&gt;2.414&lt;/D&gt;&lt;D xsi:type="xsd:double"&gt;2.4&lt;/D&gt;&lt;D xsi:type="xsd:double"&gt;2.394&lt;/D&gt;&lt;D xsi:type="xsd:double"&gt;2.376&lt;/D&gt;&lt;D xsi:type="xsd:double"&gt;2.348&lt;/D&gt;&lt;D xsi:type="xsd:double"&gt;2.336&lt;/D&gt;&lt;D xsi:type="xsd:double"&gt;2.414&lt;/D&gt;&lt;D xsi:type="xsd:double"&gt;2.378&lt;/D&gt;&lt;D xsi:type="xsd:double"&gt;2.394&lt;/D&gt;&lt;D xsi:type="xsd:double"&gt;2.394&lt;/D&gt;&lt;D xsi:type="xsd:double"&gt;2.424&lt;/D&gt;&lt;D xsi:type="xsd:double"&gt;2.406&lt;/D&gt;&lt;D xsi:type="xsd:double"&gt;2.4&lt;/D&gt;&lt;D xsi:type="xsd:double"&gt;2.394&lt;/D&gt;&lt;D xsi:type="xsd:double"&gt;2.3899999&lt;/D&gt;&lt;D xsi:type="xsd:double"&gt;2.386&lt;/D&gt;&lt;D xsi:type="xsd:double"&gt;2.404&lt;/D&gt;&lt;D xsi:type="xsd:double"&gt;2.414&lt;/D&gt;&lt;D xsi:type="xsd:double"&gt;2.402&lt;/D&gt;&lt;D xsi:type="xsd:double"&gt;2.3899999&lt;/D&gt;&lt;D xsi:type="xsd:double"&gt;2.3899999&lt;/D&gt;&lt;D xsi:type="xsd:double"&gt;2.3600001&lt;/D&gt;&lt;D xsi:type="xsd:double"&gt;2.356&lt;/D&gt;&lt;D xsi:type="xsd:double"&gt;2.32&lt;/D&gt;&lt;D xsi:type="xsd:double"&gt;2.32&lt;/D&gt;&lt;D xsi:type="xsd:double"&gt;2.28&lt;/D&gt;&lt;D xsi:type="xsd:double"&gt;2.246&lt;/D&gt;&lt;D xsi:type="xsd:double"&gt;2.26&lt;/D&gt;&lt;D xsi:type="xsd:double"&gt;2.252&lt;/D&gt;&lt;D xsi:type="xsd:double"&gt;2.23&lt;/D&gt;&lt;D xsi:type="xsd:double"&gt;2.2680001&lt;/D&gt;&lt;D xsi:type="xsd:double"&gt;2.264&lt;/D&gt;&lt;D xsi:type="xsd:double"&gt;2.2680001&lt;/D&gt;&lt;D xsi:type="xsd:double"&gt;2.272&lt;/D&gt;&lt;D xsi:type="xsd:double"&gt;2.324&lt;/D&gt;&lt;D xsi:type="xsd:double"&gt;2.356&lt;/D&gt;&lt;D xsi:type="xsd:double"&gt;2.324&lt;/D&gt;&lt;D xsi:type="xsd:double"&gt;2.344&lt;/D&gt;&lt;D xsi:type="xsd:double"&gt;2.318&lt;/D&gt;&lt;D xsi:type="xsd:double"&gt;2.306&lt;/D&gt;&lt;D xsi:type="xsd:double"&gt;2.302&lt;/D&gt;&lt;D xsi:type="xsd:double"&gt;2.27&lt;/D&gt;&lt;D xsi:type="xsd:double"&gt;2.242&lt;/D&gt;&lt;D xsi:type="xsd:double"&gt;2.25&lt;/D&gt;&lt;D xsi:type="xsd:double"&gt;2.2220001&lt;/D&gt;&lt;D xsi:type="xsd:double"&gt;2.212&lt;/D&gt;&lt;D xsi:type="xsd:double"&gt;2.212&lt;/D&gt;&lt;D xsi:type="xsd:double"&gt;2.18&lt;/D&gt;&lt;D xsi:type="xsd:double"&gt;2.246&lt;/D&gt;&lt;D xsi:type="xsd:double"&gt;2.25&lt;/D&gt;&lt;D xsi:type="xsd:double"&gt;2.23&lt;/D&gt;&lt;D xsi:type="xsd:double"&gt;2.2&lt;/D&gt;&lt;D xsi:type="xsd:double"&gt;2.206&lt;/D&gt;&lt;D xsi:type="xsd:double"&gt;2.206&lt;/D&gt;&lt;D xsi:type="xsd:double"&gt;2.2319999&lt;/D&gt;&lt;D xsi:type="xsd:double"&gt;2.186&lt;/D&gt;&lt;D xsi:type="xsd:double"&gt;2.17&lt;/D&gt;&lt;D xsi:type="xsd:double"&gt;2.174&lt;/D&gt;&lt;D xsi:type="xsd:double"&gt;2.17&lt;/D&gt;&lt;D xsi:type="xsd:double"&gt;2.166&lt;/D&gt;&lt;D xsi:type="xsd:double"&gt;2.166&lt;/D&gt;&lt;D xsi:type="xsd:double"&gt;2.164&lt;/D&gt;&lt;D xsi:type="xsd:double"&gt;2.158&lt;/D&gt;&lt;D xsi:type="xsd:double"&gt;2.144&lt;/D&gt;&lt;D xsi:type="xsd:double"&gt;2.14&lt;/D&gt;&lt;D xsi:type="xsd:double"&gt;2.128&lt;/D&gt;&lt;D xsi:type="xsd:double"&gt;2.134&lt;/D&gt;&lt;D xsi:type="xsd:double"&gt;2.052&lt;/D&gt;&lt;D xsi:type="xsd:double"&gt;2.05&lt;/D&gt;&lt;D xsi:type="xsd:double"&gt;2.046&lt;/D&gt;&lt;D xsi:type="xsd:double"&gt;1.964&lt;/D&gt;&lt;D xsi:type="xsd:double"&gt;1.9200001&lt;/D&gt;&lt;D xsi:type="xsd:double"&gt;1.846&lt;/D&gt;&lt;D xsi:type="xsd:double"&gt;1.814&lt;/D&gt;&lt;D xsi:type="xsd:double"&gt;1.7609999&lt;/D&gt;&lt;D xsi:type="xsd:double"&gt;1.7739999&lt;/D&gt;&lt;D xsi:type="xsd:double"&gt;1.76&lt;/D&gt;&lt;D xsi:type="xsd:double"&gt;1.786&lt;/D&gt;&lt;D xsi:type="xsd:double"&gt;1.77&lt;/D&gt;&lt;D xsi:type="xsd:double"&gt;1.77&lt;/D&gt;&lt;D xsi:type="xsd:double"&gt;1.745&lt;/D&gt;&lt;D xsi:type="xsd:double"&gt;1.733&lt;/D&gt;&lt;D xsi:type="xsd:double"&gt;1.673&lt;/D&gt;&lt;D xsi:type="xsd:double"&gt;1.677&lt;/D&gt;&lt;D xsi:type="xsd:double"&gt;1.71&lt;/D&gt;&lt;D xsi:type="xsd:double"&gt;1.7390001&lt;/D&gt;&lt;D xsi:type="xsd:double"&gt;1.7390001&lt;/D&gt;&lt;D xsi:type="xsd:double"&gt;1.76&lt;/D&gt;&lt;D xsi:type="xsd:double"&gt;1.757&lt;/D&gt;&lt;D xsi:type="xsd:double"&gt;1.757&lt;/D&gt;&lt;D xsi:type="xsd:double"&gt;1.7850001&lt;/D&gt;&lt;D xsi:type="xsd:double"&gt;1.7950001&lt;/D&gt;&lt;D xsi:type="xsd:double"&gt;1.7950001&lt;/D&gt;&lt;D xsi:type="xsd:double"&gt;1.809&lt;/D&gt;&lt;D xsi:type="xsd:double"&gt;1.8740001&lt;/D&gt;&lt;D xsi:type="xsd:double"&gt;1.723&lt;/D&gt;&lt;D xsi:type="xsd:double"&gt;1.6930001&lt;/D&gt;&lt;D xsi:type="xsd:double"&gt;1.656&lt;/D&gt;&lt;D xsi:type="xsd:double"&gt;1.744&lt;/D&gt;&lt;D xsi:type="xsd:double"&gt;1.7030001&lt;/D&gt;&lt;D xsi:type="xsd:double"&gt;1.7360001&lt;/D&gt;&lt;D xsi:type="xsd:double"&gt;1.706&lt;/D&gt;&lt;D xsi:type="xsd:double"&gt;1.7030001&lt;/D&gt;&lt;D xsi:type="xsd:double"&gt;1.73&lt;/D&gt;&lt;D xsi:type="xsd:double"&gt;1.75&lt;/D&gt;&lt;D xsi:type="xsd:double"&gt;1.72&lt;/D&gt;&lt;D xsi:type="xsd:double"&gt;1.699&lt;/D&gt;&lt;D xsi:type="xsd:double"&gt;1.669&lt;/D&gt;&lt;D xsi:type="xsd:double"&gt;1.71&lt;/D&gt;&lt;D xsi:type="xsd:double"&gt;1.732&lt;/D&gt;&lt;D xsi:type="xsd:double"&gt;1.75&lt;/D&gt;&lt;D xsi:type="xsd:double"&gt;1.747&lt;/D&gt;&lt;D xsi:type="xsd:double"&gt;1.7409999&lt;/D&gt;&lt;D xsi:type="xsd:double"&gt;1.744&lt;/D&gt;&lt;D xsi:type="xsd:double"&gt;1.702&lt;/D&gt;&lt;D xsi:type="xsd:double"&gt;1.702&lt;/D&gt;&lt;D xsi:type="xsd:double"&gt;1.7179999&lt;/D&gt;&lt;D xsi:type="xsd:double"&gt;1.69&lt;/D&gt;&lt;D xsi:type="xsd:double"&gt;1.6489999&lt;/D&gt;&lt;D xsi:type="xsd:double"&gt;1.63&lt;/D&gt;&lt;D xsi:type="xsd:double"&gt;1.622&lt;/D&gt;&lt;D xsi:type="xsd:double"&gt;1.612&lt;/D&gt;&lt;D xsi:type="xsd:double"&gt;1.584&lt;/D&gt;&lt;D xsi:type="xsd:double"&gt;1.6570001&lt;/D&gt;&lt;D xsi:type="xsd:double"&gt;1.627&lt;/D&gt;&lt;D xsi:type="xsd:double"&gt;1.658&lt;/D&gt;&lt;D xsi:type="xsd:double"&gt;1.658&lt;/D&gt;&lt;D xsi:type="xsd:double"&gt;1.654&lt;/D&gt;&lt;D xsi:type="xsd:double"&gt;1.71&lt;/D&gt;&lt;D xsi:type="xsd:double"&gt;1.737&lt;/D&gt;&lt;D xsi:type="xsd:double"&gt;1.75&lt;/D&gt;&lt;D xsi:type="xsd:double"&gt;1.77&lt;/D&gt;&lt;D xsi:type="xsd:double"&gt;1.735&lt;/D&gt;&lt;D xsi:type="xsd:double"&gt;1.6919999&lt;/D&gt;&lt;D xsi:type="xsd:double"&gt;1.691&lt;/D&gt;&lt;D xsi:type="xsd:double"&gt;1.671&lt;/D&gt;&lt;D xsi:type="xsd:double"&gt;1.6&lt;/D&gt;&lt;D xsi:type="xsd:double"&gt;1.584&lt;/D&gt;&lt;D xsi:type="xsd:double"&gt;1.536&lt;/D&gt;&lt;D xsi:type="xsd:double"&gt;1.519&lt;/D&gt;&lt;D xsi:type="xsd:double"&gt;1.54&lt;/D&gt;&lt;D xsi:type="xsd:double"&gt;1.525&lt;/D&gt;&lt;D xsi:type="xsd:double"&gt;1.56&lt;/D&gt;&lt;D xsi:type="xsd:double"&gt;1.65&lt;/D&gt;&lt;D xsi:type="xsd:double"&gt;1.6949999&lt;/D&gt;&lt;D xsi:type="xsd:double"&gt;1.6259999&lt;/D&gt;&lt;D xsi:type="xsd:double"&gt;1.627&lt;/D&gt;&lt;D xsi:type="xsd:double"&gt;1.622&lt;/D&gt;&lt;D xsi:type="xsd:double"&gt;1.646&lt;/D&gt;&lt;D xsi:type="xsd:double"&gt;1.65&lt;/D&gt;&lt;D xsi:type="xsd:double"&gt;1.627&lt;/D&gt;&lt;D xsi:type="xsd:double"&gt;1.583&lt;/D&gt;&lt;D xsi:type="xsd:double"&gt;1.584&lt;/D&gt;&lt;D xsi:type="xsd:double"&gt;1.6&lt;/D&gt;&lt;D xsi:type="xsd:double"&gt;1.623&lt;/D&gt;&lt;D xsi:type="xsd:double"&gt;1.575&lt;/D&gt;&lt;D xsi:type="xsd:double"&gt;1.61&lt;/D&gt;&lt;D xsi:type="xsd:double"&gt;1.6489999&lt;/D&gt;&lt;D xsi:type="xsd:double"&gt;1.606&lt;/D&gt;&lt;D xsi:type="xsd:double"&gt;1.6370001&lt;/D&gt;&lt;D xsi:type="xsd:double"&gt;1.599&lt;/D&gt;&lt;D xsi:type="xsd:double"&gt;1.64&lt;/D&gt;&lt;D xsi:type="xsd:double"&gt;1.6&lt;/D&gt;&lt;D xsi:type="xsd:double"&gt;1.635&lt;/D&gt;&lt;D xsi:type="xsd:double"&gt;1.605&lt;/D&gt;&lt;D xsi:type="xsd:double"&gt;1.61&lt;/D&gt;&lt;D xsi:type="xsd:double"&gt;1.64&lt;/D&gt;&lt;D xsi:type="xsd:double"&gt;1.664&lt;/D&gt;&lt;D xsi:type="xsd:double"&gt;1.74&lt;/D&gt;&lt;D xsi:type="xsd:double"&gt;1.7720001&lt;/D&gt;&lt;D xsi:type="xsd:double"&gt;1.7590001&lt;/D&gt;&lt;D xsi:type="xsd:double"&gt;1.713&lt;/D&gt;&lt;D xsi:type="xsd:double"&gt;1.745&lt;/D&gt;&lt;D xsi:type="xsd:double"&gt;1.788&lt;/D&gt;&lt;D xsi:type="xsd:double"&gt;1.745&lt;/D&gt;&lt;D xsi:type="xsd:double"&gt;1.727&lt;/D&gt;&lt;D xsi:type="xsd:double"&gt;1.727&lt;/D&gt;&lt;D xsi:type="xsd:double"&gt;1.744&lt;/D&gt;&lt;D xsi:type="xsd:double"&gt;1.714&lt;/D&gt;&lt;D xsi:type="xsd:double"&gt;1.6930001&lt;/D&gt;&lt;D xsi:type="xsd:double"&gt;1.7030001&lt;/D&gt;&lt;D xsi:type="xsd:double"&gt;1.678&lt;/D&gt;&lt;D xsi:type="xsd:double"&gt;1.623&lt;/D&gt;&lt;D xsi:type="xsd:double"&gt;1.599&lt;/D&gt;&lt;D xsi:type="xsd:double"&gt;1.5799999&lt;/D&gt;&lt;D xsi:type="xsd:double"&gt;1.541&lt;/D&gt;&lt;D xsi:type="xsd:double"&gt;1.42&lt;/D&gt;&lt;D xsi:type="xsd:double"&gt;1.46&lt;/D&gt;&lt;D xsi:type="xsd:double"&gt;1.46&lt;/D&gt;&lt;D xsi:type="xsd:double"&gt;1.455&lt;/D&gt;&lt;D xsi:type="xsd:double"&gt;1.5350001&lt;/D&gt;&lt;D xsi:type="xsd:double"&gt;1.52&lt;/D&gt;&lt;D xsi:type="xsd:double"&gt;1.606&lt;/D&gt;&lt;D xsi:type="xsd:double"&gt;1.584&lt;/D&gt;&lt;D xsi:type="xsd:double"&gt;1.621&lt;/D&gt;&lt;D xsi:type="xsd:double"&gt;1.6389999&lt;/D&gt;&lt;/FQL&gt;&lt;FQL&gt;&lt;Q&gt;HFD-GB^MIN(XP_PRICE_VWAP(-1AM,43853))&lt;/Q&gt;&lt;R&gt;1&lt;/R&gt;&lt;C&gt;1&lt;/C&gt;&lt;D xsi:type="xsd:double"&gt;1.4523777&lt;/D&gt;&lt;/FQL&gt;&lt;FQL&gt;&lt;Q&gt;HFD-GB^FE_ESTIMATE(NET_INC,MED,ANNUAL_ROLL,+3,43853,,,'CURRENCY=ESTCUR,,,')&lt;/Q&gt;&lt;R&gt;1&lt;/R&gt;&lt;C&gt;1&lt;/C&gt;&lt;D xsi:type="xsd:double"&gt;41.5&lt;/D&gt;&lt;/FQL&gt;&lt;FQL&gt;&lt;Q&gt;HFD-GB^FE_ESTIMATE(PTX_INC,MED,ANNUAL_ROLL,+1,43853,,,'CURRENCY=ESTCUR,,,')&lt;/Q&gt;&lt;R&gt;1&lt;/R&gt;&lt;C&gt;1&lt;/C&gt;&lt;D xsi:type="xsd:double"&gt;52.5&lt;/D&gt;&lt;/FQL&gt;&lt;FQL&gt;&lt;Q&gt;HFD-GB^MAX(XP_PRICE_VWAP(-12AM,43853))&lt;/Q&gt;&lt;R&gt;1&lt;/R&gt;&lt;C&gt;1&lt;/C&gt;&lt;D xsi:type="xsd:double"&gt;2.549892&lt;/D&gt;&lt;/FQL&gt;&lt;FQL&gt;&lt;Q&gt;HFD-GB^FE_ESTIMATE(PTX_INC,MED,ANNUAL_ROLL,+2,43853,,,'CURRENCY=ESTCUR,,,')&lt;/Q&gt;&lt;R&gt;1&lt;/R&gt;&lt;C&gt;1&lt;/C&gt;&lt;D xsi:type="xsd:double"&gt;48.42266&lt;/D&gt;&lt;/FQL&gt;&lt;FQL&gt;&lt;Q&gt;HFD-GB^WAVG(XP_VOLUME(43488,43853,D),XP_PRICE_VWAP(43488,43853,D))&lt;/Q&gt;&lt;R&gt;1&lt;/R&gt;&lt;C&gt;1&lt;/C&gt;&lt;D xsi:type="xsd:double"&gt;1.95616832396139&lt;/D&gt;&lt;/FQL&gt;&lt;FQL&gt;&lt;Q&gt;HFD-GB^FE_ESTIMATE(PTX_INC,MED,ANNUAL_ROLL,+3,43853,,,'CURRENCY=ESTCUR,,,')&lt;/Q&gt;&lt;R&gt;1&lt;/R&gt;&lt;C&gt;1&lt;/C&gt;&lt;D xsi:type="xsd:double"&gt;50.45556&lt;/D&gt;&lt;/FQL&gt;&lt;FQL&gt;&lt;Q&gt;HFD-GB^FE_ESTIMATE(EBITDA,MED,ANNUAL_ROLL,+3,43853,,,'CURRENCY=ESTCUR,,,')&lt;/Q&gt;&lt;R&gt;1&lt;/R&gt;&lt;C&gt;1&lt;/C&gt;&lt;D xsi:type="xsd:double"&gt;91.2&lt;/D&gt;&lt;/FQL&gt;&lt;FQL&gt;&lt;Q&gt;HFD-GB^FE_ESTIMATE(EBIT,MED,ANNUAL_ROLL,+1,43853,,,'CURRENCY=ESTCUR,,,')&lt;/Q&gt;&lt;R&gt;1&lt;/R&gt;&lt;C&gt;1&lt;/C&gt;&lt;D xsi:type="xsd:double"&gt;55.716156&lt;/D&gt;&lt;/FQL&gt;&lt;FQL&gt;&lt;Q&gt;HFD-GB^FE_ESTIMATE(EBITDA,MED,ANNUAL_ROLL,+1,43853,,,'CURRENCY=ESTCUR,,,')&lt;/Q&gt;&lt;R&gt;1&lt;/R&gt;&lt;C&gt;1&lt;/C&gt;&lt;D xsi:type="xsd:double"&gt;90&lt;/D&gt;&lt;/FQL&gt;&lt;FQL&gt;&lt;Q&gt;HFD-GB^WAVG(XP_VOLUME(43669,43853,D),XP_PRICE_VWAP(43669,43853,D))&lt;/Q&gt;&lt;R&gt;1&lt;/R&gt;&lt;C&gt;1&lt;/C&gt;&lt;D xsi:type="xsd:double"&gt;1.67287370726528&lt;/D&gt;&lt;/FQL&gt;&lt;FQL&gt;&lt;Q&gt;HFD-GB^MIN(XP_PRICE_VWAP(-3AM,43853))&lt;/Q&gt;&lt;R&gt;1&lt;/R&gt;&lt;C&gt;1&lt;/C&gt;&lt;D xsi:type="xsd:double"&gt;1.4523777&lt;/D&gt;&lt;/FQL&gt;&lt;/Schema&gt;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Soni, Sushant</author>
  </authors>
  <commentList>
    <comment ref="D19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5/35 FS 1H20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Chauhan, Soumya</author>
    <author>Sukant Gupta</author>
    <author>Soni, Sushant</author>
    <author>Yates, James</author>
    <author>Pranav</author>
  </authors>
  <commentList>
    <comment ref="F9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G9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H9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I9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J9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K9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Q13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3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8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22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% based on last 15 years average</t>
        </r>
      </text>
    </comment>
    <comment ref="K29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L29" authorId="0" shapeId="0" xr:uid="{00000000-0006-0000-0500-00000C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M29" authorId="0" shapeId="0" xr:uid="{00000000-0006-0000-0500-00000D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F31" authorId="1" shapeId="0" xr:uid="{00000000-0006-0000-0500-00000E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42/118 ARF15</t>
        </r>
      </text>
    </comment>
    <comment ref="G31" authorId="1" shapeId="0" xr:uid="{00000000-0006-0000-0500-00000F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38 (42/126) ARF16</t>
        </r>
      </text>
    </comment>
    <comment ref="H31" authorId="1" shapeId="0" xr:uid="{00000000-0006-0000-0500-000010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128/152 ARF17</t>
        </r>
      </text>
    </comment>
    <comment ref="I31" authorId="1" shapeId="0" xr:uid="{00000000-0006-0000-0500-000011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J31" authorId="1" shapeId="0" xr:uid="{00000000-0006-0000-0500-000012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K31" authorId="2" shapeId="0" xr:uid="{00000000-0006-0000-0500-000013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15/29 FS FY19</t>
        </r>
      </text>
    </comment>
    <comment ref="C45" authorId="3" shapeId="0" xr:uid="{00000000-0006-0000-0500-000014000000}">
      <text>
        <r>
          <rPr>
            <b/>
            <sz val="9"/>
            <color indexed="81"/>
            <rFont val="Tahoma"/>
            <family val="2"/>
          </rPr>
          <t>Change in inventories, receivables and payables</t>
        </r>
      </text>
    </comment>
    <comment ref="Q47" authorId="4" shapeId="0" xr:uid="{00000000-0006-0000-0500-00001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Earlier 0%</t>
        </r>
      </text>
    </comment>
    <comment ref="Q53" authorId="4" shapeId="0" xr:uid="{00000000-0006-0000-0500-00001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no further exceptional</t>
        </r>
      </text>
    </comment>
  </commentList>
</comments>
</file>

<file path=xl/sharedStrings.xml><?xml version="1.0" encoding="utf-8"?>
<sst xmlns="http://schemas.openxmlformats.org/spreadsheetml/2006/main" count="281" uniqueCount="170">
  <si>
    <t>This sheet contains FactSet XML data for use with this workbook's =FDS codes.  Modifying the worksheet's contents may damage the workbook's =FDS functionality.</t>
  </si>
  <si>
    <t>Happy Hour Co — MODEL</t>
  </si>
  <si>
    <t xml:space="preserve">S T R I C T L Y    P R I V A T E    A N D    C O N F I D E N T I A L </t>
  </si>
  <si>
    <t>Assumptions</t>
  </si>
  <si>
    <t>Circular switch</t>
  </si>
  <si>
    <t>On / off</t>
  </si>
  <si>
    <t>Key assumptions</t>
  </si>
  <si>
    <t>Last Historical FYE</t>
  </si>
  <si>
    <t>Transaction date</t>
  </si>
  <si>
    <t>Enterprise value calculation</t>
  </si>
  <si>
    <t>Current share price (c)</t>
  </si>
  <si>
    <t>p_price</t>
  </si>
  <si>
    <t>NOSH (m)</t>
  </si>
  <si>
    <t>Market cap ($m)</t>
  </si>
  <si>
    <t>Net debt / (cash) ($m)</t>
  </si>
  <si>
    <t>Minority interests ($m)</t>
  </si>
  <si>
    <t>Pension liability ($m)</t>
  </si>
  <si>
    <t>Investment in associates ($m)</t>
  </si>
  <si>
    <t>EV ($m)</t>
  </si>
  <si>
    <t>Happy Hour Co - 5 Year plan</t>
  </si>
  <si>
    <t xml:space="preserve">5 Year Plan </t>
  </si>
  <si>
    <t>FY20</t>
  </si>
  <si>
    <t>FY21</t>
  </si>
  <si>
    <t>FY22</t>
  </si>
  <si>
    <t>FY23</t>
  </si>
  <si>
    <t>FY24</t>
  </si>
  <si>
    <t>Revenue</t>
  </si>
  <si>
    <t>YoY growth %</t>
  </si>
  <si>
    <t>GP $</t>
  </si>
  <si>
    <t>GM%</t>
  </si>
  <si>
    <t>Opex</t>
  </si>
  <si>
    <t>Operating profit</t>
  </si>
  <si>
    <t>Operating margin %</t>
  </si>
  <si>
    <t>Interest and Amortisation</t>
  </si>
  <si>
    <t>Group PBT (Underlying)</t>
  </si>
  <si>
    <t>Exceptionals</t>
  </si>
  <si>
    <t>Group PBT post exceptionals</t>
  </si>
  <si>
    <t>Add back: Interest</t>
  </si>
  <si>
    <t>Add back: Amortisation</t>
  </si>
  <si>
    <t>Add back: Depreciation</t>
  </si>
  <si>
    <t>EBITDA post exceptionals</t>
  </si>
  <si>
    <t>Adjust for non-cash exceptionals</t>
  </si>
  <si>
    <t>Capex</t>
  </si>
  <si>
    <t>Acquisition</t>
  </si>
  <si>
    <t>Tax</t>
  </si>
  <si>
    <t>Interest</t>
  </si>
  <si>
    <t xml:space="preserve">Working Capital </t>
  </si>
  <si>
    <t>Dividend</t>
  </si>
  <si>
    <t>Other</t>
  </si>
  <si>
    <t>Net Cash flow</t>
  </si>
  <si>
    <t>Free Cash Flow</t>
  </si>
  <si>
    <t>Opening Net Debt</t>
  </si>
  <si>
    <t>Closing Net Debt</t>
  </si>
  <si>
    <t>Net debt : EBITDA</t>
  </si>
  <si>
    <t>Income statement</t>
  </si>
  <si>
    <t>Actuals</t>
  </si>
  <si>
    <t>CMD case</t>
  </si>
  <si>
    <t>Extrapolations</t>
  </si>
  <si>
    <t>Total revenue</t>
  </si>
  <si>
    <t>Management case</t>
  </si>
  <si>
    <t>&lt;&lt;&lt; link from financials tab</t>
  </si>
  <si>
    <t>% forecast growth</t>
  </si>
  <si>
    <t>&lt;&lt;&lt; include growth rates trending to 1% by 2030</t>
  </si>
  <si>
    <t>EBITDA</t>
  </si>
  <si>
    <t>% growth</t>
  </si>
  <si>
    <t>% forecast margin</t>
  </si>
  <si>
    <t>&lt;&lt;&lt; include growth rates trending to 9% by 2030</t>
  </si>
  <si>
    <t>Depreciation and amortisation</t>
  </si>
  <si>
    <t>% capex</t>
  </si>
  <si>
    <t>&lt;&lt;&lt; express % vs capex, and for years 2025 onwards include growth rates trending to 95% by 2030</t>
  </si>
  <si>
    <t>% margin</t>
  </si>
  <si>
    <t>EBIT</t>
  </si>
  <si>
    <t>% tax rate</t>
  </si>
  <si>
    <t>&lt;&lt;&lt; assume tax rate same as 2021</t>
  </si>
  <si>
    <t>x</t>
  </si>
  <si>
    <t>Net income</t>
  </si>
  <si>
    <t>Cashflow statement</t>
  </si>
  <si>
    <t>&lt;&lt;&lt; link from financials tab and for 2025 onwards assume same as last year's forecast given by the company</t>
  </si>
  <si>
    <t>% sales</t>
  </si>
  <si>
    <t>% Cash conversion</t>
  </si>
  <si>
    <t>Change in Working Capital</t>
  </si>
  <si>
    <t>&lt;&lt;&lt; link from financials tab and for 2025 onwards express change in working capital as % sales</t>
  </si>
  <si>
    <t>Other Cashflows</t>
  </si>
  <si>
    <t>&lt;&lt;&lt; link from financials tab and for 2025 onwards assume same as last year forecasts given by the company</t>
  </si>
  <si>
    <t>Exceptional items</t>
  </si>
  <si>
    <t>Summary financials</t>
  </si>
  <si>
    <t>March Y/E</t>
  </si>
  <si>
    <t>D&amp;A</t>
  </si>
  <si>
    <t>% of revenue</t>
  </si>
  <si>
    <t>% of capex</t>
  </si>
  <si>
    <t>% revenue</t>
  </si>
  <si>
    <t>Change in NWC</t>
  </si>
  <si>
    <t>DCF</t>
  </si>
  <si>
    <t>Next financial YE</t>
  </si>
  <si>
    <t>Perpetuity growth rate</t>
  </si>
  <si>
    <t>&lt;&lt;&lt; Put down the assumptions after discussing with your senior</t>
  </si>
  <si>
    <t>TV exit EBITDA multiple</t>
  </si>
  <si>
    <t>WACC used for sensitivity analysis</t>
  </si>
  <si>
    <t>Below fill in the blanks by linking from the Financials tab</t>
  </si>
  <si>
    <t>update formula, growth is expressed vs previous year and margin is vs sales</t>
  </si>
  <si>
    <t xml:space="preserve">update as noted </t>
  </si>
  <si>
    <t>DCF FCF Calculation</t>
  </si>
  <si>
    <t>Stub period</t>
  </si>
  <si>
    <t>Stub factor</t>
  </si>
  <si>
    <t>Estimates</t>
  </si>
  <si>
    <t>&lt;&lt; EBIT*tax rate</t>
  </si>
  <si>
    <t>EBIAT</t>
  </si>
  <si>
    <t>&lt;&lt; EBIT+tax</t>
  </si>
  <si>
    <t>% D&amp;A</t>
  </si>
  <si>
    <t>Change in working capital</t>
  </si>
  <si>
    <t>FCF</t>
  </si>
  <si>
    <t>&lt;&lt;add EBIT+D&amp;A+Capex(-ve)+Change in WC (-ve)+other cashflows +exceptional items</t>
  </si>
  <si>
    <t>FCF for discounting</t>
  </si>
  <si>
    <t>Days to cashflow</t>
  </si>
  <si>
    <t>Discount factor</t>
  </si>
  <si>
    <t>Terminal value</t>
  </si>
  <si>
    <t>Perpetuity growth portion</t>
  </si>
  <si>
    <t>Exit EBITDA multiple</t>
  </si>
  <si>
    <t>Perpetuity growth method</t>
  </si>
  <si>
    <t>Exit EBITDA multiple method</t>
  </si>
  <si>
    <t>Present value</t>
  </si>
  <si>
    <t>($m)</t>
  </si>
  <si>
    <t>(%)</t>
  </si>
  <si>
    <t>PV of FCF</t>
  </si>
  <si>
    <t>PV of Terminal Value</t>
  </si>
  <si>
    <t>Enterprise value</t>
  </si>
  <si>
    <t>Net debt &amp; adjustments</t>
  </si>
  <si>
    <t>Equity value</t>
  </si>
  <si>
    <t>Share price</t>
  </si>
  <si>
    <t>% premium to current</t>
  </si>
  <si>
    <t>Sensitivity analysis</t>
  </si>
  <si>
    <t>Spread rates and step-up</t>
  </si>
  <si>
    <t>Perptuity growth rate step-up</t>
  </si>
  <si>
    <t>EBITDA multiple</t>
  </si>
  <si>
    <t>EBITDA multiple step-up</t>
  </si>
  <si>
    <t>WACC</t>
  </si>
  <si>
    <t>WACC step-up</t>
  </si>
  <si>
    <t>Perpetuity growth rate analysis</t>
  </si>
  <si>
    <t>EBITDA multiple analysis</t>
  </si>
  <si>
    <t>Enterprise value ($m)</t>
  </si>
  <si>
    <t>WACC (%)</t>
  </si>
  <si>
    <t>Perpetuity growth rate (%)</t>
  </si>
  <si>
    <t>Exit EBITDA multiple (x)</t>
  </si>
  <si>
    <t>Offer price (p)</t>
  </si>
  <si>
    <t>Tax rate</t>
  </si>
  <si>
    <t>+D&amp;A</t>
  </si>
  <si>
    <t>+ Maintenance capex</t>
  </si>
  <si>
    <t>+Change in working capital</t>
  </si>
  <si>
    <t>+ Exceptional cash flows</t>
  </si>
  <si>
    <t>+ Other cash flows</t>
  </si>
  <si>
    <t>DCF output</t>
  </si>
  <si>
    <t>Summary financials and cashflow</t>
  </si>
  <si>
    <t>DCF Forecast Year</t>
  </si>
  <si>
    <t>TV</t>
  </si>
  <si>
    <t>Mar YE ($m)</t>
  </si>
  <si>
    <t>Tax on EBIT</t>
  </si>
  <si>
    <t>Unlevered free cash flow</t>
  </si>
  <si>
    <t>Cashflow Timing (Years to Discount)</t>
  </si>
  <si>
    <t>Discount Factor</t>
  </si>
  <si>
    <t>Discounted DCF cashflows</t>
  </si>
  <si>
    <t>Net Present Value based on Perpetuity Growth Method</t>
  </si>
  <si>
    <t>Amount</t>
  </si>
  <si>
    <t xml:space="preserve">% of </t>
  </si>
  <si>
    <t>Sensitising firm value ($m) and implied offer price to WACC and TGR</t>
  </si>
  <si>
    <t>NPV</t>
  </si>
  <si>
    <t>Perpetuity Growth Rate (%)</t>
  </si>
  <si>
    <t>Present Value of Cashflows</t>
  </si>
  <si>
    <t>Implied Firm NPV</t>
  </si>
  <si>
    <t>Implied equity value</t>
  </si>
  <si>
    <t>Implied share price ($c)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</si>
</sst>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3">
    <numFmt numFmtId="43" formatCode="_-* #,##0.00_-;\-* #,##0.00_-;_-* &quot;-&quot;??_-;_-@_-"/>
    <numFmt numFmtId="164" formatCode="&quot;$&quot;#,##0_);\(&quot;$&quot;#,##0\)"/>
    <numFmt numFmtId="165" formatCode="&quot;$&quot;#,##0.00_);\(&quot;$&quot;#,##0.00\)"/>
    <numFmt numFmtId="166" formatCode="&quot;$&quot;#,##0.00_);[Red]\(&quot;$&quot;#,##0.0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_(&quot;£&quot;* #,##0_);_(&quot;£&quot;* \(#,##0\);_(&quot;£&quot;* &quot;-&quot;_);_(@_)"/>
    <numFmt numFmtId="172" formatCode="#,##0.0_);\(#,##0.0\)"/>
    <numFmt numFmtId="173" formatCode="0.0%;\(0.0%\)"/>
    <numFmt numFmtId="174" formatCode="yyyy&quot;A&quot;"/>
    <numFmt numFmtId="175" formatCode="yyyy&quot;E&quot;"/>
    <numFmt numFmtId="176" formatCode="0.00%;\(0.00%\)"/>
    <numFmt numFmtId="177" formatCode="#,##0.000_);\(#,##0.000\)"/>
    <numFmt numFmtId="178" formatCode="#,##0;[Red]\(#,##0\)"/>
    <numFmt numFmtId="179" formatCode="_-* #,##0_-;\-* #,##0_-;_-* &quot;-&quot;??_-;_-@_-"/>
    <numFmt numFmtId="180" formatCode="0.0%"/>
    <numFmt numFmtId="181" formatCode="#,##0;\(#,##0\)"/>
    <numFmt numFmtId="182" formatCode="#,##0.0;\(#,##0.0\)"/>
    <numFmt numFmtId="183" formatCode="yyyy\A"/>
    <numFmt numFmtId="184" formatCode="_(* #,##0.0_);_(* \(#,##0.0\);_(* &quot;-&quot;??_);_(@_)"/>
    <numFmt numFmtId="185" formatCode="#,###_);\(#,###\)"/>
    <numFmt numFmtId="186" formatCode="#,##0.0_);\(#,##0.0\);\-_);@_)"/>
    <numFmt numFmtId="187" formatCode="0.0_)"/>
    <numFmt numFmtId="188" formatCode="_(* #,##0.00000_);_(* \(#,##0.00000\);_(* &quot;-&quot;??_);_(@_)"/>
    <numFmt numFmtId="189" formatCode="#.##000"/>
    <numFmt numFmtId="190" formatCode="\$#,#00"/>
    <numFmt numFmtId="191" formatCode=";;;"/>
    <numFmt numFmtId="192" formatCode="mmmddyyyy"/>
    <numFmt numFmtId="193" formatCode="_(* #,##0.000_);_(* \(#,##0.000\);_(* &quot;-&quot;??_);_(@_)"/>
    <numFmt numFmtId="194" formatCode="0.0000"/>
    <numFmt numFmtId="195" formatCode="#,##0.00_)&quot;x&quot;;[Red]\(#,##0.00\)&quot;x&quot;"/>
    <numFmt numFmtId="196" formatCode="#,##0.0_);\(#,##0.0\);#,##0.0_);@_)"/>
    <numFmt numFmtId="197" formatCode="&quot;$&quot;_(#,##0.00_);&quot;$&quot;\(#,##0.00\)"/>
    <numFmt numFmtId="198" formatCode="_(&quot;€&quot;* #,##0.0000_);_(&quot;€&quot;* \(#,##0.0000\);_(&quot;€&quot;* &quot;-&quot;??_);_(@_)"/>
    <numFmt numFmtId="199" formatCode="&quot;€&quot;#,##0.00"/>
    <numFmt numFmtId="200" formatCode="mmm\-d\-yy"/>
    <numFmt numFmtId="201" formatCode="_(&quot;€&quot;* #,##0.00_);_(&quot;€&quot;* \(#,##0.00\);_(&quot;€&quot;* &quot;-&quot;??_);_(@_)"/>
    <numFmt numFmtId="202" formatCode="0.0"/>
    <numFmt numFmtId="203" formatCode="0.000%;[Red]\(0.000%\)"/>
    <numFmt numFmtId="204" formatCode="_(* #,##0_);_(* \(#,##0\)"/>
    <numFmt numFmtId="205" formatCode="0.000%;;&quot;-- &quot;"/>
    <numFmt numFmtId="206" formatCode="#,##0.0_)\x;\(#,##0.0\)\x"/>
    <numFmt numFmtId="207" formatCode="#,##0_)\x;\(#,##0\)\x;0_)\x;@_)_x"/>
    <numFmt numFmtId="208" formatCode="%#,#00"/>
    <numFmt numFmtId="209" formatCode="0.0&quot;%&quot;_;\(0.0\)&quot;%&quot;"/>
    <numFmt numFmtId="210" formatCode="#,##0.0_)_x;\(#,##0.0\)_x"/>
    <numFmt numFmtId="211" formatCode="#,##0_)_x;\(#,##0\)_x;0_)_x;@_)_x"/>
    <numFmt numFmtId="212" formatCode="#,"/>
    <numFmt numFmtId="213" formatCode="#,##0.00\p;\(#,##0.00\p\)"/>
    <numFmt numFmtId="214" formatCode="_-* #,##0.00\ [$€-1]_-;\-* #,##0.00\ [$€-1]_-;_-* &quot;-&quot;??\ [$€-1]_-"/>
    <numFmt numFmtId="215" formatCode="0.0&quot;%&quot;;\(0.0\)&quot;%&quot;"/>
    <numFmt numFmtId="216" formatCode="#,##0;[Red]&quot;-&quot;#,##0"/>
    <numFmt numFmtId="217" formatCode="\£#,##0.0;\(\£#,##0.0\);\£#,##0.0"/>
    <numFmt numFmtId="218" formatCode="0.0_)\%;\(0.0\)\%"/>
    <numFmt numFmtId="219" formatCode="#,##0.0_)_%;\(#,##0.0\)_%"/>
    <numFmt numFmtId="220" formatCode="#,##0;\(#,##0\);&quot;-&quot;"/>
    <numFmt numFmtId="221" formatCode="0.0_);\(0.0\)"/>
    <numFmt numFmtId="222" formatCode="_(&quot;€&quot;* #,##0_);_(&quot;€&quot;* \(#,##0\);_(&quot;€&quot;* &quot;-&quot;_);_(@_)"/>
    <numFmt numFmtId="223" formatCode="&quot;$&quot;#.#"/>
    <numFmt numFmtId="224" formatCode="\£\ #,##0_);[Red]\(\£\ #,##0\)"/>
    <numFmt numFmtId="225" formatCode="\¥\ #,##0_);[Red]\(\¥\ #,##0\)"/>
    <numFmt numFmtId="226" formatCode="#,##0.0&quot;¢&quot;;\-#,##0.0&quot;¢&quot;"/>
    <numFmt numFmtId="227" formatCode="#,##0.0_);[Red]\(#,##0.0\)"/>
    <numFmt numFmtId="228" formatCode="\•\ \ @"/>
    <numFmt numFmtId="229" formatCode="\ \ _•\–\ \ \ \ @"/>
    <numFmt numFmtId="230" formatCode="0.000_)"/>
    <numFmt numFmtId="231" formatCode="0.000%"/>
    <numFmt numFmtId="232" formatCode="_(\£* #,##0_);_(\£* \(#,##0\);_(\£* &quot;-&quot;_);_(@_)"/>
    <numFmt numFmtId="233" formatCode="_(\£* #,##0.0_);_(\£* \(#,##0.0\);_(\£* &quot;-&quot;_);_(@_)"/>
    <numFmt numFmtId="234" formatCode="_(\£* #,##0.00_);_(\£* \(#,##0.00\);_(\£* &quot;-&quot;_);_(@_)"/>
    <numFmt numFmtId="235" formatCode="_(* #,##0\p_);_(* \(#,##0\p\);_(* &quot;-&quot;\ \p_);_(@_)"/>
    <numFmt numFmtId="236" formatCode="_(* #,##0.00\p_);_(* \(#,##0.00\p\);_(* &quot;-&quot;\ \p_);_(@_)"/>
    <numFmt numFmtId="237" formatCode="\£#,##0.00"/>
    <numFmt numFmtId="238" formatCode="#,##0.00\x;\(#,##0.00\)\x"/>
    <numFmt numFmtId="239" formatCode="0_);\(0\)"/>
    <numFmt numFmtId="240" formatCode="#,##0_);[Red]\(#,##0\);&quot;--  &quot;"/>
    <numFmt numFmtId="241" formatCode="0.0%;[Red]\(0.0%\);&quot;--  &quot;"/>
    <numFmt numFmtId="242" formatCode="&quot;Esc &quot;#,##0\ \b\n;\(#,##0\)"/>
    <numFmt numFmtId="243" formatCode="&quot;$&quot;#,##0.00&quot;A&quot;;[Red]\(&quot;$&quot;#,##0.00\)&quot;A&quot;"/>
    <numFmt numFmtId="244" formatCode="&quot;$&quot;#,##0.00&quot;E&quot;;[Red]\(&quot;$&quot;#,##0.00\)&quot;E&quot;"/>
    <numFmt numFmtId="245" formatCode="&quot;$&quot;#,##0.00000000000000000000000000_);[Red]\(&quot;$&quot;#,##0.00000000000000000000000000\)"/>
    <numFmt numFmtId="246" formatCode="_-[$€]* #,##0.00_-;\-[$€]* #,##0.00_-;_-[$€]* &quot;-&quot;??_-;_-@_-"/>
    <numFmt numFmtId="247" formatCode="#,##0;\(#,##0\);\—"/>
    <numFmt numFmtId="248" formatCode="_(* #,##0_);_(* \(#,##0\);_(* &quot;-&quot;??_);_(@_)"/>
    <numFmt numFmtId="249" formatCode="#,##0.0;[Red]\(#,##0.0\)"/>
    <numFmt numFmtId="250" formatCode="#,##0.0000_);\(#,##0.0000\);@_)"/>
    <numFmt numFmtId="251" formatCode="#,##0_);\(#,##0\);\-_)"/>
    <numFmt numFmtId="252" formatCode="#,##0_);\(#,##0\);0_)"/>
    <numFmt numFmtId="253" formatCode="#,##0.0000000000;\(#,##0.0000000000\)"/>
    <numFmt numFmtId="254" formatCode="#,##0.0_);\(#,##0.0\);0.0_)"/>
    <numFmt numFmtId="255" formatCode="#,##0_);\(#,##0\);@_)"/>
    <numFmt numFmtId="256" formatCode="_-&quot;kb/d&quot;* #,##0.00_-;\-&quot;kb/d&quot;* #,##0.00_-;_-&quot;k/bd&quot;* &quot;-&quot;??_-;_-@_-"/>
    <numFmt numFmtId="257" formatCode="###0_);\(###0\);\-_);@_)"/>
    <numFmt numFmtId="258" formatCode="#,##0.0&quot;x&quot;;\(#,##0.0&quot;x&quot;\)"/>
    <numFmt numFmtId="259" formatCode="#,##0_);\(#,##0\);\-_);@_)"/>
    <numFmt numFmtId="260" formatCode="0.0%;\(0.0\)%;\—\%"/>
    <numFmt numFmtId="261" formatCode="0_)"/>
    <numFmt numFmtId="262" formatCode="\$#,##0;\(\$#,##0\);\-\ 0\ \-;[Red]@"/>
    <numFmt numFmtId="263" formatCode="0.00_);\(0.00\)"/>
    <numFmt numFmtId="264" formatCode="&quot;£&quot;#,##0_);&quot;£&quot;\(#,##0\);&quot;£&quot;#,##0_);@_)"/>
    <numFmt numFmtId="265" formatCode="#,##0.0;\(#,##0.0\);&quot;OK&quot;"/>
    <numFmt numFmtId="266" formatCode="0&quot; bp&quot;"/>
    <numFmt numFmtId="267" formatCode="_-* #,##0\ &quot;Pts&quot;_-;\-* #,##0\ &quot;Pts&quot;_-;_-* &quot;-&quot;\ &quot;Pts&quot;_-;_-@_-"/>
    <numFmt numFmtId="268" formatCode="_-* #,##0\ _P_t_s_-;\-* #,##0\ _P_t_s_-;_-* &quot;-&quot;\ _P_t_s_-;_-@_-"/>
    <numFmt numFmtId="269" formatCode="_-* #,##0.00\ &quot;Pts&quot;_-;\-* #,##0.00\ &quot;Pts&quot;_-;_-* &quot;-&quot;??\ &quot;Pts&quot;_-;_-@_-"/>
    <numFmt numFmtId="270" formatCode="&quot;Proj &quot;0;;"/>
    <numFmt numFmtId="271" formatCode="#,##0.000"/>
    <numFmt numFmtId="272" formatCode="&quot;£ &quot;#,##0.00;[Red]\(&quot;£ &quot;#,##0.00\);&quot;--  &quot;;_(@_)"/>
    <numFmt numFmtId="273" formatCode="#,##0.0%_);\(#,##0.0%\)"/>
    <numFmt numFmtId="274" formatCode="#\ ##0.0"/>
    <numFmt numFmtId="275" formatCode="#,##0_);\(#,##0\);&quot;-&quot;?"/>
    <numFmt numFmtId="276" formatCode="#,##0.00_);\(#,##0.00\);&quot;-&quot;?"/>
    <numFmt numFmtId="277" formatCode="#,##0.00&quot;x&quot;;[Red]\(#,##0.00&quot;x&quot;\)"/>
    <numFmt numFmtId="278" formatCode="0.0\x"/>
    <numFmt numFmtId="279" formatCode="#,##0.00_);\(#,##0.00\);0.00_)"/>
    <numFmt numFmtId="280" formatCode="General_)"/>
    <numFmt numFmtId="281" formatCode="#,##0.0"/>
    <numFmt numFmtId="282" formatCode="&quot;$&quot;#,##0.00_);[Red]\(&quot;$&quot;#,##0.00\);&quot;--  &quot;;_(@_)"/>
    <numFmt numFmtId="283" formatCode="&quot;€&quot;#,##0.00_);\(&quot;€&quot;#,##0.00\)"/>
    <numFmt numFmtId="284" formatCode="0.0%_);\(0.0%\)"/>
    <numFmt numFmtId="285" formatCode="&quot;EUR &quot;#,##0.0_);\(&quot;EUR &quot;#,##0.0\)"/>
    <numFmt numFmtId="286" formatCode="0.0%_);[Red]\(0.0%\)"/>
    <numFmt numFmtId="287" formatCode="_-\€* #,##0_-;\-&quot;£&quot;* #,##0_-;_-&quot;£&quot;* &quot;-&quot;_-;_-@_-"/>
    <numFmt numFmtId="288" formatCode="_-* #,##0.00\ _P_t_s_-;\-* #,##0.00\ _P_t_s_-;_-* &quot;-&quot;??\ _P_t_s_-;_-@_-"/>
    <numFmt numFmtId="289" formatCode="###0_);\(###0\);"/>
    <numFmt numFmtId="290" formatCode="_ * #,##0.00_-\ &quot;€&quot;_ ;_ * #,##0.00\-\ &quot;€&quot;_ ;_ * &quot;-&quot;??_-\ &quot;€&quot;_ ;_ @_ "/>
    <numFmt numFmtId="291" formatCode="0&quot;E&quot;"/>
    <numFmt numFmtId="292" formatCode="#,##0.00_x"/>
    <numFmt numFmtId="293" formatCode="&quot;$&quot;#\ ?/?"/>
    <numFmt numFmtId="294" formatCode="0&quot; mos&quot;"/>
    <numFmt numFmtId="295" formatCode="mmm\-d\-yyyy"/>
    <numFmt numFmtId="296" formatCode="mmm\-yyyy"/>
    <numFmt numFmtId="297" formatCode="0_);\(0\);\-_);@_)"/>
    <numFmt numFmtId="298" formatCode="_-* #,##0.00\ _F_-;\-* #,##0.00\ _F_-;_-* &quot;-&quot;??\ _F_-;_-@_-"/>
    <numFmt numFmtId="299" formatCode="0.00%;[Red]\ \(0.00%\)"/>
    <numFmt numFmtId="300" formatCode="0\ &quot;mos&quot;"/>
    <numFmt numFmtId="301" formatCode="0_);[Red]\(0\)"/>
    <numFmt numFmtId="302" formatCode="0.000"/>
    <numFmt numFmtId="303" formatCode="&quot;$&quot;#,##0.0;[Red]\(&quot;$&quot;#,##0.0\)"/>
    <numFmt numFmtId="304" formatCode="\$#,##0_);\$\(#,##0\);_-* &quot;--&quot;_-;_-@_-"/>
    <numFmt numFmtId="305" formatCode="\$#,##0.0_);\$\(#,##0.0\);_-* &quot;--&quot;_-;_-@_-"/>
    <numFmt numFmtId="306" formatCode="#,##0.0,_);\(#,##0.0,\)"/>
    <numFmt numFmtId="307" formatCode="#,##0.0_);\(#,##0.0\);@*."/>
    <numFmt numFmtId="308" formatCode="#,#00"/>
    <numFmt numFmtId="309" formatCode="0.0&quot;x&quot;;@_)"/>
    <numFmt numFmtId="310" formatCode="#,##0.0%_);\(#,##0.0%\);0.0%_)"/>
    <numFmt numFmtId="311" formatCode="#,##0.000000"/>
    <numFmt numFmtId="312" formatCode="0.0%;[Red]\(0.0%\)"/>
    <numFmt numFmtId="313" formatCode="#,##0.00_)\ \x;\(#,##0.00\)\ \x"/>
    <numFmt numFmtId="314" formatCode="&quot;$&quot;#,##0.00;[Red]&quot;$&quot;\-#,##0.00"/>
    <numFmt numFmtId="315" formatCode="0.00\x"/>
    <numFmt numFmtId="316" formatCode="&quot;Proj &quot;0"/>
    <numFmt numFmtId="317" formatCode="#,##0.0%;\(#,##0.0%\)"/>
    <numFmt numFmtId="318" formatCode="#,##0.00;\(#,##0.00\)"/>
    <numFmt numFmtId="319" formatCode="_ \ * #,##0.0_);_ \ * \(#,##0.0\)"/>
    <numFmt numFmtId="320" formatCode="0.0%;[Red]\ \(0.0%\)"/>
    <numFmt numFmtId="321" formatCode="_-* #,##0.00\ _D_M_-;\-* #,##0.00\ _D_M_-;_-* &quot;-&quot;??\ _D_M_-;_-@_-"/>
    <numFmt numFmtId="322" formatCode="&quot;$&quot;#,##0.0_);\(&quot;$&quot;#,##0.0\)"/>
    <numFmt numFmtId="323" formatCode="#,##0.0,,_);\(#,##0.0,,\)"/>
    <numFmt numFmtId="324" formatCode="#,##0.0\x_);\(#,##0.0\x\)"/>
    <numFmt numFmtId="325" formatCode="#,##0%_);\(#,##0%\)"/>
    <numFmt numFmtId="326" formatCode="&quot;$&quot;#,##0.000_);[Red]\(&quot;$&quot;#,##0.000\);&quot;--  &quot;;_(@_)"/>
    <numFmt numFmtId="327" formatCode="_(* #,##0\ \x_);_(* \(#,##0\ \x\);_(* &quot;-&quot;??_);_(@_)"/>
    <numFmt numFmtId="328" formatCode="0.0%_);\(0.0%\);0.0%_);@_)"/>
    <numFmt numFmtId="329" formatCode="0.0\x_);\(0.0\x\);0.0\x_);@_)"/>
    <numFmt numFmtId="330" formatCode="0.00%_);\(0.00%\);0.00%_);@_)"/>
    <numFmt numFmtId="331" formatCode="m/d/yy"/>
    <numFmt numFmtId="332" formatCode="&quot;$&quot;_(#,##0.00_);&quot;$&quot;\(#,##0.00\);&quot;$&quot;_(0.00_);@_)"/>
    <numFmt numFmtId="333" formatCode="0.0%_);\(0.0%\);\ \-\-\ "/>
    <numFmt numFmtId="334" formatCode="#,##0.00_);\(#,##0.00\);0.00_);@_)"/>
    <numFmt numFmtId="335" formatCode="&quot;£&quot;_(#,##0.00_);&quot;£&quot;\(#,##0.00\)"/>
    <numFmt numFmtId="336" formatCode="0.00&quot;      &quot;"/>
    <numFmt numFmtId="337" formatCode="\€_(#,##0.00_);\€\(#,##0.00\);\€_(0.00_);@_)"/>
    <numFmt numFmtId="338" formatCode="&quot;€&quot;_(#,##0.00_);&quot;€&quot;\(#,##0.00\);&quot;€&quot;_(0.00_);@_)"/>
    <numFmt numFmtId="339" formatCode="#,##0.0000;\-#,##0.0000"/>
    <numFmt numFmtId="340" formatCode="_(* #,##0.000_)\ \ ;_(* \(#,##0.000\)\ \ ;_(* &quot;-&quot;??_)\ \ ;_(@_)"/>
    <numFmt numFmtId="341" formatCode="#,##0.00;\(#,##0.00\);\-"/>
    <numFmt numFmtId="342" formatCode="###0&quot;A&quot;"/>
    <numFmt numFmtId="343" formatCode="#,##0.00000;\-#,##0.00000"/>
    <numFmt numFmtId="344" formatCode="0.0&quot;x&quot;\ \ \ \ "/>
    <numFmt numFmtId="345" formatCode="#,##0\ _F;\(#,##0\)\ _F;\-\ _F"/>
    <numFmt numFmtId="346" formatCode="#,##0;\(###0\);\-"/>
    <numFmt numFmtId="347" formatCode="_(* #,##0.0_)\ \ ;_(* \(#,##0.0\)\ \ ;_(* &quot;-&quot;??_)\ \ ;_(@_)"/>
    <numFmt numFmtId="348" formatCode="#,##0\ _F;\(#,##0\)\ _F"/>
    <numFmt numFmtId="349" formatCode="0%_);\(0%\);\ \-\-\ "/>
    <numFmt numFmtId="350" formatCode="&quot;F&quot;#,##0_);\(&quot;F&quot;#,##0\)"/>
    <numFmt numFmtId="351" formatCode="#,##0_)"/>
    <numFmt numFmtId="352" formatCode="0&quot;A&quot;"/>
    <numFmt numFmtId="353" formatCode="0\A"/>
    <numFmt numFmtId="354" formatCode="0.00%&quot; Stock Pooling&quot;"/>
    <numFmt numFmtId="355" formatCode="#,##0_);\(#,##0\);\-_);"/>
    <numFmt numFmtId="356" formatCode="###0.0;\(###0.0\)"/>
    <numFmt numFmtId="357" formatCode="0\ \ ;\(0\)\ \ \ "/>
    <numFmt numFmtId="358" formatCode="_-* #,##0.0\ _F_-;\-* #,##0.0\ _F_-;_-* &quot;-&quot;?\ _F_-;_-@_-"/>
    <numFmt numFmtId="359" formatCode="&quot;$&quot;#,##0.00_)_x_x_x;\(&quot;$&quot;#,##0.00\)_x_x_x"/>
    <numFmt numFmtId="360" formatCode="_-* #,##0.00\ &quot;F&quot;_-;\-* #,##0.00\ &quot;F&quot;_-;_-* &quot;-&quot;??\ &quot;F&quot;_-;_-@_-"/>
    <numFmt numFmtId="361" formatCode="###0.0_);\(###0.0\)"/>
    <numFmt numFmtId="362" formatCode="\+* #,##0.00;[Red]\-* #,##0.00"/>
    <numFmt numFmtId="363" formatCode="\+* #,##0;[Red]\-* #,##0"/>
    <numFmt numFmtId="364" formatCode="#,##0.00_);\(#,##0.00\);#,##0.00_);@_)"/>
    <numFmt numFmtId="365" formatCode="#,##0.0_);\(#,##0.0\);&quot;-  &quot;;@_)"/>
  </numFmts>
  <fonts count="343">
    <font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Trebuchet MS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sz val="15"/>
      <color indexed="8"/>
      <name val="Arial"/>
      <family val="2"/>
    </font>
    <font>
      <b/>
      <u/>
      <sz val="15"/>
      <color indexed="8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color indexed="12"/>
      <name val="Arial"/>
      <family val="2"/>
    </font>
    <font>
      <b/>
      <sz val="18"/>
      <color theme="0"/>
      <name val="Trebuchet MS"/>
      <family val="2"/>
    </font>
    <font>
      <b/>
      <sz val="10"/>
      <color rgb="FFFF0000"/>
      <name val="Arial"/>
      <family val="2"/>
    </font>
    <font>
      <b/>
      <sz val="14"/>
      <color theme="3" tint="-0.499984740745262"/>
      <name val="Trebuchet MS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Century Gothic"/>
      <family val="2"/>
    </font>
    <font>
      <b/>
      <sz val="8"/>
      <name val="Arial"/>
      <family val="2"/>
    </font>
    <font>
      <sz val="10"/>
      <color theme="0"/>
      <name val="Arial"/>
      <family val="2"/>
    </font>
    <font>
      <sz val="10"/>
      <color indexed="23"/>
      <name val="Arial"/>
      <family val="2"/>
    </font>
    <font>
      <sz val="10"/>
      <name val="Trebuchet MS"/>
      <family val="2"/>
    </font>
    <font>
      <b/>
      <sz val="9"/>
      <color indexed="9"/>
      <name val="Trebuchet MS"/>
      <family val="2"/>
    </font>
    <font>
      <sz val="10"/>
      <color indexed="22"/>
      <name val="Arial"/>
      <family val="2"/>
    </font>
    <font>
      <b/>
      <sz val="16"/>
      <name val="Arial"/>
      <family val="2"/>
    </font>
    <font>
      <sz val="12"/>
      <color indexed="8"/>
      <name val="Times New Roman"/>
      <family val="1"/>
    </font>
    <font>
      <sz val="8"/>
      <name val="Times New Roman"/>
      <family val="1"/>
    </font>
    <font>
      <sz val="12"/>
      <name val="Weiss"/>
    </font>
    <font>
      <sz val="10"/>
      <name val="Geneva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2"/>
      <color indexed="12"/>
      <name val="Times New Roman"/>
      <family val="1"/>
    </font>
    <font>
      <sz val="12"/>
      <name val="Times New Roman"/>
      <family val="1"/>
    </font>
    <font>
      <sz val="10"/>
      <color indexed="16"/>
      <name val="Arial"/>
      <family val="2"/>
    </font>
    <font>
      <sz val="12"/>
      <name val="???"/>
      <family val="1"/>
      <charset val="129"/>
    </font>
    <font>
      <b/>
      <sz val="9"/>
      <name val="Arial"/>
      <family val="2"/>
    </font>
    <font>
      <sz val="10"/>
      <name val="Helv"/>
    </font>
    <font>
      <sz val="10"/>
      <color indexed="15"/>
      <name val="Arial"/>
      <family val="2"/>
    </font>
    <font>
      <sz val="10"/>
      <color indexed="18"/>
      <name val="Arial"/>
      <family val="2"/>
    </font>
    <font>
      <sz val="10"/>
      <name val="Courier"/>
      <family val="3"/>
    </font>
    <font>
      <sz val="10"/>
      <color indexed="9"/>
      <name val="False"/>
    </font>
    <font>
      <sz val="10"/>
      <color indexed="12"/>
      <name val="False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1"/>
      <name val="Times New Roman"/>
      <family val="1"/>
    </font>
    <font>
      <sz val="10"/>
      <name val="MS Sans Serif"/>
      <family val="2"/>
    </font>
    <font>
      <b/>
      <sz val="11"/>
      <name val="Book Antiqua"/>
      <family val="1"/>
    </font>
    <font>
      <sz val="12"/>
      <name val="Arial MT"/>
    </font>
    <font>
      <b/>
      <sz val="12"/>
      <name val="Times New Roman"/>
      <family val="1"/>
    </font>
    <font>
      <sz val="9"/>
      <name val="Arial"/>
      <family val="2"/>
    </font>
    <font>
      <sz val="8"/>
      <name val="Times"/>
      <family val="1"/>
    </font>
    <font>
      <sz val="10"/>
      <color indexed="12"/>
      <name val="Helvetica"/>
      <family val="2"/>
    </font>
    <font>
      <sz val="10"/>
      <color indexed="10"/>
      <name val="Times New Roman"/>
      <family val="1"/>
    </font>
    <font>
      <b/>
      <sz val="11"/>
      <color indexed="10"/>
      <name val="Times New Roman"/>
      <family val="1"/>
    </font>
    <font>
      <sz val="10"/>
      <color indexed="9"/>
      <name val="Tahoma"/>
      <family val="2"/>
    </font>
    <font>
      <sz val="10"/>
      <name val="Book Antiqua"/>
      <family val="1"/>
    </font>
    <font>
      <u/>
      <sz val="7"/>
      <color indexed="36"/>
      <name val="Frutiger 55 Roman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sz val="10"/>
      <color indexed="8"/>
      <name val="Book Antiqua"/>
      <family val="1"/>
    </font>
    <font>
      <strike/>
      <sz val="8"/>
      <name val="Arial"/>
      <family val="2"/>
    </font>
    <font>
      <sz val="8"/>
      <color indexed="8"/>
      <name val="Arial"/>
      <family val="2"/>
    </font>
    <font>
      <b/>
      <i/>
      <sz val="11"/>
      <color indexed="9"/>
      <name val="Times New Roman"/>
      <family val="1"/>
    </font>
    <font>
      <sz val="10"/>
      <color indexed="8"/>
      <name val="Times New Roman"/>
      <family val="1"/>
    </font>
    <font>
      <b/>
      <sz val="9"/>
      <color indexed="9"/>
      <name val="Arial"/>
      <family val="2"/>
    </font>
    <font>
      <sz val="8"/>
      <color indexed="12"/>
      <name val="Tms Rmn"/>
    </font>
    <font>
      <b/>
      <sz val="8"/>
      <color indexed="12"/>
      <name val="Times New Roman"/>
      <family val="1"/>
    </font>
    <font>
      <sz val="8"/>
      <color indexed="9"/>
      <name val="Arial"/>
      <family val="2"/>
    </font>
    <font>
      <b/>
      <i/>
      <u/>
      <sz val="14"/>
      <name val="Arial"/>
      <family val="2"/>
    </font>
    <font>
      <b/>
      <sz val="10"/>
      <name val="Arial Rounded MT Bold"/>
      <family val="2"/>
    </font>
    <font>
      <b/>
      <sz val="8"/>
      <color indexed="8"/>
      <name val="Arial"/>
      <family val="2"/>
    </font>
    <font>
      <b/>
      <i/>
      <sz val="12"/>
      <name val="Times New Roman"/>
      <family val="1"/>
    </font>
    <font>
      <b/>
      <i/>
      <sz val="9"/>
      <name val="Palatino"/>
      <family val="1"/>
    </font>
    <font>
      <i/>
      <sz val="8"/>
      <color indexed="12"/>
      <name val="Arial"/>
      <family val="2"/>
    </font>
    <font>
      <b/>
      <sz val="8"/>
      <color indexed="24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8"/>
      <name val="Tms Rmn"/>
    </font>
    <font>
      <sz val="10"/>
      <color indexed="18"/>
      <name val="Times New Roman"/>
      <family val="1"/>
    </font>
    <font>
      <sz val="6"/>
      <color indexed="10"/>
      <name val="Trebuchet MS"/>
      <family val="2"/>
    </font>
    <font>
      <sz val="8"/>
      <color indexed="39"/>
      <name val="Arial"/>
      <family val="2"/>
    </font>
    <font>
      <b/>
      <sz val="11"/>
      <name val="Times New Roman"/>
      <family val="1"/>
    </font>
    <font>
      <b/>
      <sz val="8"/>
      <name val="Book Antiqua"/>
      <family val="1"/>
    </font>
    <font>
      <b/>
      <sz val="8"/>
      <name val="GillSans"/>
      <family val="2"/>
    </font>
    <font>
      <b/>
      <sz val="7"/>
      <name val="Helvetica-Narrow"/>
      <family val="2"/>
    </font>
    <font>
      <b/>
      <sz val="7"/>
      <name val="GillSans"/>
      <family val="2"/>
    </font>
    <font>
      <b/>
      <sz val="10"/>
      <name val="Times New Roman"/>
      <family val="1"/>
    </font>
    <font>
      <sz val="11"/>
      <color indexed="12"/>
      <name val="Arial"/>
      <family val="2"/>
    </font>
    <font>
      <b/>
      <sz val="9"/>
      <name val="Palatino"/>
      <family val="1"/>
    </font>
    <font>
      <b/>
      <sz val="9"/>
      <color indexed="18"/>
      <name val="Arial"/>
      <family val="2"/>
    </font>
    <font>
      <sz val="11"/>
      <name val="Tms Rmn"/>
      <family val="1"/>
    </font>
    <font>
      <sz val="9"/>
      <name val="Trebuchet MS"/>
      <family val="2"/>
    </font>
    <font>
      <sz val="10"/>
      <color indexed="39"/>
      <name val="Century Schoolbook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name val="Tahoma"/>
      <family val="2"/>
    </font>
    <font>
      <sz val="12"/>
      <name val="Helv"/>
    </font>
    <font>
      <b/>
      <sz val="8"/>
      <color indexed="52"/>
      <name val="Times New Roman"/>
      <family val="1"/>
    </font>
    <font>
      <b/>
      <sz val="14"/>
      <color indexed="56"/>
      <name val="Palatino"/>
      <family val="1"/>
    </font>
    <font>
      <b/>
      <sz val="14"/>
      <color indexed="8"/>
      <name val="Arial"/>
      <family val="2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7"/>
      <name val="Arial"/>
      <family val="2"/>
    </font>
    <font>
      <sz val="7"/>
      <color indexed="12"/>
      <name val="Arial"/>
      <family val="2"/>
    </font>
    <font>
      <sz val="10"/>
      <color indexed="57"/>
      <name val="Arial"/>
      <family val="2"/>
    </font>
    <font>
      <sz val="1"/>
      <color indexed="8"/>
      <name val="Courier"/>
      <family val="3"/>
    </font>
    <font>
      <sz val="10"/>
      <color indexed="16"/>
      <name val="Times New Roman"/>
      <family val="1"/>
    </font>
    <font>
      <u val="doubleAccounting"/>
      <sz val="10"/>
      <name val="Arial"/>
      <family val="2"/>
    </font>
    <font>
      <b/>
      <i/>
      <sz val="8"/>
      <color indexed="12"/>
      <name val="HelveticaNeue Condensed"/>
    </font>
    <font>
      <b/>
      <i/>
      <sz val="8"/>
      <color indexed="12"/>
      <name val="Arial"/>
      <family val="2"/>
    </font>
    <font>
      <b/>
      <sz val="1"/>
      <color indexed="8"/>
      <name val="Courier"/>
      <family val="3"/>
    </font>
    <font>
      <sz val="8"/>
      <color indexed="10"/>
      <name val="Times New Roman"/>
      <family val="1"/>
    </font>
    <font>
      <b/>
      <u val="singleAccounting"/>
      <sz val="9"/>
      <name val="Times New Roman"/>
      <family val="1"/>
    </font>
    <font>
      <b/>
      <i/>
      <sz val="9.5"/>
      <name val="Times New Roman"/>
      <family val="1"/>
    </font>
    <font>
      <sz val="9"/>
      <name val="Times New Roman"/>
      <family val="1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10"/>
      <name val="C Helvetica Condensed"/>
    </font>
    <font>
      <sz val="8"/>
      <color indexed="17"/>
      <name val="Times New Roman"/>
      <family val="1"/>
    </font>
    <font>
      <sz val="8"/>
      <color indexed="21"/>
      <name val="Arial"/>
      <family val="2"/>
    </font>
    <font>
      <sz val="10"/>
      <color indexed="48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sz val="6"/>
      <color indexed="16"/>
      <name val="Palatino"/>
      <family val="1"/>
    </font>
    <font>
      <sz val="6"/>
      <name val="Palatino"/>
      <family val="1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0"/>
      <color indexed="18"/>
      <name val="Times New Roman"/>
      <family val="1"/>
    </font>
    <font>
      <b/>
      <sz val="10"/>
      <color indexed="60"/>
      <name val="Tahoma"/>
      <family val="2"/>
    </font>
    <font>
      <b/>
      <sz val="10"/>
      <name val="Trebuchet MS"/>
      <family val="2"/>
    </font>
    <font>
      <sz val="10"/>
      <name val="Helvetica"/>
      <family val="2"/>
    </font>
    <font>
      <sz val="8"/>
      <color indexed="12"/>
      <name val="Arial"/>
      <family val="2"/>
    </font>
    <font>
      <sz val="9"/>
      <color indexed="39"/>
      <name val="Arial"/>
      <family val="2"/>
    </font>
    <font>
      <sz val="9"/>
      <color indexed="12"/>
      <name val="Arial"/>
      <family val="2"/>
    </font>
    <font>
      <sz val="10"/>
      <color indexed="12"/>
      <name val="Times New Roman"/>
      <family val="1"/>
    </font>
    <font>
      <i/>
      <sz val="8"/>
      <name val="Arial"/>
      <family val="2"/>
    </font>
    <font>
      <sz val="12"/>
      <color indexed="12"/>
      <name val="Arial"/>
      <family val="2"/>
    </font>
    <font>
      <b/>
      <u/>
      <sz val="10"/>
      <color indexed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b/>
      <sz val="12"/>
      <color indexed="17"/>
      <name val="Wingdings"/>
      <charset val="2"/>
    </font>
    <font>
      <sz val="28"/>
      <name val="Times New Roman"/>
      <family val="1"/>
    </font>
    <font>
      <sz val="22"/>
      <name val="Times New Roman"/>
      <family val="1"/>
    </font>
    <font>
      <b/>
      <sz val="10"/>
      <name val="Helvetica"/>
      <family val="2"/>
    </font>
    <font>
      <b/>
      <sz val="18"/>
      <name val="Times New Roman"/>
      <family val="1"/>
    </font>
    <font>
      <sz val="8"/>
      <color indexed="18"/>
      <name val="Times New Roman"/>
      <family val="1"/>
    </font>
    <font>
      <i/>
      <sz val="10"/>
      <color indexed="16"/>
      <name val="Times New Roman"/>
      <family val="1"/>
    </font>
    <font>
      <sz val="7"/>
      <name val="Small Fonts"/>
      <family val="2"/>
    </font>
    <font>
      <b/>
      <u/>
      <sz val="12"/>
      <name val="L Serifa Light"/>
    </font>
    <font>
      <i/>
      <sz val="9"/>
      <name val="Arial"/>
      <family val="2"/>
    </font>
    <font>
      <sz val="9"/>
      <color indexed="48"/>
      <name val="Arial"/>
      <family val="2"/>
    </font>
    <font>
      <i/>
      <sz val="10"/>
      <name val="Helv"/>
    </font>
    <font>
      <sz val="10"/>
      <color indexed="8"/>
      <name val="Frutiger 45 Light"/>
      <family val="2"/>
    </font>
    <font>
      <i/>
      <sz val="12"/>
      <color indexed="12"/>
      <name val="Tms Rmn"/>
    </font>
    <font>
      <sz val="10"/>
      <color indexed="8"/>
      <name val="Helvetica-Narrow"/>
      <family val="2"/>
    </font>
    <font>
      <b/>
      <sz val="26"/>
      <name val="Times New Roman"/>
      <family val="1"/>
    </font>
    <font>
      <i/>
      <sz val="9"/>
      <name val="Helv"/>
    </font>
    <font>
      <i/>
      <sz val="10"/>
      <color indexed="12"/>
      <name val="Times New Roman"/>
      <family val="1"/>
    </font>
    <font>
      <i/>
      <sz val="12"/>
      <color indexed="8"/>
      <name val="Times New Roman"/>
      <family val="1"/>
    </font>
    <font>
      <sz val="8"/>
      <name val="Helv"/>
    </font>
    <font>
      <i/>
      <sz val="10"/>
      <name val="Times New Roman"/>
      <family val="1"/>
    </font>
    <font>
      <sz val="12"/>
      <name val="Book Antiqua"/>
      <family val="1"/>
    </font>
    <font>
      <b/>
      <sz val="8"/>
      <color indexed="1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0"/>
      <name val="Times New Roman"/>
      <family val="1"/>
    </font>
    <font>
      <sz val="10"/>
      <name val="GillSans Light"/>
      <family val="2"/>
    </font>
    <font>
      <sz val="10"/>
      <name val="SWISS"/>
    </font>
    <font>
      <b/>
      <i/>
      <sz val="10"/>
      <name val="Arial"/>
      <family val="2"/>
    </font>
    <font>
      <b/>
      <sz val="11"/>
      <color indexed="18"/>
      <name val="Times New Roman"/>
      <family val="1"/>
    </font>
    <font>
      <b/>
      <i/>
      <sz val="11"/>
      <color indexed="1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2"/>
      <color indexed="18"/>
      <name val="MS Sans Serif"/>
      <family val="2"/>
    </font>
    <font>
      <b/>
      <sz val="12"/>
      <color indexed="9"/>
      <name val="Times New Roman"/>
      <family val="1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12"/>
      <color indexed="18"/>
      <name val="Times New Roman"/>
      <family val="1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20"/>
      <color indexed="9"/>
      <name val="Times New Roman"/>
      <family val="1"/>
    </font>
    <font>
      <sz val="11"/>
      <color indexed="10"/>
      <name val="Arial"/>
      <family val="2"/>
    </font>
    <font>
      <sz val="10"/>
      <color indexed="12"/>
      <name val="TimesNewRomanPS"/>
    </font>
    <font>
      <b/>
      <sz val="12"/>
      <color indexed="56"/>
      <name val="Arial"/>
      <family val="2"/>
    </font>
    <font>
      <b/>
      <sz val="14"/>
      <name val="Times New Roman"/>
      <family val="1"/>
    </font>
    <font>
      <b/>
      <sz val="14"/>
      <name val="Arial Narrow"/>
      <family val="2"/>
    </font>
    <font>
      <sz val="10"/>
      <name val="TimesNewRomanPS"/>
    </font>
    <font>
      <u val="singleAccounting"/>
      <sz val="10"/>
      <name val="Arial"/>
      <family val="2"/>
    </font>
    <font>
      <u/>
      <sz val="11"/>
      <name val="Times New Roman"/>
      <family val="1"/>
    </font>
    <font>
      <b/>
      <sz val="16"/>
      <color indexed="16"/>
      <name val="Arial"/>
      <family val="2"/>
    </font>
    <font>
      <b/>
      <sz val="14"/>
      <name val="Palatino"/>
      <family val="1"/>
    </font>
    <font>
      <i/>
      <sz val="8"/>
      <name val="Times New Roman"/>
      <family val="1"/>
    </font>
    <font>
      <b/>
      <sz val="10"/>
      <name val="GillSans"/>
      <family val="2"/>
    </font>
    <font>
      <b/>
      <u/>
      <sz val="9"/>
      <name val="Helv"/>
    </font>
    <font>
      <b/>
      <i/>
      <sz val="12"/>
      <name val="Arial"/>
      <family val="2"/>
    </font>
    <font>
      <b/>
      <sz val="12"/>
      <color indexed="18"/>
      <name val="Arial"/>
      <family val="2"/>
    </font>
    <font>
      <b/>
      <u/>
      <sz val="11"/>
      <name val="Helvetica"/>
      <family val="2"/>
    </font>
    <font>
      <b/>
      <sz val="12"/>
      <name val="Helvetica"/>
      <family val="2"/>
    </font>
    <font>
      <sz val="9"/>
      <name val="Helv"/>
    </font>
    <font>
      <sz val="7.5"/>
      <name val="Times New Roman"/>
      <family val="1"/>
    </font>
    <font>
      <b/>
      <sz val="10"/>
      <name val="Palatino"/>
      <family val="1"/>
    </font>
    <font>
      <b/>
      <sz val="7"/>
      <name val="Arial"/>
      <family val="2"/>
    </font>
    <font>
      <b/>
      <sz val="10"/>
      <color indexed="16"/>
      <name val="Arial"/>
      <family val="2"/>
    </font>
    <font>
      <b/>
      <u val="singleAccounting"/>
      <sz val="14"/>
      <name val="Times New Roman"/>
      <family val="1"/>
    </font>
    <font>
      <u/>
      <sz val="8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12"/>
      <name val="Palatino"/>
      <family val="1"/>
    </font>
    <font>
      <sz val="11"/>
      <name val="Helvetica-Black"/>
    </font>
    <font>
      <b/>
      <sz val="10"/>
      <color indexed="12"/>
      <name val="Monotype Sorts"/>
      <charset val="2"/>
    </font>
    <font>
      <b/>
      <sz val="12"/>
      <name val="Helv"/>
    </font>
    <font>
      <sz val="8"/>
      <color indexed="9"/>
      <name val="Arial Black"/>
      <family val="2"/>
    </font>
    <font>
      <b/>
      <sz val="8"/>
      <color indexed="9"/>
      <name val="Times New Roman"/>
      <family val="1"/>
    </font>
    <font>
      <b/>
      <sz val="8"/>
      <color indexed="60"/>
      <name val="Arial"/>
      <family val="2"/>
    </font>
    <font>
      <b/>
      <sz val="10"/>
      <color indexed="16"/>
      <name val="GillSans"/>
      <family val="2"/>
    </font>
    <font>
      <b/>
      <sz val="7"/>
      <color indexed="12"/>
      <name val="Arial"/>
      <family val="2"/>
    </font>
    <font>
      <i/>
      <sz val="9"/>
      <name val="Times New Roman"/>
      <family val="1"/>
    </font>
    <font>
      <b/>
      <u/>
      <sz val="14"/>
      <name val="SWISS"/>
    </font>
    <font>
      <b/>
      <sz val="10"/>
      <color theme="5"/>
      <name val="Arial"/>
      <family val="2"/>
    </font>
    <font>
      <i/>
      <sz val="10"/>
      <color theme="1"/>
      <name val="Arial"/>
      <family val="2"/>
    </font>
    <font>
      <sz val="10"/>
      <color theme="7" tint="0.79998168889431442"/>
      <name val="Arial"/>
      <family val="2"/>
    </font>
    <font>
      <sz val="12"/>
      <name val="GillSans"/>
      <family val="2"/>
    </font>
    <font>
      <b/>
      <sz val="10"/>
      <color indexed="9"/>
      <name val="Trebuchet MS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5"/>
      <name val="Arial"/>
      <family val="2"/>
    </font>
    <font>
      <sz val="8.1999999999999993"/>
      <color theme="1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8"/>
      <color rgb="FFFFFFFF"/>
      <name val="Trebuchet MS"/>
      <family val="2"/>
    </font>
    <font>
      <sz val="10"/>
      <color rgb="FF5BA5A3"/>
      <name val="Arial"/>
      <family val="2"/>
    </font>
    <font>
      <sz val="10"/>
      <name val="GillSans"/>
      <family val="2"/>
    </font>
    <font>
      <sz val="10"/>
      <name val="Helv"/>
      <family val="2"/>
    </font>
    <font>
      <sz val="10"/>
      <name val="Helv"/>
      <charset val="204"/>
    </font>
    <font>
      <sz val="8"/>
      <name val="Frutiger 45 Light"/>
      <family val="2"/>
    </font>
    <font>
      <i/>
      <sz val="10"/>
      <color indexed="32"/>
      <name val="Arial Narrow"/>
      <family val="2"/>
    </font>
    <font>
      <sz val="8"/>
      <name val="Univers"/>
      <family val="2"/>
    </font>
    <font>
      <sz val="9"/>
      <name val="Frutiger 45 Light"/>
      <family val="2"/>
    </font>
    <font>
      <u/>
      <sz val="8"/>
      <color indexed="12"/>
      <name val="Times New Roman"/>
      <family val="1"/>
    </font>
    <font>
      <sz val="1"/>
      <color indexed="16"/>
      <name val="Courier"/>
      <family val="3"/>
    </font>
    <font>
      <u val="doubleAccounting"/>
      <sz val="10"/>
      <name val="Times New Roman"/>
      <family val="1"/>
    </font>
    <font>
      <sz val="11"/>
      <name val="Arial"/>
      <family val="2"/>
    </font>
    <font>
      <sz val="10"/>
      <name val="Arial Narrow"/>
      <family val="2"/>
    </font>
    <font>
      <b/>
      <sz val="10"/>
      <color indexed="32"/>
      <name val="Arial Narrow"/>
      <family val="2"/>
    </font>
    <font>
      <sz val="14"/>
      <name val="Arial"/>
      <family val="2"/>
    </font>
    <font>
      <b/>
      <sz val="12"/>
      <color indexed="55"/>
      <name val="Arial"/>
      <family val="2"/>
    </font>
    <font>
      <b/>
      <sz val="14"/>
      <name val="Arial"/>
      <family val="2"/>
    </font>
    <font>
      <sz val="10"/>
      <color indexed="32"/>
      <name val="Arial Narrow"/>
      <family val="2"/>
    </font>
    <font>
      <b/>
      <sz val="14"/>
      <color indexed="32"/>
      <name val="Arial"/>
      <family val="2"/>
    </font>
    <font>
      <sz val="8"/>
      <color indexed="32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i/>
      <sz val="10"/>
      <name val="Arial Narrow"/>
      <family val="2"/>
    </font>
    <font>
      <sz val="10"/>
      <color indexed="17"/>
      <name val="MS Sans Serif"/>
      <family val="2"/>
    </font>
    <font>
      <sz val="8"/>
      <name val="Courier"/>
      <family val="3"/>
    </font>
    <font>
      <b/>
      <sz val="8"/>
      <name val="Courier"/>
      <family val="3"/>
    </font>
    <font>
      <b/>
      <u/>
      <sz val="10"/>
      <name val="Courier"/>
      <family val="3"/>
    </font>
    <font>
      <sz val="9"/>
      <name val="Futura UBS Bk"/>
      <family val="2"/>
    </font>
    <font>
      <b/>
      <sz val="10"/>
      <color indexed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rgb="FF008000"/>
      <name val="Arial"/>
      <family val="2"/>
    </font>
    <font>
      <i/>
      <sz val="10"/>
      <color indexed="12"/>
      <name val="Arial"/>
      <family val="2"/>
    </font>
    <font>
      <i/>
      <sz val="10"/>
      <color rgb="FF008000"/>
      <name val="Arial"/>
      <family val="2"/>
    </font>
    <font>
      <sz val="8"/>
      <name val="Tms Rm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6"/>
      <name val="Arial"/>
      <family val="2"/>
    </font>
    <font>
      <sz val="9"/>
      <name val="Helvetica"/>
      <family val="2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</font>
    <font>
      <b/>
      <sz val="8"/>
      <color indexed="9"/>
      <name val="Arial"/>
      <family val="2"/>
    </font>
    <font>
      <b/>
      <sz val="18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sz val="10"/>
      <color theme="1"/>
      <name val="Tahoma"/>
      <family val="2"/>
    </font>
    <font>
      <sz val="8"/>
      <color theme="1"/>
      <name val="Arial"/>
      <family val="2"/>
    </font>
    <font>
      <sz val="8"/>
      <name val="Helvetica"/>
      <family val="2"/>
    </font>
    <font>
      <sz val="24"/>
      <name val="MS Sans Serif"/>
      <family val="2"/>
    </font>
    <font>
      <sz val="9"/>
      <name val="Helv"/>
      <family val="2"/>
    </font>
    <font>
      <sz val="10"/>
      <name val="CG Times (WN)"/>
    </font>
    <font>
      <b/>
      <sz val="16"/>
      <color theme="4"/>
      <name val="Arial"/>
      <family val="2"/>
    </font>
    <font>
      <b/>
      <sz val="15"/>
      <color theme="3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499984740745262"/>
      <name val="Arial"/>
      <family val="2"/>
    </font>
    <font>
      <b/>
      <sz val="10"/>
      <color theme="2"/>
      <name val="Arial"/>
      <family val="2"/>
    </font>
    <font>
      <sz val="8"/>
      <color indexed="12"/>
      <name val="Trebuchet MS"/>
      <family val="2"/>
    </font>
    <font>
      <sz val="9"/>
      <color theme="3"/>
      <name val="Arial"/>
      <family val="2"/>
    </font>
    <font>
      <i/>
      <sz val="8"/>
      <color theme="0" tint="-0.499984740745262"/>
      <name val="Arial"/>
      <family val="2"/>
    </font>
    <font>
      <sz val="10"/>
      <color rgb="FFFFFFFF"/>
      <name val="Arial"/>
      <family val="2"/>
    </font>
    <font>
      <b/>
      <sz val="10"/>
      <color theme="3"/>
      <name val="Arial"/>
      <family val="2"/>
    </font>
    <font>
      <i/>
      <sz val="10"/>
      <color rgb="FF808080"/>
      <name val="Arial"/>
      <family val="2"/>
    </font>
    <font>
      <b/>
      <sz val="8"/>
      <color rgb="FF000000"/>
      <name val="Arial"/>
      <family val="2"/>
    </font>
    <font>
      <i/>
      <sz val="8"/>
      <color rgb="FF80808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B050"/>
      <name val="Arial"/>
      <family val="2"/>
    </font>
    <font>
      <sz val="8"/>
      <color rgb="FF0000E1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</patternFill>
    </fill>
    <fill>
      <patternFill patternType="solid">
        <fgColor indexed="47"/>
        <bgColor indexed="64"/>
      </patternFill>
    </fill>
    <fill>
      <patternFill patternType="solid">
        <fgColor indexed="1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20"/>
      </patternFill>
    </fill>
    <fill>
      <patternFill patternType="solid">
        <fgColor indexed="16"/>
      </patternFill>
    </fill>
    <fill>
      <patternFill patternType="solid">
        <fgColor indexed="9"/>
      </patternFill>
    </fill>
    <fill>
      <patternFill patternType="solid">
        <fgColor indexed="21"/>
      </patternFill>
    </fill>
    <fill>
      <patternFill patternType="solid">
        <fgColor indexed="18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8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lightGray">
        <fgColor indexed="15"/>
      </patternFill>
    </fill>
    <fill>
      <patternFill patternType="gray0625">
        <fgColor indexed="15"/>
      </patternFill>
    </fill>
    <fill>
      <patternFill patternType="solid">
        <fgColor indexed="31"/>
        <bgColor indexed="64"/>
      </patternFill>
    </fill>
    <fill>
      <patternFill patternType="lightGray">
        <fgColor indexed="12"/>
      </patternFill>
    </fill>
    <fill>
      <patternFill patternType="solid">
        <fgColor indexed="9"/>
        <bgColor indexed="9"/>
      </patternFill>
    </fill>
    <fill>
      <patternFill patternType="mediumGray"/>
    </fill>
    <fill>
      <patternFill patternType="solid">
        <fgColor indexed="41"/>
        <bgColor indexed="64"/>
      </patternFill>
    </fill>
    <fill>
      <patternFill patternType="mediumGray">
        <fgColor indexed="9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39"/>
      </patternFill>
    </fill>
    <fill>
      <patternFill patternType="lightUp">
        <fgColor indexed="54"/>
        <b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62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rgb="FFEAEAEA"/>
        <bgColor indexed="64"/>
      </patternFill>
    </fill>
    <fill>
      <patternFill patternType="solid">
        <fgColor rgb="FF7397BC"/>
        <bgColor indexed="64"/>
      </patternFill>
    </fill>
    <fill>
      <patternFill patternType="solid">
        <fgColor rgb="FF165788"/>
        <bgColor indexed="64"/>
      </patternFill>
    </fill>
    <fill>
      <patternFill patternType="solid">
        <fgColor rgb="FF5482AB"/>
        <bgColor indexed="64"/>
      </patternFill>
    </fill>
    <fill>
      <patternFill patternType="solid">
        <fgColor rgb="FF93B1CC"/>
        <bgColor indexed="64"/>
      </patternFill>
    </fill>
    <fill>
      <patternFill patternType="solid">
        <fgColor rgb="FF93C19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gray0625">
        <fgColor indexed="10"/>
        <bgColor indexed="9"/>
      </patternFill>
    </fill>
    <fill>
      <patternFill patternType="lightGray">
        <fgColor indexed="14"/>
        <bgColor indexed="9"/>
      </patternFill>
    </fill>
    <fill>
      <patternFill patternType="solid">
        <fgColor indexed="55"/>
      </patternFill>
    </fill>
    <fill>
      <patternFill patternType="solid">
        <fgColor rgb="FFE4DFE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rgb="FFF2EDB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9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56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22"/>
      </bottom>
      <diagonal/>
    </border>
    <border>
      <left style="thin">
        <color indexed="9"/>
      </left>
      <right style="thin">
        <color indexed="55"/>
      </right>
      <top style="thin">
        <color indexed="9"/>
      </top>
      <bottom style="thin">
        <color indexed="55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/>
      <bottom style="thin">
        <color indexed="4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24"/>
      </bottom>
      <diagonal/>
    </border>
    <border>
      <left/>
      <right/>
      <top style="medium">
        <color indexed="32"/>
      </top>
      <bottom style="medium">
        <color indexed="32"/>
      </bottom>
      <diagonal/>
    </border>
    <border>
      <left/>
      <right/>
      <top/>
      <bottom style="thin">
        <color indexed="2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medium">
        <color indexed="23"/>
      </bottom>
      <diagonal/>
    </border>
    <border>
      <left style="dotted">
        <color indexed="22"/>
      </left>
      <right style="dotted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 style="thick">
        <color indexed="44"/>
      </top>
      <bottom style="thick">
        <color indexed="44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rgb="FF969696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rgb="FF00000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indexed="64"/>
      </right>
      <top/>
      <bottom style="thin">
        <color rgb="FF969696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auto="1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3810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83" fontId="28" fillId="11" borderId="0">
      <alignment horizontal="right"/>
    </xf>
    <xf numFmtId="0" fontId="6" fillId="0" borderId="0">
      <alignment vertical="center"/>
    </xf>
    <xf numFmtId="172" fontId="8" fillId="3" borderId="23"/>
    <xf numFmtId="184" fontId="31" fillId="0" borderId="0">
      <alignment horizontal="right"/>
    </xf>
    <xf numFmtId="172" fontId="32" fillId="14" borderId="0"/>
    <xf numFmtId="185" fontId="33" fillId="0" borderId="0" applyFont="0" applyFill="0" applyBorder="0" applyAlignment="0" applyProtection="0"/>
    <xf numFmtId="0" fontId="2" fillId="0" borderId="0"/>
    <xf numFmtId="185" fontId="33" fillId="0" borderId="0" applyFont="0" applyFill="0" applyBorder="0" applyAlignment="0" applyProtection="0"/>
    <xf numFmtId="186" fontId="4" fillId="0" borderId="0" applyFont="0" applyFill="0" applyBorder="0" applyAlignment="0" applyProtection="0"/>
    <xf numFmtId="164" fontId="34" fillId="0" borderId="0" applyFont="0" applyFill="0" applyBorder="0" applyAlignment="0" applyProtection="0"/>
    <xf numFmtId="0" fontId="6" fillId="0" borderId="0"/>
    <xf numFmtId="0" fontId="6" fillId="0" borderId="0"/>
    <xf numFmtId="187" fontId="6" fillId="0" borderId="0"/>
    <xf numFmtId="188" fontId="35" fillId="0" borderId="0"/>
    <xf numFmtId="189" fontId="4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0" fontId="4" fillId="0" borderId="0" applyFont="0" applyFill="0" applyBorder="0" applyAlignment="0" applyProtection="0"/>
    <xf numFmtId="10" fontId="34" fillId="0" borderId="0" applyFont="0" applyFill="0" applyBorder="0" applyAlignment="0" applyProtection="0"/>
    <xf numFmtId="10" fontId="37" fillId="0" borderId="0"/>
    <xf numFmtId="10" fontId="37" fillId="0" borderId="0"/>
    <xf numFmtId="9" fontId="34" fillId="0" borderId="0" applyFont="0" applyFill="0" applyBorder="0" applyAlignment="0" applyProtection="0"/>
    <xf numFmtId="10" fontId="37" fillId="0" borderId="0"/>
    <xf numFmtId="10" fontId="37" fillId="0" borderId="0"/>
    <xf numFmtId="9" fontId="38" fillId="0" borderId="0"/>
    <xf numFmtId="180" fontId="38" fillId="0" borderId="0"/>
    <xf numFmtId="10" fontId="38" fillId="0" borderId="0"/>
    <xf numFmtId="0" fontId="36" fillId="0" borderId="0" applyNumberFormat="0" applyFont="0" applyFill="0" applyBorder="0" applyAlignment="0" applyProtection="0"/>
    <xf numFmtId="0" fontId="39" fillId="13" borderId="0" applyBorder="0" applyAlignment="0"/>
    <xf numFmtId="181" fontId="38" fillId="0" borderId="10" applyFont="0" applyFill="0" applyBorder="0" applyAlignment="0" applyProtection="0"/>
    <xf numFmtId="172" fontId="35" fillId="0" borderId="0" applyFont="0" applyFill="0" applyBorder="0" applyAlignment="0" applyProtection="0"/>
    <xf numFmtId="191" fontId="35" fillId="0" borderId="0" applyFont="0" applyFill="0" applyBorder="0" applyAlignment="0"/>
    <xf numFmtId="192" fontId="6" fillId="0" borderId="0" applyFont="0" applyFill="0" applyBorder="0" applyAlignment="0" applyProtection="0"/>
    <xf numFmtId="0" fontId="40" fillId="0" borderId="0"/>
    <xf numFmtId="0" fontId="41" fillId="0" borderId="0" applyFont="0" applyAlignment="0">
      <alignment horizontal="center" vertical="center"/>
    </xf>
    <xf numFmtId="0" fontId="32" fillId="0" borderId="0"/>
    <xf numFmtId="0" fontId="35" fillId="0" borderId="0"/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35" fillId="0" borderId="0"/>
    <xf numFmtId="193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94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2" fillId="0" borderId="0"/>
    <xf numFmtId="0" fontId="42" fillId="0" borderId="0"/>
    <xf numFmtId="0" fontId="36" fillId="0" borderId="0" applyNumberFormat="0" applyFill="0" applyBorder="0" applyAlignment="0" applyProtection="0"/>
    <xf numFmtId="0" fontId="6" fillId="0" borderId="0"/>
    <xf numFmtId="0" fontId="4" fillId="13" borderId="0">
      <alignment horizontal="left" wrapText="1"/>
    </xf>
    <xf numFmtId="0" fontId="7" fillId="15" borderId="0">
      <alignment horizontal="left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3" fontId="4" fillId="16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0" fontId="7" fillId="15" borderId="0">
      <alignment horizontal="left"/>
    </xf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49" fontId="7" fillId="17" borderId="0">
      <alignment horizontal="left"/>
    </xf>
    <xf numFmtId="0" fontId="4" fillId="16" borderId="0"/>
    <xf numFmtId="0" fontId="4" fillId="16" borderId="0"/>
    <xf numFmtId="49" fontId="7" fillId="17" borderId="0">
      <alignment horizontal="left"/>
    </xf>
    <xf numFmtId="49" fontId="7" fillId="17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18" borderId="0">
      <alignment horizontal="left"/>
    </xf>
    <xf numFmtId="0" fontId="4" fillId="16" borderId="0"/>
    <xf numFmtId="0" fontId="4" fillId="16" borderId="0"/>
    <xf numFmtId="0" fontId="7" fillId="18" borderId="0">
      <alignment horizontal="left"/>
    </xf>
    <xf numFmtId="0" fontId="7" fillId="18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20" borderId="0">
      <alignment horizontal="left"/>
    </xf>
    <xf numFmtId="49" fontId="7" fillId="19" borderId="0">
      <alignment horizontal="left"/>
    </xf>
    <xf numFmtId="49" fontId="7" fillId="19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20" borderId="0">
      <alignment horizontal="left"/>
    </xf>
    <xf numFmtId="0" fontId="4" fillId="16" borderId="0"/>
    <xf numFmtId="0" fontId="4" fillId="16" borderId="0"/>
    <xf numFmtId="0" fontId="7" fillId="21" borderId="0">
      <alignment horizontal="left"/>
    </xf>
    <xf numFmtId="0" fontId="7" fillId="20" borderId="0">
      <alignment horizontal="left"/>
    </xf>
    <xf numFmtId="0" fontId="7" fillId="20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14" fillId="21" borderId="0">
      <alignment horizontal="left"/>
    </xf>
    <xf numFmtId="0" fontId="4" fillId="16" borderId="0"/>
    <xf numFmtId="0" fontId="4" fillId="16" borderId="0"/>
    <xf numFmtId="0" fontId="14" fillId="21" borderId="0">
      <alignment horizontal="left"/>
    </xf>
    <xf numFmtId="0" fontId="14" fillId="21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3" fillId="22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14" fillId="23" borderId="0">
      <alignment horizontal="left"/>
    </xf>
    <xf numFmtId="0" fontId="14" fillId="24" borderId="0">
      <alignment horizontal="left"/>
    </xf>
    <xf numFmtId="0" fontId="14" fillId="23" borderId="0">
      <alignment horizontal="left"/>
    </xf>
    <xf numFmtId="0" fontId="14" fillId="24" borderId="0">
      <alignment horizontal="left"/>
    </xf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7" fontId="6" fillId="0" borderId="0" applyFont="0" applyFill="0" applyBorder="0" applyAlignment="0" applyProtection="0"/>
    <xf numFmtId="198" fontId="4" fillId="0" borderId="0" applyFont="0" applyFill="0" applyBorder="0" applyAlignment="0" applyProtection="0"/>
    <xf numFmtId="199" fontId="4" fillId="0" borderId="0" applyFont="0" applyFill="0" applyBorder="0" applyAlignment="0" applyProtection="0"/>
    <xf numFmtId="200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182" fontId="6" fillId="0" borderId="0" applyFont="0" applyFill="0" applyBorder="0" applyAlignment="0" applyProtection="0"/>
    <xf numFmtId="202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184" fontId="4" fillId="0" borderId="0" applyFont="0" applyFill="0" applyBorder="0" applyAlignment="0" applyProtection="0"/>
    <xf numFmtId="20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3" fontId="4" fillId="3" borderId="24">
      <alignment horizontal="right"/>
    </xf>
    <xf numFmtId="4" fontId="6" fillId="3" borderId="0"/>
    <xf numFmtId="4" fontId="44" fillId="25" borderId="25" applyBorder="0"/>
    <xf numFmtId="170" fontId="4" fillId="3" borderId="24"/>
    <xf numFmtId="3" fontId="4" fillId="3" borderId="24">
      <alignment horizontal="right"/>
    </xf>
    <xf numFmtId="3" fontId="4" fillId="3" borderId="24">
      <alignment horizontal="right"/>
    </xf>
    <xf numFmtId="4" fontId="44" fillId="25" borderId="25" applyBorder="0"/>
    <xf numFmtId="3" fontId="4" fillId="2" borderId="24"/>
    <xf numFmtId="3" fontId="4" fillId="3" borderId="24">
      <alignment horizontal="right"/>
    </xf>
    <xf numFmtId="3" fontId="4" fillId="3" borderId="24">
      <alignment horizontal="right"/>
    </xf>
    <xf numFmtId="170" fontId="4" fillId="3" borderId="24"/>
    <xf numFmtId="3" fontId="4" fillId="3" borderId="24">
      <alignment horizontal="right"/>
    </xf>
    <xf numFmtId="3" fontId="4" fillId="3" borderId="24">
      <alignment horizontal="right"/>
    </xf>
    <xf numFmtId="3" fontId="4" fillId="3" borderId="24">
      <alignment horizontal="right"/>
    </xf>
    <xf numFmtId="4" fontId="44" fillId="25" borderId="25" applyBorder="0"/>
    <xf numFmtId="4" fontId="44" fillId="25" borderId="25" applyBorder="0"/>
    <xf numFmtId="170" fontId="4" fillId="3" borderId="24"/>
    <xf numFmtId="170" fontId="4" fillId="3" borderId="24"/>
    <xf numFmtId="170" fontId="4" fillId="3" borderId="24"/>
    <xf numFmtId="170" fontId="4" fillId="3" borderId="24"/>
    <xf numFmtId="3" fontId="4" fillId="3" borderId="24">
      <alignment horizontal="right"/>
    </xf>
    <xf numFmtId="3" fontId="4" fillId="3" borderId="24">
      <alignment horizontal="right"/>
    </xf>
    <xf numFmtId="3" fontId="4" fillId="3" borderId="24">
      <alignment horizontal="right"/>
    </xf>
    <xf numFmtId="170" fontId="4" fillId="3" borderId="24"/>
    <xf numFmtId="170" fontId="4" fillId="3" borderId="24"/>
    <xf numFmtId="3" fontId="4" fillId="3" borderId="24">
      <alignment horizontal="right"/>
    </xf>
    <xf numFmtId="204" fontId="4" fillId="0" borderId="0" applyFont="0" applyFill="0" applyBorder="0" applyAlignment="0" applyProtection="0"/>
    <xf numFmtId="205" fontId="4" fillId="0" borderId="0" applyFont="0" applyFill="0" applyBorder="0" applyAlignment="0" applyProtection="0"/>
    <xf numFmtId="0" fontId="45" fillId="0" borderId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9" fillId="3" borderId="0">
      <alignment horizontal="left"/>
    </xf>
    <xf numFmtId="0" fontId="46" fillId="26" borderId="0"/>
    <xf numFmtId="0" fontId="47" fillId="27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7" fillId="27" borderId="0"/>
    <xf numFmtId="0" fontId="6" fillId="3" borderId="0">
      <alignment wrapText="1"/>
    </xf>
    <xf numFmtId="0" fontId="9" fillId="3" borderId="0">
      <alignment horizontal="left"/>
    </xf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6" fillId="26" borderId="0"/>
    <xf numFmtId="0" fontId="9" fillId="3" borderId="0">
      <alignment horizontal="left"/>
    </xf>
    <xf numFmtId="0" fontId="47" fillId="27" borderId="0"/>
    <xf numFmtId="0" fontId="47" fillId="27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9" fillId="3" borderId="0">
      <alignment horizontal="left"/>
    </xf>
    <xf numFmtId="0" fontId="9" fillId="3" borderId="0"/>
    <xf numFmtId="0" fontId="9" fillId="3" borderId="0"/>
    <xf numFmtId="0" fontId="9" fillId="3" borderId="0">
      <alignment horizontal="left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" fillId="28" borderId="0" applyNumberFormat="0" applyFont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8" fontId="4" fillId="0" borderId="0" applyFont="0" applyFill="0" applyBorder="0" applyAlignment="0" applyProtection="0"/>
    <xf numFmtId="209" fontId="6" fillId="0" borderId="0" applyFont="0" applyFill="0" applyBorder="0" applyAlignment="0" applyProtection="0"/>
    <xf numFmtId="209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211" fontId="6" fillId="0" borderId="0" applyFont="0" applyFill="0" applyBorder="0" applyProtection="0">
      <alignment horizontal="right"/>
    </xf>
    <xf numFmtId="211" fontId="6" fillId="0" borderId="0" applyFont="0" applyFill="0" applyBorder="0" applyProtection="0">
      <alignment horizontal="right"/>
    </xf>
    <xf numFmtId="212" fontId="4" fillId="0" borderId="0" applyFont="0" applyFill="0" applyBorder="0" applyAlignment="0" applyProtection="0"/>
    <xf numFmtId="213" fontId="35" fillId="0" borderId="0" applyFont="0" applyFill="0" applyBorder="0" applyAlignment="0" applyProtection="0"/>
    <xf numFmtId="213" fontId="35" fillId="0" borderId="0" applyFont="0" applyFill="0" applyBorder="0" applyAlignment="0" applyProtection="0"/>
    <xf numFmtId="211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6" fillId="0" borderId="0" applyFont="0" applyFill="0" applyBorder="0" applyAlignment="0" applyProtection="0"/>
    <xf numFmtId="216" fontId="4" fillId="0" borderId="0" applyFont="0" applyFill="0" applyBorder="0" applyAlignment="0" applyProtection="0"/>
    <xf numFmtId="217" fontId="35" fillId="0" borderId="0" applyFont="0" applyFill="0" applyBorder="0" applyAlignment="0" applyProtection="0"/>
    <xf numFmtId="217" fontId="35" fillId="0" borderId="0" applyFont="0" applyFill="0" applyBorder="0" applyAlignment="0" applyProtection="0"/>
    <xf numFmtId="215" fontId="6" fillId="0" borderId="0" applyFont="0" applyFill="0" applyBorder="0" applyAlignment="0" applyProtection="0"/>
    <xf numFmtId="0" fontId="14" fillId="29" borderId="0" applyNumberFormat="0" applyFont="0" applyFill="0" applyBorder="0" applyAlignment="0" applyProtection="0"/>
    <xf numFmtId="0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220" fontId="4" fillId="0" borderId="0" applyFont="0" applyFill="0" applyBorder="0" applyAlignment="0" applyProtection="0"/>
    <xf numFmtId="221" fontId="6" fillId="0" borderId="0" applyFont="0" applyFill="0" applyBorder="0" applyAlignment="0" applyProtection="0"/>
    <xf numFmtId="186" fontId="4" fillId="0" borderId="0" applyFont="0" applyFill="0" applyBorder="0" applyAlignment="0" applyProtection="0"/>
    <xf numFmtId="185" fontId="35" fillId="0" borderId="0" applyFont="0" applyFill="0" applyBorder="0" applyAlignment="0" applyProtection="0"/>
    <xf numFmtId="185" fontId="35" fillId="0" borderId="0" applyFont="0" applyFill="0" applyBorder="0" applyAlignment="0" applyProtection="0"/>
    <xf numFmtId="221" fontId="6" fillId="0" borderId="0" applyFont="0" applyFill="0" applyBorder="0" applyAlignment="0" applyProtection="0"/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/>
    <xf numFmtId="3" fontId="4" fillId="16" borderId="0">
      <alignment horizontal="left" vertical="center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26" borderId="0"/>
    <xf numFmtId="0" fontId="4" fillId="13" borderId="0">
      <alignment horizontal="left" wrapText="1"/>
    </xf>
    <xf numFmtId="0" fontId="7" fillId="15" borderId="0"/>
    <xf numFmtId="0" fontId="7" fillId="15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6" fillId="30" borderId="0"/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1" borderId="0"/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7" fillId="17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7" fillId="18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7" fillId="19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19" borderId="0"/>
    <xf numFmtId="0" fontId="7" fillId="19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21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20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3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14" fillId="21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14" fillId="23" borderId="0"/>
    <xf numFmtId="0" fontId="43" fillId="22" borderId="0"/>
    <xf numFmtId="0" fontId="43" fillId="22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 applyNumberFormat="0" applyProtection="0"/>
    <xf numFmtId="0" fontId="14" fillId="24" borderId="0" applyNumberFormat="0" applyProtection="0"/>
    <xf numFmtId="0" fontId="14" fillId="23" borderId="0" applyNumberFormat="0" applyProtection="0"/>
    <xf numFmtId="0" fontId="14" fillId="24" borderId="0" applyNumberFormat="0" applyProtection="0"/>
    <xf numFmtId="0" fontId="36" fillId="0" borderId="0" applyNumberFormat="0" applyFill="0" applyBorder="0" applyAlignment="0" applyProtection="0"/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201" fontId="35" fillId="0" borderId="0" applyFont="0" applyFill="0" applyBorder="0" applyAlignment="0" applyProtection="0"/>
    <xf numFmtId="222" fontId="35" fillId="0" borderId="0" applyFont="0" applyFill="0" applyBorder="0" applyAlignment="0" applyProtection="0"/>
    <xf numFmtId="0" fontId="6" fillId="0" borderId="0"/>
    <xf numFmtId="0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24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6" fontId="33" fillId="0" borderId="0" applyFont="0" applyFill="0" applyBorder="0" applyAlignment="0" applyProtection="0"/>
    <xf numFmtId="226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224" fontId="38" fillId="0" borderId="0" applyFont="0" applyFill="0" applyBorder="0" applyAlignment="0" applyProtection="0"/>
    <xf numFmtId="227" fontId="6" fillId="0" borderId="0"/>
    <xf numFmtId="228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193" fontId="35" fillId="0" borderId="0"/>
    <xf numFmtId="231" fontId="35" fillId="0" borderId="0"/>
    <xf numFmtId="194" fontId="35" fillId="0" borderId="0"/>
    <xf numFmtId="232" fontId="53" fillId="0" borderId="0" applyFont="0" applyFill="0" applyBorder="0" applyAlignment="0" applyProtection="0"/>
    <xf numFmtId="233" fontId="53" fillId="0" borderId="0" applyFont="0" applyFill="0" applyBorder="0" applyAlignment="0" applyProtection="0"/>
    <xf numFmtId="234" fontId="53" fillId="0" borderId="0" applyFont="0" applyFill="0" applyBorder="0" applyAlignment="0" applyProtection="0"/>
    <xf numFmtId="235" fontId="53" fillId="0" borderId="0" applyFont="0" applyFill="0" applyBorder="0" applyAlignment="0" applyProtection="0"/>
    <xf numFmtId="236" fontId="53" fillId="0" borderId="0" applyFont="0" applyFill="0" applyBorder="0" applyAlignment="0" applyProtection="0"/>
    <xf numFmtId="237" fontId="54" fillId="0" borderId="0" applyFont="0" applyFill="0" applyBorder="0" applyAlignment="0" applyProtection="0"/>
    <xf numFmtId="225" fontId="38" fillId="0" borderId="0" applyFont="0" applyFill="0" applyBorder="0" applyAlignment="0" applyProtection="0"/>
    <xf numFmtId="0" fontId="35" fillId="0" borderId="0"/>
    <xf numFmtId="0" fontId="35" fillId="0" borderId="0"/>
    <xf numFmtId="0" fontId="6" fillId="0" borderId="0"/>
    <xf numFmtId="0" fontId="55" fillId="0" borderId="0"/>
    <xf numFmtId="9" fontId="6" fillId="0" borderId="0"/>
    <xf numFmtId="0" fontId="38" fillId="0" borderId="0"/>
    <xf numFmtId="202" fontId="56" fillId="0" borderId="0"/>
    <xf numFmtId="222" fontId="4" fillId="0" borderId="0">
      <alignment horizontal="left"/>
      <protection locked="0"/>
    </xf>
    <xf numFmtId="180" fontId="56" fillId="0" borderId="0"/>
    <xf numFmtId="182" fontId="56" fillId="0" borderId="0"/>
    <xf numFmtId="2" fontId="56" fillId="0" borderId="0"/>
    <xf numFmtId="10" fontId="56" fillId="0" borderId="0"/>
    <xf numFmtId="0" fontId="57" fillId="0" borderId="28" applyFont="0" applyFill="0" applyBorder="0" applyAlignment="0" applyProtection="0"/>
    <xf numFmtId="182" fontId="56" fillId="0" borderId="0"/>
    <xf numFmtId="181" fontId="38" fillId="0" borderId="0"/>
    <xf numFmtId="181" fontId="38" fillId="0" borderId="0"/>
    <xf numFmtId="238" fontId="38" fillId="0" borderId="0">
      <alignment horizontal="center"/>
    </xf>
    <xf numFmtId="239" fontId="33" fillId="0" borderId="0" applyFont="0" applyFill="0" applyBorder="0" applyAlignment="0" applyProtection="0"/>
    <xf numFmtId="184" fontId="4" fillId="0" borderId="0" applyFont="0" applyFill="0" applyBorder="0" applyAlignment="0" applyProtection="0"/>
    <xf numFmtId="172" fontId="4" fillId="0" borderId="0"/>
    <xf numFmtId="172" fontId="4" fillId="0" borderId="0">
      <alignment horizontal="right"/>
    </xf>
    <xf numFmtId="37" fontId="58" fillId="0" borderId="0">
      <alignment horizontal="center"/>
    </xf>
    <xf numFmtId="172" fontId="59" fillId="0" borderId="0">
      <alignment horizontal="center"/>
    </xf>
    <xf numFmtId="168" fontId="60" fillId="0" borderId="0"/>
    <xf numFmtId="240" fontId="4" fillId="0" borderId="0"/>
    <xf numFmtId="241" fontId="4" fillId="0" borderId="0"/>
    <xf numFmtId="242" fontId="6" fillId="0" borderId="0" applyFill="0" applyBorder="0" applyProtection="0">
      <alignment horizontal="right"/>
    </xf>
    <xf numFmtId="0" fontId="4" fillId="4" borderId="29">
      <alignment horizontal="center" vertical="center"/>
    </xf>
    <xf numFmtId="0" fontId="61" fillId="0" borderId="0"/>
    <xf numFmtId="0" fontId="59" fillId="0" borderId="0" applyFont="0">
      <alignment horizontal="centerContinuous"/>
    </xf>
    <xf numFmtId="0" fontId="6" fillId="0" borderId="0">
      <alignment horizontal="right"/>
    </xf>
    <xf numFmtId="0" fontId="23" fillId="0" borderId="0" applyFont="0" applyFill="0" applyBorder="0" applyAlignment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30" applyNumberFormat="0" applyFill="0" applyAlignment="0" applyProtection="0"/>
    <xf numFmtId="172" fontId="62" fillId="3" borderId="15" applyAlignment="0"/>
    <xf numFmtId="173" fontId="62" fillId="3" borderId="15" applyAlignment="0"/>
    <xf numFmtId="180" fontId="62" fillId="3" borderId="15"/>
    <xf numFmtId="168" fontId="60" fillId="3" borderId="23"/>
    <xf numFmtId="240" fontId="4" fillId="3" borderId="23"/>
    <xf numFmtId="180" fontId="60" fillId="3" borderId="23"/>
    <xf numFmtId="0" fontId="63" fillId="0" borderId="31" applyNumberFormat="0" applyFill="0" applyAlignment="0" applyProtection="0"/>
    <xf numFmtId="181" fontId="64" fillId="14" borderId="0" applyNumberFormat="0" applyFill="0" applyBorder="0" applyAlignment="0" applyProtection="0">
      <alignment horizontal="right"/>
    </xf>
    <xf numFmtId="0" fontId="4" fillId="32" borderId="15" applyProtection="0">
      <alignment horizontal="right"/>
    </xf>
    <xf numFmtId="222" fontId="4" fillId="32" borderId="15" applyProtection="0">
      <alignment horizontal="right"/>
      <protection locked="0"/>
    </xf>
    <xf numFmtId="239" fontId="6" fillId="32" borderId="15" applyProtection="0">
      <alignment horizontal="right"/>
      <protection locked="0"/>
    </xf>
    <xf numFmtId="184" fontId="4" fillId="32" borderId="15" applyProtection="0">
      <alignment horizontal="right"/>
      <protection locked="0"/>
    </xf>
    <xf numFmtId="243" fontId="4" fillId="32" borderId="15" applyProtection="0">
      <alignment horizontal="right"/>
    </xf>
    <xf numFmtId="244" fontId="4" fillId="32" borderId="15" applyProtection="0">
      <alignment horizontal="right"/>
    </xf>
    <xf numFmtId="245" fontId="4" fillId="32" borderId="15" applyProtection="0">
      <alignment horizontal="right"/>
    </xf>
    <xf numFmtId="246" fontId="4" fillId="32" borderId="15" applyProtection="0">
      <alignment horizontal="right"/>
    </xf>
    <xf numFmtId="197" fontId="4" fillId="32" borderId="15" applyProtection="0">
      <alignment horizontal="right"/>
    </xf>
    <xf numFmtId="206" fontId="4" fillId="32" borderId="15" applyProtection="0">
      <alignment horizontal="right"/>
    </xf>
    <xf numFmtId="0" fontId="35" fillId="0" borderId="0">
      <alignment horizontal="centerContinuous"/>
    </xf>
    <xf numFmtId="0" fontId="59" fillId="0" borderId="10">
      <alignment horizontal="centerContinuous"/>
    </xf>
    <xf numFmtId="0" fontId="65" fillId="33" borderId="32" applyNumberFormat="0" applyAlignment="0">
      <alignment horizontal="right"/>
    </xf>
    <xf numFmtId="0" fontId="37" fillId="0" borderId="0" applyNumberFormat="0" applyFill="0" applyBorder="0" applyAlignment="0" applyProtection="0">
      <alignment horizontal="centerContinuous"/>
    </xf>
    <xf numFmtId="0" fontId="6" fillId="0" borderId="0"/>
    <xf numFmtId="187" fontId="6" fillId="0" borderId="0"/>
    <xf numFmtId="188" fontId="35" fillId="0" borderId="0"/>
    <xf numFmtId="9" fontId="37" fillId="0" borderId="0"/>
    <xf numFmtId="180" fontId="37" fillId="0" borderId="0"/>
    <xf numFmtId="10" fontId="37" fillId="0" borderId="0"/>
    <xf numFmtId="0" fontId="3" fillId="0" borderId="0" applyNumberFormat="0" applyFill="0" applyBorder="0" applyAlignment="0" applyProtection="0"/>
    <xf numFmtId="0" fontId="31" fillId="0" borderId="0"/>
    <xf numFmtId="247" fontId="3" fillId="3" borderId="18" applyFill="0" applyBorder="0" applyAlignment="0" applyProtection="0"/>
    <xf numFmtId="177" fontId="66" fillId="0" borderId="0"/>
    <xf numFmtId="0" fontId="31" fillId="0" borderId="0"/>
    <xf numFmtId="0" fontId="31" fillId="0" borderId="0"/>
    <xf numFmtId="177" fontId="66" fillId="0" borderId="0"/>
    <xf numFmtId="193" fontId="35" fillId="0" borderId="0"/>
    <xf numFmtId="231" fontId="35" fillId="0" borderId="0"/>
    <xf numFmtId="194" fontId="35" fillId="0" borderId="0"/>
    <xf numFmtId="248" fontId="37" fillId="0" borderId="0"/>
    <xf numFmtId="0" fontId="37" fillId="0" borderId="0"/>
    <xf numFmtId="184" fontId="37" fillId="0" borderId="0"/>
    <xf numFmtId="170" fontId="37" fillId="0" borderId="0"/>
    <xf numFmtId="227" fontId="32" fillId="0" borderId="0" applyFont="0" applyFill="0" applyBorder="0" applyAlignment="0" applyProtection="0"/>
    <xf numFmtId="0" fontId="60" fillId="0" borderId="0"/>
    <xf numFmtId="210" fontId="4" fillId="0" borderId="0" applyFont="0" applyFill="0" applyBorder="0" applyAlignment="0" applyProtection="0">
      <alignment vertical="top"/>
    </xf>
    <xf numFmtId="0" fontId="67" fillId="0" borderId="0" applyNumberFormat="0" applyFill="0" applyBorder="0" applyAlignment="0" applyProtection="0">
      <alignment vertical="top"/>
      <protection locked="0"/>
    </xf>
    <xf numFmtId="218" fontId="4" fillId="32" borderId="15" applyFont="0" applyFill="0" applyBorder="0" applyAlignment="0" applyProtection="0"/>
    <xf numFmtId="247" fontId="6" fillId="0" borderId="0"/>
    <xf numFmtId="0" fontId="31" fillId="0" borderId="0" applyNumberFormat="0" applyBorder="0" applyAlignment="0"/>
    <xf numFmtId="247" fontId="27" fillId="0" borderId="0" applyFont="0" applyFill="0" applyBorder="0" applyAlignment="0" applyProtection="0"/>
    <xf numFmtId="10" fontId="6" fillId="34" borderId="10" applyNumberFormat="0" applyAlignment="0">
      <alignment horizontal="right"/>
    </xf>
    <xf numFmtId="1" fontId="68" fillId="0" borderId="0" applyFill="0" applyBorder="0" applyProtection="0">
      <alignment horizontal="right" wrapText="1"/>
      <protection locked="0"/>
    </xf>
    <xf numFmtId="249" fontId="69" fillId="0" borderId="0" applyFill="0" applyBorder="0" applyProtection="0">
      <alignment horizontal="right"/>
      <protection locked="0"/>
    </xf>
    <xf numFmtId="38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14" borderId="0" applyNumberFormat="0" applyFill="0" applyBorder="0" applyAlignment="0" applyProtection="0">
      <protection locked="0"/>
    </xf>
    <xf numFmtId="0" fontId="73" fillId="34" borderId="0"/>
    <xf numFmtId="172" fontId="35" fillId="0" borderId="0" applyNumberFormat="0" applyFont="0" applyAlignment="0" applyProtection="0"/>
    <xf numFmtId="250" fontId="4" fillId="0" borderId="0" applyFont="0" applyFill="0" applyBorder="0" applyAlignment="0" applyProtection="0"/>
    <xf numFmtId="227" fontId="4" fillId="0" borderId="0" applyFont="0" applyFill="0" applyBorder="0" applyAlignment="0" applyProtection="0"/>
    <xf numFmtId="251" fontId="74" fillId="0" borderId="0" applyFont="0" applyFill="0" applyBorder="0" applyAlignment="0" applyProtection="0"/>
    <xf numFmtId="252" fontId="4" fillId="0" borderId="0" applyFont="0" applyFill="0" applyBorder="0" applyAlignment="0" applyProtection="0"/>
    <xf numFmtId="253" fontId="4" fillId="0" borderId="0" applyFont="0" applyFill="0" applyBorder="0" applyAlignment="0" applyProtection="0"/>
    <xf numFmtId="254" fontId="4" fillId="0" borderId="0" applyFont="0" applyFill="0" applyBorder="0" applyAlignment="0" applyProtection="0"/>
    <xf numFmtId="255" fontId="4" fillId="0" borderId="0" applyFont="0" applyFill="0" applyBorder="0" applyAlignment="0" applyProtection="0"/>
    <xf numFmtId="256" fontId="4" fillId="0" borderId="0" applyFont="0" applyFill="0" applyBorder="0" applyAlignment="0" applyProtection="0"/>
    <xf numFmtId="249" fontId="4" fillId="0" borderId="0" applyFont="0" applyFill="0" applyBorder="0" applyAlignment="0" applyProtection="0"/>
    <xf numFmtId="257" fontId="4" fillId="0" borderId="0" applyFont="0" applyFill="0" applyBorder="0" applyAlignment="0" applyProtection="0"/>
    <xf numFmtId="258" fontId="4" fillId="0" borderId="0" applyFont="0" applyFill="0" applyBorder="0" applyAlignment="0" applyProtection="0"/>
    <xf numFmtId="259" fontId="4" fillId="0" borderId="0" applyFont="0" applyFill="0" applyBorder="0" applyAlignment="0" applyProtection="0"/>
    <xf numFmtId="260" fontId="4" fillId="0" borderId="0" applyNumberFormat="0" applyFont="0" applyAlignment="0"/>
    <xf numFmtId="0" fontId="75" fillId="35" borderId="0" applyNumberFormat="0" applyBorder="0">
      <alignment horizontal="center" vertical="center"/>
    </xf>
    <xf numFmtId="172" fontId="6" fillId="0" borderId="0"/>
    <xf numFmtId="0" fontId="76" fillId="0" borderId="0" applyNumberFormat="0" applyFill="0" applyBorder="0" applyAlignment="0" applyProtection="0"/>
    <xf numFmtId="0" fontId="1" fillId="35" borderId="33">
      <alignment horizontal="center" vertical="center"/>
    </xf>
    <xf numFmtId="0" fontId="77" fillId="0" borderId="0" applyNumberFormat="0" applyFill="0" applyBorder="0" applyProtection="0">
      <protection locked="0"/>
    </xf>
    <xf numFmtId="249" fontId="17" fillId="0" borderId="0">
      <protection locked="0"/>
    </xf>
    <xf numFmtId="1" fontId="78" fillId="35" borderId="0" applyBorder="0" applyAlignment="0" applyProtection="0"/>
    <xf numFmtId="212" fontId="4" fillId="0" borderId="0">
      <alignment horizontal="right"/>
    </xf>
    <xf numFmtId="261" fontId="4" fillId="0" borderId="0" applyBorder="0" applyProtection="0"/>
    <xf numFmtId="262" fontId="4" fillId="0" borderId="0"/>
    <xf numFmtId="0" fontId="38" fillId="0" borderId="0"/>
    <xf numFmtId="263" fontId="79" fillId="0" borderId="0" applyFont="0" applyAlignment="0" applyProtection="0"/>
    <xf numFmtId="0" fontId="35" fillId="0" borderId="0"/>
    <xf numFmtId="0" fontId="80" fillId="0" borderId="0" applyNumberFormat="0" applyFill="0" applyBorder="0" applyAlignment="0" applyProtection="0"/>
    <xf numFmtId="0" fontId="59" fillId="0" borderId="10" applyNumberFormat="0" applyFill="0" applyAlignment="0" applyProtection="0"/>
    <xf numFmtId="0" fontId="81" fillId="14" borderId="12" applyNumberFormat="0" applyFill="0" applyBorder="0" applyAlignment="0" applyProtection="0">
      <protection locked="0"/>
    </xf>
    <xf numFmtId="37" fontId="33" fillId="0" borderId="10" applyNumberFormat="0" applyFont="0" applyFill="0" applyAlignment="0" applyProtection="0"/>
    <xf numFmtId="0" fontId="32" fillId="0" borderId="3" applyNumberFormat="0" applyFont="0" applyFill="0" applyAlignment="0" applyProtection="0"/>
    <xf numFmtId="264" fontId="74" fillId="0" borderId="19" applyNumberFormat="0" applyFont="0" applyFill="0" applyAlignment="0" applyProtection="0"/>
    <xf numFmtId="0" fontId="6" fillId="0" borderId="3" applyNumberFormat="0" applyFont="0" applyFill="0" applyAlignment="0" applyProtection="0"/>
    <xf numFmtId="0" fontId="32" fillId="0" borderId="10" applyNumberFormat="0" applyFont="0" applyFill="0" applyAlignment="0" applyProtection="0"/>
    <xf numFmtId="264" fontId="74" fillId="0" borderId="8" applyNumberFormat="0" applyFont="0" applyFill="0" applyAlignment="0" applyProtection="0"/>
    <xf numFmtId="0" fontId="60" fillId="0" borderId="34" applyNumberFormat="0" applyFill="0" applyProtection="0"/>
    <xf numFmtId="0" fontId="34" fillId="0" borderId="10" applyNumberFormat="0" applyFont="0" applyFill="0" applyAlignment="0" applyProtection="0"/>
    <xf numFmtId="0" fontId="34" fillId="0" borderId="11" applyNumberFormat="0" applyFont="0" applyFill="0" applyAlignment="0" applyProtection="0"/>
    <xf numFmtId="0" fontId="34" fillId="0" borderId="12" applyNumberFormat="0" applyFont="0" applyFill="0" applyAlignment="0" applyProtection="0"/>
    <xf numFmtId="0" fontId="34" fillId="0" borderId="8" applyNumberFormat="0" applyFont="0" applyFill="0" applyAlignment="0" applyProtection="0"/>
    <xf numFmtId="0" fontId="70" fillId="0" borderId="10" applyNumberFormat="0" applyFont="0" applyFill="0" applyAlignment="0" applyProtection="0"/>
    <xf numFmtId="260" fontId="4" fillId="0" borderId="3" applyNumberFormat="0" applyFill="0" applyAlignment="0" applyProtection="0">
      <alignment horizontal="center"/>
    </xf>
    <xf numFmtId="0" fontId="82" fillId="0" borderId="35" applyFill="0" applyProtection="0">
      <alignment horizontal="right"/>
    </xf>
    <xf numFmtId="265" fontId="4" fillId="0" borderId="10" applyFill="0" applyAlignment="0" applyProtection="0">
      <alignment horizontal="center"/>
    </xf>
    <xf numFmtId="0" fontId="31" fillId="0" borderId="8"/>
    <xf numFmtId="172" fontId="83" fillId="0" borderId="36" applyBorder="0"/>
    <xf numFmtId="266" fontId="84" fillId="2" borderId="0" applyFont="0" applyFill="0" applyBorder="0" applyAlignment="0" applyProtection="0"/>
    <xf numFmtId="49" fontId="85" fillId="0" borderId="0" applyFont="0" applyFill="0" applyBorder="0" applyAlignment="0" applyProtection="0">
      <alignment horizontal="left"/>
    </xf>
    <xf numFmtId="231" fontId="4" fillId="0" borderId="0" applyAlignment="0" applyProtection="0"/>
    <xf numFmtId="180" fontId="4" fillId="0" borderId="0" applyFill="0" applyBorder="0" applyAlignment="0" applyProtection="0"/>
    <xf numFmtId="49" fontId="4" fillId="0" borderId="0" applyNumberFormat="0" applyAlignment="0" applyProtection="0">
      <alignment horizontal="left"/>
    </xf>
    <xf numFmtId="49" fontId="86" fillId="0" borderId="37" applyNumberFormat="0" applyAlignment="0" applyProtection="0">
      <alignment horizontal="left" wrapText="1"/>
    </xf>
    <xf numFmtId="49" fontId="86" fillId="0" borderId="0" applyNumberFormat="0" applyAlignment="0" applyProtection="0">
      <alignment horizontal="left" wrapText="1"/>
    </xf>
    <xf numFmtId="49" fontId="87" fillId="0" borderId="0" applyAlignment="0" applyProtection="0">
      <alignment horizontal="left"/>
    </xf>
    <xf numFmtId="0" fontId="6" fillId="0" borderId="0" applyFont="0" applyFill="0" applyBorder="0" applyAlignment="0" applyProtection="0"/>
    <xf numFmtId="260" fontId="4" fillId="0" borderId="0" applyFont="0" applyFill="0" applyBorder="0" applyAlignment="0">
      <alignment horizontal="right"/>
    </xf>
    <xf numFmtId="248" fontId="37" fillId="0" borderId="8"/>
    <xf numFmtId="170" fontId="37" fillId="0" borderId="8"/>
    <xf numFmtId="0" fontId="38" fillId="0" borderId="10">
      <alignment horizontal="centerContinuous"/>
    </xf>
    <xf numFmtId="0" fontId="6" fillId="0" borderId="3" applyBorder="0">
      <alignment horizontal="centerContinuous"/>
    </xf>
    <xf numFmtId="228" fontId="38" fillId="0" borderId="0" applyFont="0" applyFill="0" applyBorder="0" applyAlignment="0" applyProtection="0"/>
    <xf numFmtId="267" fontId="4" fillId="0" borderId="0" applyFont="0" applyFill="0" applyBorder="0" applyProtection="0">
      <alignment horizontal="left"/>
    </xf>
    <xf numFmtId="268" fontId="4" fillId="0" borderId="0" applyFont="0" applyFill="0" applyBorder="0" applyProtection="0">
      <alignment horizontal="left"/>
    </xf>
    <xf numFmtId="269" fontId="4" fillId="0" borderId="0" applyFont="0" applyFill="0" applyBorder="0" applyProtection="0">
      <alignment horizontal="left"/>
    </xf>
    <xf numFmtId="270" fontId="4" fillId="36" borderId="0" applyFont="0" applyFill="0" applyBorder="0" applyAlignment="0" applyProtection="0">
      <alignment horizontal="center" vertical="top"/>
    </xf>
    <xf numFmtId="191" fontId="6" fillId="0" borderId="0"/>
    <xf numFmtId="204" fontId="35" fillId="0" borderId="0"/>
    <xf numFmtId="271" fontId="3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7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1" fillId="0" borderId="0">
      <alignment horizontal="right"/>
    </xf>
    <xf numFmtId="0" fontId="31" fillId="0" borderId="0">
      <alignment horizontal="right"/>
    </xf>
    <xf numFmtId="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9" fillId="0" borderId="0" applyNumberFormat="0" applyFont="0" applyFill="0" applyBorder="0" applyProtection="0">
      <alignment horizontal="centerContinuous"/>
    </xf>
    <xf numFmtId="0" fontId="88" fillId="0" borderId="0"/>
    <xf numFmtId="0" fontId="88" fillId="0" borderId="0"/>
    <xf numFmtId="0" fontId="88" fillId="0" borderId="0"/>
    <xf numFmtId="170" fontId="31" fillId="0" borderId="0">
      <alignment horizontal="right"/>
    </xf>
    <xf numFmtId="170" fontId="31" fillId="0" borderId="0">
      <alignment horizontal="right"/>
    </xf>
    <xf numFmtId="170" fontId="31" fillId="0" borderId="0">
      <alignment horizontal="right"/>
    </xf>
    <xf numFmtId="17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37" fontId="38" fillId="0" borderId="0">
      <alignment horizontal="center"/>
    </xf>
    <xf numFmtId="0" fontId="38" fillId="0" borderId="0"/>
    <xf numFmtId="0" fontId="59" fillId="0" borderId="0"/>
    <xf numFmtId="272" fontId="4" fillId="0" borderId="0" applyFill="0" applyBorder="0" applyAlignment="0"/>
    <xf numFmtId="273" fontId="4" fillId="0" borderId="0" applyFill="0" applyBorder="0" applyAlignment="0"/>
    <xf numFmtId="196" fontId="4" fillId="0" borderId="0" applyFill="0" applyBorder="0" applyAlignment="0"/>
    <xf numFmtId="186" fontId="4" fillId="0" borderId="0" applyFill="0" applyBorder="0" applyAlignment="0"/>
    <xf numFmtId="189" fontId="4" fillId="0" borderId="0" applyFill="0" applyBorder="0" applyAlignment="0"/>
    <xf numFmtId="272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172" fontId="4" fillId="0" borderId="0" applyAlignment="0" applyProtection="0"/>
    <xf numFmtId="265" fontId="4" fillId="37" borderId="0" applyNumberFormat="0" applyFont="0" applyBorder="0" applyAlignment="0"/>
    <xf numFmtId="0" fontId="68" fillId="0" borderId="0" applyFont="0" applyFill="0" applyBorder="0" applyAlignment="0" applyProtection="0"/>
    <xf numFmtId="274" fontId="4" fillId="0" borderId="38"/>
    <xf numFmtId="0" fontId="10" fillId="0" borderId="0" applyNumberFormat="0" applyBorder="0" applyAlignment="0" applyProtection="0"/>
    <xf numFmtId="265" fontId="4" fillId="0" borderId="0"/>
    <xf numFmtId="166" fontId="6" fillId="0" borderId="28" applyFont="0" applyFill="0" applyBorder="0" applyProtection="0">
      <alignment horizontal="right"/>
    </xf>
    <xf numFmtId="0" fontId="15" fillId="0" borderId="0">
      <alignment horizontal="center" wrapText="1"/>
    </xf>
    <xf numFmtId="0" fontId="90" fillId="0" borderId="0"/>
    <xf numFmtId="1" fontId="91" fillId="0" borderId="0"/>
    <xf numFmtId="265" fontId="92" fillId="0" borderId="0" applyFill="0" applyBorder="0">
      <alignment horizontal="right"/>
    </xf>
    <xf numFmtId="0" fontId="3" fillId="0" borderId="15" applyNumberFormat="0"/>
    <xf numFmtId="0" fontId="93" fillId="2" borderId="15" applyNumberFormat="0" applyAlignment="0"/>
    <xf numFmtId="1" fontId="53" fillId="0" borderId="0">
      <protection locked="0"/>
    </xf>
    <xf numFmtId="0" fontId="94" fillId="0" borderId="0" applyProtection="0"/>
    <xf numFmtId="0" fontId="38" fillId="0" borderId="0"/>
    <xf numFmtId="0" fontId="95" fillId="0" borderId="10" applyNumberFormat="0" applyFill="0" applyBorder="0" applyAlignment="0" applyProtection="0">
      <alignment horizontal="center"/>
    </xf>
    <xf numFmtId="0" fontId="96" fillId="0" borderId="10" applyNumberFormat="0" applyFill="0" applyProtection="0">
      <alignment horizontal="left" vertical="center"/>
    </xf>
    <xf numFmtId="0" fontId="56" fillId="0" borderId="0">
      <alignment horizontal="center" wrapText="1"/>
      <protection hidden="1"/>
    </xf>
    <xf numFmtId="0" fontId="97" fillId="0" borderId="36" applyNumberFormat="0" applyFill="0" applyProtection="0">
      <alignment horizontal="center" vertical="center"/>
    </xf>
    <xf numFmtId="0" fontId="98" fillId="0" borderId="10" applyNumberFormat="0" applyFill="0" applyBorder="0" applyProtection="0">
      <alignment horizontal="right" vertical="center"/>
    </xf>
    <xf numFmtId="0" fontId="99" fillId="38" borderId="15" applyNumberFormat="0" applyBorder="0" applyProtection="0">
      <alignment horizontal="center" vertical="center" wrapText="1"/>
    </xf>
    <xf numFmtId="260" fontId="4" fillId="0" borderId="0" applyFill="0" applyBorder="0" applyProtection="0">
      <alignment horizontal="center"/>
    </xf>
    <xf numFmtId="0" fontId="100" fillId="0" borderId="0">
      <alignment horizontal="right"/>
    </xf>
    <xf numFmtId="0" fontId="27" fillId="39" borderId="39" applyNumberFormat="0" applyFont="0" applyProtection="0">
      <alignment horizontal="right"/>
    </xf>
    <xf numFmtId="172" fontId="101" fillId="0" borderId="10" applyBorder="0">
      <alignment horizontal="center"/>
    </xf>
    <xf numFmtId="0" fontId="56" fillId="0" borderId="0" applyFont="0">
      <alignment horizontal="right" vertical="top"/>
    </xf>
    <xf numFmtId="1" fontId="102" fillId="0" borderId="40">
      <alignment vertical="top"/>
    </xf>
    <xf numFmtId="230" fontId="103" fillId="0" borderId="0"/>
    <xf numFmtId="230" fontId="103" fillId="0" borderId="0"/>
    <xf numFmtId="230" fontId="103" fillId="0" borderId="0"/>
    <xf numFmtId="230" fontId="103" fillId="0" borderId="0"/>
    <xf numFmtId="230" fontId="103" fillId="0" borderId="0"/>
    <xf numFmtId="230" fontId="103" fillId="0" borderId="0"/>
    <xf numFmtId="230" fontId="103" fillId="0" borderId="0"/>
    <xf numFmtId="230" fontId="103" fillId="0" borderId="0"/>
    <xf numFmtId="275" fontId="104" fillId="32" borderId="0" applyFont="0" applyFill="0" applyBorder="0" applyAlignment="0" applyProtection="0"/>
    <xf numFmtId="37" fontId="4" fillId="0" borderId="0"/>
    <xf numFmtId="172" fontId="4" fillId="0" borderId="0"/>
    <xf numFmtId="276" fontId="104" fillId="0" borderId="0" applyFont="0" applyFill="0" applyBorder="0" applyAlignment="0" applyProtection="0">
      <alignment horizontal="left" indent="1"/>
    </xf>
    <xf numFmtId="39" fontId="4" fillId="14" borderId="0"/>
    <xf numFmtId="168" fontId="105" fillId="0" borderId="0" applyFont="0" applyBorder="0">
      <alignment horizontal="right"/>
    </xf>
    <xf numFmtId="168" fontId="15" fillId="0" borderId="8"/>
    <xf numFmtId="272" fontId="4" fillId="0" borderId="0" applyFont="0" applyFill="0" applyBorder="0" applyAlignment="0" applyProtection="0"/>
    <xf numFmtId="184" fontId="106" fillId="0" borderId="0" applyFont="0" applyFill="0" applyBorder="0" applyAlignment="0" applyProtection="0"/>
    <xf numFmtId="184" fontId="15" fillId="0" borderId="8"/>
    <xf numFmtId="172" fontId="35" fillId="0" borderId="0" applyFont="0" applyFill="0" applyBorder="0" applyAlignment="0" applyProtection="0"/>
    <xf numFmtId="39" fontId="35" fillId="0" borderId="0" applyFont="0" applyFill="0" applyBorder="0" applyAlignment="0" applyProtection="0"/>
    <xf numFmtId="180" fontId="4" fillId="0" borderId="8"/>
    <xf numFmtId="170" fontId="5" fillId="0" borderId="0"/>
    <xf numFmtId="177" fontId="35" fillId="0" borderId="0" applyFont="0" applyFill="0" applyBorder="0" applyAlignment="0" applyProtection="0"/>
    <xf numFmtId="277" fontId="4" fillId="0" borderId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/>
    <xf numFmtId="179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78" fontId="4" fillId="0" borderId="0" applyFont="0" applyFill="0" applyBorder="0" applyAlignment="0" applyProtection="0"/>
    <xf numFmtId="40" fontId="6" fillId="0" borderId="0" applyFont="0" applyFill="0" applyBorder="0" applyProtection="0">
      <alignment horizontal="right"/>
    </xf>
    <xf numFmtId="273" fontId="4" fillId="0" borderId="0" applyFont="0" applyFill="0" applyBorder="0" applyAlignment="0" applyProtection="0"/>
    <xf numFmtId="172" fontId="4" fillId="0" borderId="0"/>
    <xf numFmtId="3" fontId="29" fillId="0" borderId="0" applyFont="0" applyFill="0" applyBorder="0" applyAlignment="0" applyProtection="0"/>
    <xf numFmtId="254" fontId="108" fillId="0" borderId="0"/>
    <xf numFmtId="0" fontId="109" fillId="0" borderId="0"/>
    <xf numFmtId="279" fontId="108" fillId="0" borderId="0"/>
    <xf numFmtId="259" fontId="110" fillId="0" borderId="0" applyFill="0" applyBorder="0" applyAlignment="0" applyProtection="0">
      <alignment horizontal="right"/>
      <protection locked="0"/>
    </xf>
    <xf numFmtId="0" fontId="6" fillId="40" borderId="0">
      <alignment horizontal="center" vertical="center" wrapText="1"/>
    </xf>
    <xf numFmtId="172" fontId="111" fillId="0" borderId="0"/>
    <xf numFmtId="280" fontId="94" fillId="0" borderId="0" applyFill="0" applyBorder="0">
      <alignment horizontal="left"/>
    </xf>
    <xf numFmtId="281" fontId="112" fillId="0" borderId="0"/>
    <xf numFmtId="0" fontId="113" fillId="0" borderId="0">
      <alignment horizontal="left"/>
    </xf>
    <xf numFmtId="0" fontId="114" fillId="0" borderId="0"/>
    <xf numFmtId="0" fontId="115" fillId="0" borderId="0">
      <alignment horizontal="left"/>
    </xf>
    <xf numFmtId="0" fontId="38" fillId="0" borderId="10" applyNumberFormat="0" applyFont="0" applyFill="0" applyProtection="0">
      <alignment horizontal="centerContinuous"/>
    </xf>
    <xf numFmtId="0" fontId="38" fillId="0" borderId="0" applyFill="0" applyBorder="0">
      <alignment horizontal="right"/>
      <protection locked="0"/>
    </xf>
    <xf numFmtId="282" fontId="4" fillId="0" borderId="41" applyFont="0" applyFill="0" applyBorder="0" applyAlignment="0" applyProtection="0"/>
    <xf numFmtId="227" fontId="4" fillId="0" borderId="8"/>
    <xf numFmtId="273" fontId="4" fillId="0" borderId="0" applyFont="0" applyFill="0" applyBorder="0" applyAlignment="0" applyProtection="0"/>
    <xf numFmtId="250" fontId="6" fillId="0" borderId="0" applyFont="0" applyFill="0" applyBorder="0" applyAlignment="0"/>
    <xf numFmtId="195" fontId="4" fillId="0" borderId="8"/>
    <xf numFmtId="191" fontId="4" fillId="0" borderId="0" applyFont="0" applyFill="0" applyBorder="0" applyAlignment="0" applyProtection="0"/>
    <xf numFmtId="283" fontId="116" fillId="0" borderId="0" applyFont="0" applyBorder="0"/>
    <xf numFmtId="169" fontId="15" fillId="0" borderId="8"/>
    <xf numFmtId="284" fontId="4" fillId="0" borderId="0" applyFont="0" applyFill="0" applyBorder="0" applyAlignment="0" applyProtection="0"/>
    <xf numFmtId="280" fontId="4" fillId="0" borderId="0" applyFont="0" applyFill="0" applyBorder="0" applyAlignment="0" applyProtection="0"/>
    <xf numFmtId="285" fontId="117" fillId="0" borderId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>
      <alignment horizontal="right"/>
    </xf>
    <xf numFmtId="165" fontId="15" fillId="0" borderId="8"/>
    <xf numFmtId="182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86" fontId="4" fillId="0" borderId="0" applyFont="0" applyFill="0" applyBorder="0" applyAlignment="0" applyProtection="0"/>
    <xf numFmtId="287" fontId="6" fillId="0" borderId="0" applyFont="0" applyFill="0" applyBorder="0" applyAlignment="0" applyProtection="0"/>
    <xf numFmtId="166" fontId="56" fillId="14" borderId="0" applyFont="0" applyFill="0" applyBorder="0" applyAlignment="0" applyProtection="0"/>
    <xf numFmtId="272" fontId="4" fillId="0" borderId="0" applyFont="0" applyFill="0" applyBorder="0" applyAlignment="0" applyProtection="0"/>
    <xf numFmtId="245" fontId="6" fillId="0" borderId="0" applyFont="0" applyFill="0" applyBorder="0" applyAlignment="0" applyProtection="0"/>
    <xf numFmtId="248" fontId="4" fillId="0" borderId="0" applyFill="0" applyBorder="0" applyProtection="0">
      <alignment vertical="center"/>
    </xf>
    <xf numFmtId="15" fontId="27" fillId="0" borderId="0" applyFont="0" applyFill="0" applyBorder="0" applyAlignment="0" applyProtection="0"/>
    <xf numFmtId="229" fontId="38" fillId="0" borderId="0" applyFont="0" applyFill="0" applyBorder="0" applyAlignment="0" applyProtection="0"/>
    <xf numFmtId="181" fontId="4" fillId="0" borderId="0" applyProtection="0">
      <alignment horizontal="right"/>
    </xf>
    <xf numFmtId="181" fontId="24" fillId="0" borderId="0" applyProtection="0"/>
    <xf numFmtId="15" fontId="118" fillId="0" borderId="8" applyBorder="0">
      <alignment horizontal="center"/>
    </xf>
    <xf numFmtId="288" fontId="4" fillId="0" borderId="0" applyFont="0" applyFill="0" applyBorder="0" applyProtection="0"/>
    <xf numFmtId="289" fontId="4" fillId="0" borderId="0" applyFont="0" applyFill="0" applyBorder="0" applyAlignment="0" applyProtection="0"/>
    <xf numFmtId="15" fontId="24" fillId="0" borderId="0" applyFill="0" applyBorder="0" applyAlignment="0"/>
    <xf numFmtId="279" fontId="4" fillId="0" borderId="0" applyFont="0" applyFill="0" applyBorder="0" applyAlignment="0" applyProtection="0"/>
    <xf numFmtId="290" fontId="4" fillId="0" borderId="0" applyFont="0" applyFill="0" applyBorder="0" applyProtection="0"/>
    <xf numFmtId="291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93" fontId="4" fillId="0" borderId="0" applyFont="0" applyFill="0" applyBorder="0" applyAlignment="0" applyProtection="0"/>
    <xf numFmtId="37" fontId="6" fillId="3" borderId="0" applyFont="0" applyFill="0" applyBorder="0" applyAlignment="0" applyProtection="0"/>
    <xf numFmtId="227" fontId="6" fillId="3" borderId="42" applyFont="0" applyFill="0" applyBorder="0" applyAlignment="0" applyProtection="0"/>
    <xf numFmtId="294" fontId="4" fillId="0" borderId="0" applyFont="0" applyFill="0" applyBorder="0" applyAlignment="0" applyProtection="0"/>
    <xf numFmtId="282" fontId="4" fillId="0" borderId="0" applyFont="0" applyFill="0" applyBorder="0" applyAlignment="0" applyProtection="0"/>
    <xf numFmtId="295" fontId="4" fillId="3" borderId="0" applyFont="0" applyFill="0" applyBorder="0" applyAlignment="0" applyProtection="0"/>
    <xf numFmtId="17" fontId="24" fillId="0" borderId="0" applyFill="0" applyBorder="0">
      <alignment horizontal="right"/>
    </xf>
    <xf numFmtId="296" fontId="24" fillId="0" borderId="10"/>
    <xf numFmtId="297" fontId="4" fillId="0" borderId="0" applyFont="0" applyFill="0" applyBorder="0" applyAlignment="0" applyProtection="0"/>
    <xf numFmtId="298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0" fontId="107" fillId="0" borderId="0" applyFont="0" applyFill="0" applyBorder="0" applyAlignment="0" applyProtection="0"/>
    <xf numFmtId="299" fontId="4" fillId="0" borderId="0" applyFont="0" applyFill="0" applyBorder="0" applyAlignment="0" applyProtection="0"/>
    <xf numFmtId="14" fontId="14" fillId="0" borderId="0" applyFill="0" applyBorder="0" applyAlignment="0"/>
    <xf numFmtId="14" fontId="24" fillId="2" borderId="5" applyFill="0" applyBorder="0">
      <alignment horizontal="right"/>
    </xf>
    <xf numFmtId="227" fontId="4" fillId="0" borderId="0" applyFill="0" applyBorder="0">
      <alignment horizontal="right"/>
    </xf>
    <xf numFmtId="15" fontId="32" fillId="0" borderId="0" applyFont="0" applyFill="0" applyBorder="0" applyAlignment="0" applyProtection="0">
      <alignment horizontal="center"/>
    </xf>
    <xf numFmtId="14" fontId="68" fillId="0" borderId="0" applyFont="0" applyFill="0" applyBorder="0" applyAlignment="0" applyProtection="0">
      <alignment horizontal="center"/>
    </xf>
    <xf numFmtId="0" fontId="68" fillId="0" borderId="0" applyFont="0" applyFill="0" applyBorder="0" applyAlignment="0" applyProtection="0">
      <alignment horizontal="center"/>
    </xf>
    <xf numFmtId="300" fontId="4" fillId="0" borderId="0" applyFont="0" applyFill="0" applyBorder="0" applyAlignment="0" applyProtection="0"/>
    <xf numFmtId="301" fontId="4" fillId="0" borderId="0" applyFont="0" applyFill="0" applyBorder="0" applyAlignment="0" applyProtection="0"/>
    <xf numFmtId="302" fontId="6" fillId="0" borderId="0" applyFont="0" applyFill="0" applyBorder="0" applyAlignment="0" applyProtection="0"/>
    <xf numFmtId="194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119" fillId="0" borderId="0">
      <protection locked="0"/>
    </xf>
    <xf numFmtId="15" fontId="4" fillId="0" borderId="0"/>
    <xf numFmtId="303" fontId="90" fillId="0" borderId="0"/>
    <xf numFmtId="165" fontId="4" fillId="0" borderId="0"/>
    <xf numFmtId="304" fontId="74" fillId="0" borderId="0" applyFont="0" applyFill="0" applyBorder="0" applyAlignment="0" applyProtection="0"/>
    <xf numFmtId="305" fontId="12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07" fillId="0" borderId="43" applyNumberFormat="0" applyFont="0" applyFill="0" applyAlignment="0" applyProtection="0"/>
    <xf numFmtId="167" fontId="121" fillId="0" borderId="0" applyFill="0" applyBorder="0" applyAlignment="0" applyProtection="0"/>
    <xf numFmtId="260" fontId="4" fillId="0" borderId="17" applyNumberFormat="0" applyFill="0" applyAlignment="0" applyProtection="0"/>
    <xf numFmtId="38" fontId="4" fillId="13" borderId="0" applyNumberFormat="0" applyFont="0" applyBorder="0" applyAlignment="0" applyProtection="0"/>
    <xf numFmtId="180" fontId="122" fillId="0" borderId="44" applyNumberFormat="0" applyAlignment="0" applyProtection="0">
      <alignment vertical="top"/>
    </xf>
    <xf numFmtId="0" fontId="4" fillId="2" borderId="0" applyNumberFormat="0" applyFont="0" applyBorder="0" applyAlignment="0" applyProtection="0"/>
    <xf numFmtId="180" fontId="123" fillId="0" borderId="45" applyNumberFormat="0" applyAlignment="0" applyProtection="0">
      <alignment vertical="top"/>
    </xf>
    <xf numFmtId="212" fontId="124" fillId="0" borderId="0">
      <protection locked="0"/>
    </xf>
    <xf numFmtId="212" fontId="124" fillId="0" borderId="0">
      <protection locked="0"/>
    </xf>
    <xf numFmtId="281" fontId="27" fillId="0" borderId="46" applyNumberFormat="0" applyFont="0" applyFill="0" applyAlignment="0"/>
    <xf numFmtId="272" fontId="4" fillId="0" borderId="0" applyFill="0" applyBorder="0" applyAlignment="0"/>
    <xf numFmtId="273" fontId="4" fillId="0" borderId="0" applyFill="0" applyBorder="0" applyAlignment="0"/>
    <xf numFmtId="272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166" fontId="32" fillId="0" borderId="0" applyFont="0" applyFill="0" applyBorder="0" applyAlignment="0" applyProtection="0">
      <alignment horizontal="right"/>
    </xf>
    <xf numFmtId="243" fontId="35" fillId="0" borderId="0" applyFont="0" applyFill="0" applyBorder="0" applyProtection="0">
      <alignment horizontal="left"/>
      <protection locked="0"/>
    </xf>
    <xf numFmtId="244" fontId="35" fillId="0" borderId="0" applyFont="0" applyFill="0" applyBorder="0" applyProtection="0">
      <alignment horizontal="left"/>
      <protection locked="0"/>
    </xf>
    <xf numFmtId="259" fontId="125" fillId="0" borderId="0" applyFill="0" applyBorder="0" applyAlignment="0" applyProtection="0"/>
    <xf numFmtId="290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246" fontId="6" fillId="0" borderId="0" applyFont="0" applyFill="0" applyBorder="0" applyAlignment="0" applyProtection="0"/>
    <xf numFmtId="306" fontId="4" fillId="0" borderId="0" applyFont="0" applyFill="0" applyBorder="0" applyAlignment="0" applyProtection="0"/>
    <xf numFmtId="307" fontId="4" fillId="0" borderId="0" applyFont="0" applyFill="0" applyBorder="0" applyAlignment="0" applyProtection="0"/>
    <xf numFmtId="0" fontId="38" fillId="0" borderId="0" applyNumberFormat="0" applyFill="0" applyBorder="0" applyAlignment="0"/>
    <xf numFmtId="0" fontId="4" fillId="0" borderId="0">
      <alignment horizontal="right" vertical="top"/>
    </xf>
    <xf numFmtId="216" fontId="4" fillId="0" borderId="0">
      <alignment horizontal="right" vertical="top"/>
    </xf>
    <xf numFmtId="216" fontId="4" fillId="0" borderId="0">
      <alignment horizontal="right" vertical="top"/>
    </xf>
    <xf numFmtId="271" fontId="4" fillId="0" borderId="0" applyFill="0" applyBorder="0">
      <alignment horizontal="right" vertical="top"/>
    </xf>
    <xf numFmtId="248" fontId="4" fillId="0" borderId="0" applyFill="0" applyBorder="0">
      <alignment horizontal="right" vertical="top"/>
    </xf>
    <xf numFmtId="214" fontId="4" fillId="0" borderId="0" applyFill="0" applyBorder="0">
      <alignment horizontal="right" vertical="top"/>
    </xf>
    <xf numFmtId="220" fontId="4" fillId="0" borderId="0" applyFill="0" applyBorder="0">
      <alignment horizontal="right" vertical="top"/>
    </xf>
    <xf numFmtId="0" fontId="126" fillId="0" borderId="0">
      <alignment horizontal="center" wrapText="1"/>
    </xf>
    <xf numFmtId="220" fontId="94" fillId="0" borderId="0" applyFill="0" applyBorder="0">
      <alignment vertical="top"/>
    </xf>
    <xf numFmtId="220" fontId="99" fillId="0" borderId="0" applyFill="0" applyBorder="0" applyProtection="0">
      <alignment vertical="top"/>
    </xf>
    <xf numFmtId="220" fontId="127" fillId="0" borderId="0">
      <alignment vertical="top"/>
    </xf>
    <xf numFmtId="168" fontId="128" fillId="0" borderId="0" applyFill="0" applyBorder="0" applyAlignment="0" applyProtection="0">
      <alignment horizontal="right" vertical="top"/>
    </xf>
    <xf numFmtId="220" fontId="30" fillId="0" borderId="0"/>
    <xf numFmtId="0" fontId="128" fillId="0" borderId="0" applyFill="0" applyBorder="0">
      <alignment horizontal="left" vertical="top"/>
    </xf>
    <xf numFmtId="274" fontId="74" fillId="41" borderId="11">
      <alignment horizontal="left"/>
    </xf>
    <xf numFmtId="308" fontId="119" fillId="0" borderId="0">
      <protection locked="0"/>
    </xf>
    <xf numFmtId="189" fontId="119" fillId="0" borderId="0">
      <protection locked="0"/>
    </xf>
    <xf numFmtId="249" fontId="90" fillId="0" borderId="0"/>
    <xf numFmtId="255" fontId="6" fillId="3" borderId="0" applyFont="0" applyFill="0" applyBorder="0" applyAlignment="0"/>
    <xf numFmtId="2" fontId="29" fillId="0" borderId="0" applyFont="0" applyFill="0" applyBorder="0" applyAlignment="0" applyProtection="0"/>
    <xf numFmtId="0" fontId="129" fillId="0" borderId="0">
      <alignment horizontal="left"/>
    </xf>
    <xf numFmtId="0" fontId="130" fillId="0" borderId="0">
      <alignment horizontal="left"/>
    </xf>
    <xf numFmtId="0" fontId="131" fillId="0" borderId="0" applyFill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32" fillId="0" borderId="0" applyFill="0" applyBorder="0" applyProtection="0">
      <alignment horizontal="left"/>
    </xf>
    <xf numFmtId="309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311" fontId="4" fillId="0" borderId="0" applyFont="0" applyFill="0" applyBorder="0" applyAlignment="0" applyProtection="0"/>
    <xf numFmtId="207" fontId="4" fillId="0" borderId="0" applyFont="0" applyFill="0" applyBorder="0" applyAlignment="0" applyProtection="0"/>
    <xf numFmtId="227" fontId="32" fillId="0" borderId="0" applyFill="0" applyBorder="0" applyAlignment="0" applyProtection="0">
      <protection locked="0"/>
    </xf>
    <xf numFmtId="0" fontId="132" fillId="0" borderId="0" applyFont="0" applyFill="0" applyBorder="0" applyProtection="0">
      <alignment horizontal="center" wrapText="1"/>
    </xf>
    <xf numFmtId="284" fontId="4" fillId="0" borderId="0" applyFont="0" applyFill="0" applyBorder="0" applyProtection="0">
      <alignment horizontal="right"/>
    </xf>
    <xf numFmtId="2" fontId="6" fillId="3" borderId="4" applyFill="0" applyBorder="0" applyProtection="0">
      <alignment horizontal="center"/>
    </xf>
    <xf numFmtId="38" fontId="4" fillId="13" borderId="0" applyNumberFormat="0" applyFont="0" applyBorder="0" applyAlignment="0">
      <protection hidden="1"/>
    </xf>
    <xf numFmtId="0" fontId="133" fillId="0" borderId="0" applyFill="0" applyBorder="0" applyAlignment="0" applyProtection="0"/>
    <xf numFmtId="286" fontId="134" fillId="0" borderId="0" applyAlignment="0">
      <alignment horizontal="left"/>
      <protection locked="0"/>
    </xf>
    <xf numFmtId="240" fontId="4" fillId="0" borderId="0"/>
    <xf numFmtId="241" fontId="4" fillId="0" borderId="0"/>
    <xf numFmtId="0" fontId="35" fillId="0" borderId="0"/>
    <xf numFmtId="312" fontId="4" fillId="0" borderId="0">
      <alignment horizontal="right"/>
    </xf>
    <xf numFmtId="0" fontId="6" fillId="0" borderId="0">
      <alignment horizontal="right"/>
    </xf>
    <xf numFmtId="9" fontId="106" fillId="0" borderId="0">
      <alignment horizontal="right"/>
    </xf>
    <xf numFmtId="0" fontId="6" fillId="0" borderId="0">
      <alignment horizontal="right"/>
    </xf>
    <xf numFmtId="273" fontId="135" fillId="0" borderId="0" applyFill="0" applyBorder="0" applyAlignment="0" applyProtection="0"/>
    <xf numFmtId="0" fontId="4" fillId="0" borderId="0"/>
    <xf numFmtId="176" fontId="24" fillId="3" borderId="15" applyNumberFormat="0" applyFont="0" applyAlignment="0"/>
    <xf numFmtId="0" fontId="107" fillId="0" borderId="0" applyFont="0" applyFill="0" applyBorder="0" applyAlignment="0" applyProtection="0">
      <alignment horizontal="right"/>
    </xf>
    <xf numFmtId="309" fontId="6" fillId="0" borderId="0">
      <alignment horizontal="right"/>
    </xf>
    <xf numFmtId="0" fontId="8" fillId="0" borderId="0">
      <alignment horizontal="right"/>
    </xf>
    <xf numFmtId="0" fontId="136" fillId="42" borderId="0" applyNumberFormat="0" applyBorder="0" applyProtection="0">
      <alignment horizontal="left" vertical="center"/>
    </xf>
    <xf numFmtId="0" fontId="137" fillId="1" borderId="0" applyNumberFormat="0" applyBorder="0" applyProtection="0">
      <alignment horizontal="left" vertical="center"/>
    </xf>
    <xf numFmtId="0" fontId="138" fillId="0" borderId="0" applyProtection="0">
      <alignment horizontal="right"/>
    </xf>
    <xf numFmtId="0" fontId="139" fillId="0" borderId="0">
      <alignment horizontal="left"/>
    </xf>
    <xf numFmtId="0" fontId="139" fillId="0" borderId="0">
      <alignment horizontal="left"/>
    </xf>
    <xf numFmtId="0" fontId="15" fillId="0" borderId="22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41" fillId="0" borderId="0" applyFill="0" applyBorder="0" applyProtection="0">
      <alignment horizontal="right"/>
    </xf>
    <xf numFmtId="0" fontId="140" fillId="0" borderId="0">
      <alignment horizontal="left"/>
    </xf>
    <xf numFmtId="0" fontId="141" fillId="0" borderId="11">
      <alignment horizontal="left" vertical="top"/>
    </xf>
    <xf numFmtId="0" fontId="142" fillId="0" borderId="0">
      <alignment horizontal="left"/>
    </xf>
    <xf numFmtId="0" fontId="143" fillId="0" borderId="11">
      <alignment horizontal="left" vertical="top"/>
    </xf>
    <xf numFmtId="0" fontId="144" fillId="0" borderId="0">
      <alignment horizontal="left"/>
    </xf>
    <xf numFmtId="0" fontId="145" fillId="0" borderId="0"/>
    <xf numFmtId="252" fontId="146" fillId="9" borderId="0"/>
    <xf numFmtId="252" fontId="146" fillId="16" borderId="0"/>
    <xf numFmtId="252" fontId="146" fillId="2" borderId="0"/>
    <xf numFmtId="191" fontId="35" fillId="0" borderId="0" applyFont="0" applyFill="0" applyBorder="0" applyAlignment="0" applyProtection="0"/>
    <xf numFmtId="191" fontId="6" fillId="0" borderId="0" applyFont="0" applyFill="0" applyBorder="0" applyAlignment="0" applyProtection="0"/>
    <xf numFmtId="281" fontId="147" fillId="43" borderId="0" applyNumberFormat="0" applyBorder="0" applyAlignment="0"/>
    <xf numFmtId="180" fontId="148" fillId="0" borderId="0" applyAlignment="0" applyProtection="0"/>
    <xf numFmtId="172" fontId="149" fillId="0" borderId="0" applyProtection="0">
      <alignment horizontal="right"/>
    </xf>
    <xf numFmtId="172" fontId="8" fillId="0" borderId="0" applyFill="0" applyBorder="0" applyAlignment="0" applyProtection="0"/>
    <xf numFmtId="261" fontId="148" fillId="0" borderId="0" applyFill="0" applyBorder="0" applyAlignment="0" applyProtection="0"/>
    <xf numFmtId="0" fontId="59" fillId="0" borderId="0">
      <alignment horizontal="center"/>
    </xf>
    <xf numFmtId="166" fontId="4" fillId="28" borderId="0" applyNumberFormat="0" applyFont="0" applyAlignment="0" applyProtection="0">
      <alignment horizontal="right"/>
      <protection locked="0"/>
    </xf>
    <xf numFmtId="281" fontId="8" fillId="0" borderId="0"/>
    <xf numFmtId="38" fontId="32" fillId="0" borderId="0" applyFont="0" applyFill="0" applyBorder="0" applyAlignment="0" applyProtection="0">
      <protection locked="0"/>
    </xf>
    <xf numFmtId="313" fontId="4" fillId="0" borderId="0" applyFont="0" applyFill="0" applyBorder="0" applyProtection="0">
      <alignment horizontal="left"/>
    </xf>
    <xf numFmtId="243" fontId="4" fillId="0" borderId="0" applyFont="0" applyFill="0" applyBorder="0" applyProtection="0">
      <alignment horizontal="left"/>
    </xf>
    <xf numFmtId="244" fontId="4" fillId="0" borderId="0" applyFont="0" applyFill="0" applyBorder="0" applyProtection="0">
      <alignment horizontal="left"/>
    </xf>
    <xf numFmtId="245" fontId="4" fillId="0" borderId="0" applyFont="0" applyFill="0" applyBorder="0" applyProtection="0">
      <alignment horizontal="left"/>
    </xf>
    <xf numFmtId="181" fontId="27" fillId="0" borderId="0"/>
    <xf numFmtId="180" fontId="150" fillId="13" borderId="0">
      <protection locked="0"/>
    </xf>
    <xf numFmtId="173" fontId="149" fillId="3" borderId="0"/>
    <xf numFmtId="10" fontId="4" fillId="3" borderId="15" applyNumberFormat="0" applyBorder="0" applyAlignment="0" applyProtection="0"/>
    <xf numFmtId="3" fontId="151" fillId="13" borderId="0">
      <alignment horizontal="right"/>
      <protection locked="0"/>
    </xf>
    <xf numFmtId="281" fontId="150" fillId="13" borderId="0" applyBorder="0">
      <alignment horizontal="right"/>
      <protection locked="0"/>
    </xf>
    <xf numFmtId="182" fontId="149" fillId="3" borderId="0"/>
    <xf numFmtId="166" fontId="4" fillId="3" borderId="0" applyFont="0" applyBorder="0" applyAlignment="0" applyProtection="0">
      <protection locked="0"/>
    </xf>
    <xf numFmtId="227" fontId="6" fillId="3" borderId="0" applyFont="0" applyBorder="0" applyAlignment="0" applyProtection="0">
      <protection locked="0"/>
    </xf>
    <xf numFmtId="255" fontId="6" fillId="3" borderId="0" applyFont="0" applyBorder="0" applyAlignment="0">
      <protection locked="0"/>
    </xf>
    <xf numFmtId="0" fontId="152" fillId="0" borderId="0" applyNumberFormat="0" applyFill="0" applyBorder="0" applyAlignment="0" applyProtection="0"/>
    <xf numFmtId="258" fontId="149" fillId="3" borderId="0"/>
    <xf numFmtId="227" fontId="4" fillId="3" borderId="0">
      <protection locked="0"/>
    </xf>
    <xf numFmtId="37" fontId="149" fillId="3" borderId="0"/>
    <xf numFmtId="172" fontId="149" fillId="3" borderId="0"/>
    <xf numFmtId="0" fontId="3" fillId="2" borderId="0" applyNumberFormat="0"/>
    <xf numFmtId="312" fontId="4" fillId="3" borderId="0" applyFont="0" applyBorder="0" applyAlignment="0">
      <protection locked="0"/>
    </xf>
    <xf numFmtId="10" fontId="4" fillId="3" borderId="0">
      <protection locked="0"/>
    </xf>
    <xf numFmtId="280" fontId="6" fillId="3" borderId="0" applyFont="0" applyBorder="0" applyAlignment="0">
      <protection locked="0"/>
    </xf>
    <xf numFmtId="227" fontId="93" fillId="3" borderId="0" applyNumberFormat="0" applyBorder="0" applyAlignment="0">
      <protection locked="0"/>
    </xf>
    <xf numFmtId="314" fontId="149" fillId="0" borderId="0" applyProtection="0">
      <alignment horizontal="right"/>
    </xf>
    <xf numFmtId="312" fontId="153" fillId="3" borderId="15"/>
    <xf numFmtId="38" fontId="153" fillId="3" borderId="15"/>
    <xf numFmtId="40" fontId="153" fillId="3" borderId="15"/>
    <xf numFmtId="0" fontId="149" fillId="0" borderId="0" applyNumberFormat="0" applyFill="0" applyBorder="0" applyAlignment="0">
      <protection locked="0"/>
    </xf>
    <xf numFmtId="0" fontId="154" fillId="0" borderId="0" applyNumberFormat="0" applyFill="0" applyBorder="0" applyAlignment="0"/>
    <xf numFmtId="315" fontId="4" fillId="0" borderId="0" applyFill="0" applyBorder="0" applyProtection="0">
      <alignment vertical="center"/>
    </xf>
    <xf numFmtId="248" fontId="4" fillId="0" borderId="0" applyFill="0" applyBorder="0" applyProtection="0">
      <alignment vertical="center"/>
    </xf>
    <xf numFmtId="14" fontId="149" fillId="3" borderId="18" applyProtection="0">
      <alignment horizontal="right"/>
    </xf>
    <xf numFmtId="0" fontId="155" fillId="0" borderId="0" applyProtection="0"/>
    <xf numFmtId="316" fontId="4" fillId="0" borderId="0" applyFill="0" applyBorder="0" applyProtection="0">
      <alignment vertical="center"/>
    </xf>
    <xf numFmtId="317" fontId="149" fillId="3" borderId="47" applyProtection="0"/>
    <xf numFmtId="318" fontId="4" fillId="0" borderId="0" applyFill="0" applyBorder="0" applyProtection="0">
      <alignment vertical="center"/>
    </xf>
    <xf numFmtId="227" fontId="4" fillId="3" borderId="0" applyNumberFormat="0" applyFont="0" applyBorder="0" applyAlignment="0" applyProtection="0">
      <alignment horizontal="center"/>
      <protection locked="0"/>
    </xf>
    <xf numFmtId="178" fontId="90" fillId="0" borderId="0"/>
    <xf numFmtId="0" fontId="38" fillId="0" borderId="0" applyFill="0" applyBorder="0">
      <alignment horizontal="right"/>
      <protection locked="0"/>
    </xf>
    <xf numFmtId="0" fontId="6" fillId="20" borderId="48">
      <alignment horizontal="left" vertical="center" wrapText="1"/>
    </xf>
    <xf numFmtId="319" fontId="4" fillId="0" borderId="0" applyFont="0" applyFill="0" applyBorder="0" applyAlignment="0" applyProtection="0"/>
    <xf numFmtId="261" fontId="4" fillId="0" borderId="0" applyFont="0" applyFill="0" applyBorder="0" applyAlignment="0" applyProtection="0"/>
    <xf numFmtId="38" fontId="156" fillId="0" borderId="0"/>
    <xf numFmtId="38" fontId="157" fillId="0" borderId="0"/>
    <xf numFmtId="38" fontId="82" fillId="0" borderId="0"/>
    <xf numFmtId="38" fontId="158" fillId="0" borderId="0"/>
    <xf numFmtId="0" fontId="55" fillId="0" borderId="0"/>
    <xf numFmtId="0" fontId="55" fillId="0" borderId="0"/>
    <xf numFmtId="0" fontId="35" fillId="44" borderId="0" applyNumberFormat="0" applyFont="0" applyBorder="0" applyProtection="0"/>
    <xf numFmtId="181" fontId="6" fillId="0" borderId="0" applyFont="0" applyFill="0" applyAlignment="0" applyProtection="0"/>
    <xf numFmtId="259" fontId="133" fillId="0" borderId="0" applyFill="0" applyBorder="0" applyAlignment="0" applyProtection="0"/>
    <xf numFmtId="272" fontId="4" fillId="0" borderId="0" applyFill="0" applyBorder="0" applyAlignment="0"/>
    <xf numFmtId="273" fontId="4" fillId="0" borderId="0" applyFill="0" applyBorder="0" applyAlignment="0"/>
    <xf numFmtId="272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172" fontId="159" fillId="0" borderId="0" applyNumberFormat="0" applyFont="0" applyFill="0" applyBorder="0" applyAlignment="0">
      <protection hidden="1"/>
    </xf>
    <xf numFmtId="0" fontId="160" fillId="0" borderId="3">
      <alignment horizontal="left"/>
    </xf>
    <xf numFmtId="0" fontId="161" fillId="0" borderId="0">
      <alignment horizontal="left"/>
    </xf>
    <xf numFmtId="320" fontId="6" fillId="0" borderId="0" applyFont="0" applyFill="0" applyBorder="0" applyAlignment="0" applyProtection="0"/>
    <xf numFmtId="14" fontId="24" fillId="0" borderId="10" applyFont="0" applyFill="0" applyBorder="0" applyAlignment="0" applyProtection="0"/>
    <xf numFmtId="3" fontId="6" fillId="0" borderId="0"/>
    <xf numFmtId="0" fontId="162" fillId="0" borderId="10" applyFill="0" applyAlignment="0"/>
    <xf numFmtId="0" fontId="163" fillId="0" borderId="0" applyNumberFormat="0" applyFill="0" applyBorder="0" applyProtection="0">
      <alignment horizontal="left" vertical="center"/>
    </xf>
    <xf numFmtId="0" fontId="164" fillId="0" borderId="0" applyFill="0" applyBorder="0" applyAlignment="0" applyProtection="0"/>
    <xf numFmtId="216" fontId="56" fillId="0" borderId="0" applyFont="0" applyFill="0" applyBorder="0" applyAlignment="0" applyProtection="0"/>
    <xf numFmtId="321" fontId="38" fillId="0" borderId="0" applyFont="0" applyFill="0" applyBorder="0" applyAlignment="0" applyProtection="0"/>
    <xf numFmtId="38" fontId="56" fillId="0" borderId="0" applyFont="0" applyFill="0" applyBorder="0" applyAlignment="0" applyProtection="0"/>
    <xf numFmtId="40" fontId="56" fillId="0" borderId="0" applyFont="0" applyFill="0" applyBorder="0" applyAlignment="0" applyProtection="0"/>
    <xf numFmtId="32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78" fontId="4" fillId="0" borderId="49" applyFont="0" applyFill="0" applyBorder="0" applyAlignment="0" applyProtection="0">
      <alignment horizontal="center"/>
    </xf>
    <xf numFmtId="323" fontId="6" fillId="0" borderId="0" applyFont="0" applyFill="0" applyBorder="0" applyAlignment="0" applyProtection="0"/>
    <xf numFmtId="37" fontId="72" fillId="0" borderId="0" applyFont="0" applyFill="0" applyBorder="0" applyAlignment="0" applyProtection="0"/>
    <xf numFmtId="322" fontId="66" fillId="0" borderId="0" applyFont="0" applyFill="0" applyBorder="0" applyAlignment="0" applyProtection="0"/>
    <xf numFmtId="287" fontId="4" fillId="0" borderId="0" applyFont="0" applyFill="0" applyBorder="0" applyAlignment="0" applyProtection="0"/>
    <xf numFmtId="324" fontId="72" fillId="0" borderId="0" applyFont="0" applyFill="0" applyBorder="0" applyAlignment="0" applyProtection="0"/>
    <xf numFmtId="325" fontId="72" fillId="0" borderId="0" applyFont="0" applyFill="0" applyBorder="0" applyAlignment="0" applyProtection="0"/>
    <xf numFmtId="318" fontId="4" fillId="0" borderId="0" applyFont="0" applyFill="0" applyBorder="0" applyAlignment="0" applyProtection="0"/>
    <xf numFmtId="315" fontId="4" fillId="0" borderId="0" applyFont="0" applyFill="0" applyBorder="0" applyAlignment="0" applyProtection="0"/>
    <xf numFmtId="3" fontId="38" fillId="0" borderId="0"/>
    <xf numFmtId="240" fontId="4" fillId="45" borderId="0" applyFill="0" applyBorder="0" applyAlignment="0" applyProtection="0">
      <alignment horizontal="center"/>
      <protection locked="0"/>
    </xf>
    <xf numFmtId="3" fontId="38" fillId="0" borderId="0"/>
    <xf numFmtId="326" fontId="4" fillId="0" borderId="0" applyFont="0" applyFill="0" applyBorder="0" applyAlignment="0" applyProtection="0"/>
    <xf numFmtId="316" fontId="4" fillId="0" borderId="0" applyFont="0" applyFill="0" applyBorder="0" applyAlignment="0" applyProtection="0"/>
    <xf numFmtId="190" fontId="119" fillId="0" borderId="0">
      <protection locked="0"/>
    </xf>
    <xf numFmtId="3" fontId="56" fillId="0" borderId="0" applyFont="0" applyAlignment="0"/>
    <xf numFmtId="17" fontId="4" fillId="0" borderId="0">
      <alignment horizontal="right"/>
    </xf>
    <xf numFmtId="296" fontId="4" fillId="3" borderId="0">
      <alignment horizontal="center"/>
    </xf>
    <xf numFmtId="298" fontId="4" fillId="0" borderId="0"/>
    <xf numFmtId="0" fontId="107" fillId="0" borderId="0" applyFont="0" applyFill="0" applyBorder="0" applyAlignment="0" applyProtection="0">
      <alignment horizontal="right"/>
    </xf>
    <xf numFmtId="327" fontId="32" fillId="0" borderId="0" applyFont="0" applyFill="0" applyBorder="0" applyAlignment="0" applyProtection="0"/>
    <xf numFmtId="0" fontId="38" fillId="0" borderId="0" applyFont="0" applyFill="0" applyBorder="0" applyAlignment="0" applyProtection="0"/>
    <xf numFmtId="324" fontId="32" fillId="0" borderId="0" applyFont="0" applyFill="0" applyBorder="0" applyAlignment="0" applyProtection="0"/>
    <xf numFmtId="287" fontId="4" fillId="0" borderId="0"/>
    <xf numFmtId="0" fontId="72" fillId="0" borderId="0" applyFont="0" applyFill="0" applyBorder="0" applyAlignment="0" applyProtection="0">
      <alignment horizontal="right"/>
    </xf>
    <xf numFmtId="0" fontId="4" fillId="0" borderId="0" applyProtection="0">
      <alignment horizontal="right"/>
    </xf>
    <xf numFmtId="180" fontId="6" fillId="3" borderId="1" applyProtection="0">
      <alignment horizontal="right"/>
    </xf>
    <xf numFmtId="278" fontId="4" fillId="14" borderId="0"/>
    <xf numFmtId="248" fontId="38" fillId="0" borderId="0"/>
    <xf numFmtId="184" fontId="38" fillId="0" borderId="0"/>
    <xf numFmtId="170" fontId="38" fillId="0" borderId="0"/>
    <xf numFmtId="202" fontId="6" fillId="13" borderId="0" applyFont="0" applyBorder="0" applyAlignment="0" applyProtection="0">
      <alignment horizontal="right"/>
      <protection hidden="1"/>
    </xf>
    <xf numFmtId="0" fontId="165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55" fillId="0" borderId="0" applyNumberFormat="0" applyFill="0" applyAlignment="0" applyProtection="0"/>
    <xf numFmtId="37" fontId="166" fillId="0" borderId="0"/>
    <xf numFmtId="320" fontId="4" fillId="0" borderId="0" applyFont="0" applyFill="0" applyBorder="0" applyAlignment="0" applyProtection="0"/>
    <xf numFmtId="0" fontId="56" fillId="0" borderId="0"/>
    <xf numFmtId="1" fontId="38" fillId="0" borderId="0"/>
    <xf numFmtId="182" fontId="148" fillId="0" borderId="0" applyFill="0" applyBorder="0" applyAlignment="0" applyProtection="0"/>
    <xf numFmtId="172" fontId="149" fillId="3" borderId="18">
      <alignment horizontal="right"/>
    </xf>
    <xf numFmtId="0" fontId="4" fillId="0" borderId="0" applyFont="0" applyFill="0" applyBorder="0" applyAlignment="0" applyProtection="0">
      <alignment horizontal="right"/>
    </xf>
    <xf numFmtId="223" fontId="6" fillId="0" borderId="0"/>
    <xf numFmtId="1" fontId="167" fillId="0" borderId="0" applyFill="0" applyBorder="0"/>
    <xf numFmtId="38" fontId="4" fillId="0" borderId="15" applyFont="0" applyFill="0" applyBorder="0" applyAlignment="0" applyProtection="0"/>
    <xf numFmtId="227" fontId="6" fillId="0" borderId="0" applyFont="0" applyFill="0" applyBorder="0" applyAlignment="0"/>
    <xf numFmtId="40" fontId="4" fillId="0" borderId="0" applyFont="0" applyFill="0" applyBorder="0" applyAlignment="0"/>
    <xf numFmtId="0" fontId="4" fillId="0" borderId="0" applyFont="0" applyFill="0" applyBorder="0" applyAlignment="0"/>
    <xf numFmtId="182" fontId="4" fillId="0" borderId="0" applyFont="0" applyFill="0" applyBorder="0" applyAlignment="0" applyProtection="0">
      <protection locked="0"/>
    </xf>
    <xf numFmtId="227" fontId="24" fillId="0" borderId="0" applyNumberFormat="0" applyFill="0" applyBorder="0" applyAlignment="0" applyProtection="0"/>
    <xf numFmtId="3" fontId="168" fillId="0" borderId="0">
      <alignment horizontal="left"/>
    </xf>
    <xf numFmtId="249" fontId="6" fillId="0" borderId="0" applyFont="0" applyFill="0" applyBorder="0" applyAlignment="0" applyProtection="0"/>
    <xf numFmtId="180" fontId="169" fillId="0" borderId="0"/>
    <xf numFmtId="172" fontId="149" fillId="3" borderId="18">
      <alignment horizontal="right"/>
    </xf>
    <xf numFmtId="320" fontId="4" fillId="0" borderId="0" applyFill="0" applyBorder="0" applyProtection="0">
      <alignment vertical="center"/>
    </xf>
    <xf numFmtId="40" fontId="24" fillId="0" borderId="0">
      <alignment horizontal="left"/>
    </xf>
    <xf numFmtId="182" fontId="35" fillId="0" borderId="0" applyFill="0" applyBorder="0" applyAlignment="0" applyProtection="0"/>
    <xf numFmtId="0" fontId="6" fillId="0" borderId="0"/>
    <xf numFmtId="227" fontId="4" fillId="0" borderId="0"/>
    <xf numFmtId="0" fontId="27" fillId="0" borderId="0" applyFont="0" applyBorder="0" applyAlignment="0"/>
    <xf numFmtId="0" fontId="6" fillId="0" borderId="0"/>
    <xf numFmtId="256" fontId="6" fillId="0" borderId="0" applyFont="0" applyFill="0" applyBorder="0" applyAlignment="0" applyProtection="0"/>
    <xf numFmtId="27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0" fillId="0" borderId="50"/>
    <xf numFmtId="227" fontId="6" fillId="0" borderId="0" applyFont="0" applyFill="0" applyBorder="0" applyAlignment="0" applyProtection="0"/>
    <xf numFmtId="198" fontId="35" fillId="0" borderId="12" applyFont="0" applyFill="0" applyBorder="0" applyAlignment="0" applyProtection="0"/>
    <xf numFmtId="168" fontId="106" fillId="0" borderId="0" applyFont="0" applyFill="0" applyBorder="0" applyAlignment="0" applyProtection="0"/>
    <xf numFmtId="260" fontId="4" fillId="0" borderId="0" applyFill="0" applyBorder="0" applyAlignment="0" applyProtection="0"/>
    <xf numFmtId="253" fontId="6" fillId="0" borderId="0" applyFont="0" applyFill="0" applyBorder="0" applyAlignment="0" applyProtection="0"/>
    <xf numFmtId="17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Border="0" applyAlignment="0"/>
    <xf numFmtId="319" fontId="4" fillId="0" borderId="0" applyBorder="0" applyProtection="0"/>
    <xf numFmtId="0" fontId="66" fillId="0" borderId="43"/>
    <xf numFmtId="0" fontId="6" fillId="0" borderId="0">
      <alignment horizontal="left"/>
    </xf>
    <xf numFmtId="181" fontId="171" fillId="46" borderId="0">
      <alignment horizontal="right"/>
    </xf>
    <xf numFmtId="317" fontId="4" fillId="46" borderId="0">
      <alignment horizontal="right"/>
    </xf>
    <xf numFmtId="182" fontId="171" fillId="47" borderId="0">
      <alignment horizontal="right"/>
    </xf>
    <xf numFmtId="219" fontId="4" fillId="46" borderId="0">
      <alignment horizontal="right"/>
    </xf>
    <xf numFmtId="323" fontId="4" fillId="46" borderId="0">
      <alignment horizontal="right"/>
    </xf>
    <xf numFmtId="262" fontId="4" fillId="46" borderId="0">
      <alignment horizontal="right"/>
    </xf>
    <xf numFmtId="0" fontId="35" fillId="0" borderId="0" applyProtection="0"/>
    <xf numFmtId="9" fontId="35" fillId="0" borderId="0" applyProtection="0">
      <alignment horizontal="right"/>
    </xf>
    <xf numFmtId="0" fontId="6" fillId="0" borderId="0" applyNumberFormat="0" applyFont="0" applyBorder="0" applyAlignment="0"/>
    <xf numFmtId="172" fontId="107" fillId="0" borderId="0" applyNumberFormat="0" applyFill="0" applyBorder="0" applyAlignment="0" applyProtection="0"/>
    <xf numFmtId="180" fontId="158" fillId="0" borderId="0"/>
    <xf numFmtId="37" fontId="4" fillId="0" borderId="0" applyBorder="0">
      <protection locked="0"/>
    </xf>
    <xf numFmtId="306" fontId="4" fillId="0" borderId="0"/>
    <xf numFmtId="268" fontId="4" fillId="0" borderId="0"/>
    <xf numFmtId="307" fontId="4" fillId="0" borderId="0"/>
    <xf numFmtId="269" fontId="4" fillId="0" borderId="0"/>
    <xf numFmtId="306" fontId="4" fillId="0" borderId="0"/>
    <xf numFmtId="268" fontId="4" fillId="0" borderId="0"/>
    <xf numFmtId="10" fontId="38" fillId="0" borderId="12"/>
    <xf numFmtId="10" fontId="38" fillId="0" borderId="12"/>
    <xf numFmtId="307" fontId="4" fillId="0" borderId="0"/>
    <xf numFmtId="269" fontId="4" fillId="0" borderId="0"/>
    <xf numFmtId="165" fontId="35" fillId="0" borderId="0"/>
    <xf numFmtId="0" fontId="4" fillId="0" borderId="0"/>
    <xf numFmtId="226" fontId="35" fillId="0" borderId="0"/>
    <xf numFmtId="306" fontId="4" fillId="0" borderId="0"/>
    <xf numFmtId="268" fontId="4" fillId="0" borderId="0"/>
    <xf numFmtId="319" fontId="4" fillId="0" borderId="0"/>
    <xf numFmtId="271" fontId="4" fillId="0" borderId="0"/>
    <xf numFmtId="180" fontId="172" fillId="0" borderId="0" applyFont="0" applyFill="0" applyBorder="0" applyAlignment="0" applyProtection="0"/>
    <xf numFmtId="0" fontId="173" fillId="0" borderId="0"/>
    <xf numFmtId="0" fontId="174" fillId="0" borderId="0" applyProtection="0">
      <alignment horizontal="left"/>
    </xf>
    <xf numFmtId="0" fontId="6" fillId="0" borderId="0" applyFill="0" applyBorder="0" applyProtection="0">
      <alignment horizontal="left"/>
    </xf>
    <xf numFmtId="0" fontId="6" fillId="0" borderId="0" applyFill="0" applyBorder="0" applyProtection="0">
      <alignment horizontal="left"/>
    </xf>
    <xf numFmtId="1" fontId="6" fillId="0" borderId="0" applyProtection="0">
      <alignment horizontal="right" vertical="center"/>
    </xf>
    <xf numFmtId="166" fontId="33" fillId="48" borderId="0" applyNumberFormat="0" applyFont="0" applyBorder="0" applyAlignment="0" applyProtection="0"/>
    <xf numFmtId="202" fontId="6" fillId="0" borderId="0" applyFill="0"/>
    <xf numFmtId="173" fontId="4" fillId="0" borderId="0"/>
    <xf numFmtId="287" fontId="4" fillId="0" borderId="0" applyFill="0" applyBorder="0"/>
    <xf numFmtId="180" fontId="60" fillId="0" borderId="0"/>
    <xf numFmtId="248" fontId="4" fillId="0" borderId="0" applyFont="0" applyFill="0" applyBorder="0" applyAlignment="0" applyProtection="0"/>
    <xf numFmtId="180" fontId="175" fillId="0" borderId="50" applyBorder="0"/>
    <xf numFmtId="180" fontId="176" fillId="0" borderId="0">
      <alignment horizontal="right"/>
    </xf>
    <xf numFmtId="0" fontId="31" fillId="0" borderId="0"/>
    <xf numFmtId="0" fontId="4" fillId="0" borderId="0"/>
    <xf numFmtId="181" fontId="4" fillId="0" borderId="0" applyFont="0" applyFill="0" applyBorder="0" applyAlignment="0" applyProtection="0">
      <protection hidden="1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>
      <protection hidden="1"/>
    </xf>
    <xf numFmtId="0" fontId="177" fillId="0" borderId="0"/>
    <xf numFmtId="317" fontId="84" fillId="3" borderId="18">
      <alignment horizontal="right"/>
    </xf>
    <xf numFmtId="180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73" fontId="27" fillId="0" borderId="0" applyFont="0" applyFill="0" applyBorder="0" applyAlignment="0" applyProtection="0">
      <alignment horizontal="right"/>
    </xf>
    <xf numFmtId="0" fontId="153" fillId="0" borderId="0" applyFill="0" applyBorder="0" applyAlignment="0" applyProtection="0"/>
    <xf numFmtId="9" fontId="15" fillId="0" borderId="8"/>
    <xf numFmtId="9" fontId="70" fillId="0" borderId="0" applyFont="0" applyFill="0" applyBorder="0" applyAlignment="0" applyProtection="0"/>
    <xf numFmtId="187" fontId="6" fillId="14" borderId="12" applyFill="0" applyBorder="0" applyAlignment="0" applyProtection="0"/>
    <xf numFmtId="312" fontId="153" fillId="0" borderId="0" applyFont="0" applyFill="0" applyBorder="0" applyAlignment="0" applyProtection="0"/>
    <xf numFmtId="286" fontId="4" fillId="0" borderId="0" applyFont="0" applyFill="0" applyBorder="0" applyAlignment="0" applyProtection="0"/>
    <xf numFmtId="241" fontId="153" fillId="0" borderId="0" applyFill="0" applyBorder="0" applyAlignment="0" applyProtection="0"/>
    <xf numFmtId="180" fontId="15" fillId="0" borderId="8"/>
    <xf numFmtId="280" fontId="6" fillId="0" borderId="0" applyFont="0" applyFill="0" applyBorder="0" applyAlignment="0"/>
    <xf numFmtId="239" fontId="4" fillId="0" borderId="0" applyFont="0" applyFill="0" applyBorder="0" applyAlignment="0" applyProtection="0"/>
    <xf numFmtId="231" fontId="6" fillId="0" borderId="0" applyFont="0" applyFill="0" applyBorder="0" applyAlignment="0"/>
    <xf numFmtId="10" fontId="15" fillId="0" borderId="8"/>
    <xf numFmtId="0" fontId="6" fillId="0" borderId="0" applyFont="0" applyFill="0" applyBorder="0" applyAlignment="0"/>
    <xf numFmtId="203" fontId="153" fillId="0" borderId="0" applyFill="0" applyBorder="0" applyAlignment="0" applyProtection="0"/>
    <xf numFmtId="205" fontId="153" fillId="16" borderId="0" applyFont="0" applyFill="0" applyBorder="0" applyAlignment="0" applyProtection="0"/>
    <xf numFmtId="227" fontId="6" fillId="3" borderId="0" applyFont="0" applyFill="0" applyBorder="0" applyAlignment="0" applyProtection="0"/>
    <xf numFmtId="9" fontId="35" fillId="0" borderId="0"/>
    <xf numFmtId="10" fontId="35" fillId="0" borderId="0"/>
    <xf numFmtId="176" fontId="6" fillId="0" borderId="0" applyFont="0" applyFill="0" applyBorder="0" applyProtection="0">
      <alignment horizontal="right"/>
    </xf>
    <xf numFmtId="318" fontId="4" fillId="49" borderId="0">
      <alignment horizontal="right"/>
    </xf>
    <xf numFmtId="222" fontId="4" fillId="0" borderId="0" applyFont="0" applyFill="0" applyBorder="0" applyProtection="0">
      <alignment horizontal="right"/>
    </xf>
    <xf numFmtId="326" fontId="4" fillId="0" borderId="0" applyFill="0" applyBorder="0" applyAlignment="0" applyProtection="0"/>
    <xf numFmtId="180" fontId="153" fillId="0" borderId="0" applyFill="0" applyBorder="0" applyProtection="0">
      <alignment horizontal="right"/>
    </xf>
    <xf numFmtId="180" fontId="84" fillId="0" borderId="0" applyFill="0" applyBorder="0" applyProtection="0">
      <alignment horizontal="right"/>
    </xf>
    <xf numFmtId="239" fontId="4" fillId="0" borderId="0" applyFont="0" applyFill="0" applyBorder="0" applyAlignment="0" applyProtection="0"/>
    <xf numFmtId="310" fontId="108" fillId="0" borderId="0">
      <alignment horizontal="right"/>
    </xf>
    <xf numFmtId="180" fontId="106" fillId="0" borderId="0"/>
    <xf numFmtId="313" fontId="6" fillId="0" borderId="0"/>
    <xf numFmtId="10" fontId="106" fillId="0" borderId="0">
      <protection locked="0"/>
    </xf>
    <xf numFmtId="260" fontId="27" fillId="0" borderId="0" applyFont="0" applyFill="0" applyBorder="0">
      <alignment horizontal="right"/>
    </xf>
    <xf numFmtId="0" fontId="38" fillId="0" borderId="0" applyFill="0" applyBorder="0">
      <alignment horizontal="right"/>
      <protection locked="0"/>
    </xf>
    <xf numFmtId="173" fontId="6" fillId="0" borderId="0" applyFont="0" applyFill="0" applyBorder="0" applyAlignment="0"/>
    <xf numFmtId="0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317" fontId="84" fillId="3" borderId="18">
      <alignment horizontal="right"/>
    </xf>
    <xf numFmtId="0" fontId="4" fillId="0" borderId="0">
      <alignment horizontal="right"/>
    </xf>
    <xf numFmtId="0" fontId="56" fillId="0" borderId="0" applyFont="0">
      <alignment horizontal="centerContinuous"/>
    </xf>
    <xf numFmtId="231" fontId="178" fillId="0" borderId="0" applyFill="0" applyBorder="0" applyProtection="0"/>
    <xf numFmtId="166" fontId="32" fillId="0" borderId="0" applyFont="0" applyFill="0" applyBorder="0" applyAlignment="0" applyProtection="0"/>
    <xf numFmtId="180" fontId="179" fillId="0" borderId="0">
      <alignment horizontal="right"/>
    </xf>
    <xf numFmtId="1" fontId="38" fillId="0" borderId="0"/>
    <xf numFmtId="0" fontId="32" fillId="0" borderId="0" applyFont="0" applyFill="0" applyBorder="0" applyAlignment="0" applyProtection="0">
      <protection locked="0"/>
    </xf>
    <xf numFmtId="208" fontId="119" fillId="0" borderId="0">
      <protection locked="0"/>
    </xf>
    <xf numFmtId="9" fontId="6" fillId="0" borderId="0" applyFont="0" applyFill="0" applyBorder="0" applyAlignment="0" applyProtection="0"/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314" fontId="6" fillId="0" borderId="0" applyFont="0" applyFill="0" applyBorder="0" applyAlignment="0" applyProtection="0"/>
    <xf numFmtId="0" fontId="4" fillId="0" borderId="8"/>
    <xf numFmtId="10" fontId="37" fillId="0" borderId="0"/>
    <xf numFmtId="9" fontId="37" fillId="0" borderId="0"/>
    <xf numFmtId="272" fontId="4" fillId="0" borderId="0" applyFill="0" applyBorder="0" applyAlignment="0"/>
    <xf numFmtId="273" fontId="4" fillId="0" borderId="0" applyFill="0" applyBorder="0" applyAlignment="0"/>
    <xf numFmtId="272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227" fontId="32" fillId="0" borderId="0" applyFill="0" applyBorder="0" applyAlignment="0" applyProtection="0"/>
    <xf numFmtId="38" fontId="32" fillId="0" borderId="0" applyFont="0" applyFill="0" applyBorder="0" applyAlignment="0" applyProtection="0"/>
    <xf numFmtId="0" fontId="181" fillId="0" borderId="19">
      <alignment horizontal="right"/>
    </xf>
    <xf numFmtId="0" fontId="24" fillId="13" borderId="15" applyNumberFormat="0" applyFont="0" applyAlignment="0" applyProtection="0"/>
    <xf numFmtId="315" fontId="6" fillId="13" borderId="0" applyNumberFormat="0" applyFont="0" applyBorder="0" applyAlignment="0" applyProtection="0">
      <alignment horizontal="center"/>
      <protection locked="0"/>
    </xf>
    <xf numFmtId="202" fontId="14" fillId="0" borderId="0"/>
    <xf numFmtId="270" fontId="24" fillId="0" borderId="0" applyFill="0" applyBorder="0" applyProtection="0">
      <alignment horizontal="right"/>
    </xf>
    <xf numFmtId="0" fontId="160" fillId="0" borderId="3">
      <alignment horizontal="centerContinuous"/>
    </xf>
    <xf numFmtId="0" fontId="182" fillId="0" borderId="10"/>
    <xf numFmtId="184" fontId="183" fillId="0" borderId="0">
      <alignment horizontal="right"/>
    </xf>
    <xf numFmtId="0" fontId="184" fillId="0" borderId="0" applyProtection="0"/>
    <xf numFmtId="10" fontId="31" fillId="0" borderId="15"/>
    <xf numFmtId="280" fontId="117" fillId="0" borderId="0"/>
    <xf numFmtId="316" fontId="6" fillId="0" borderId="0" applyFont="0" applyFill="0" applyBorder="0" applyProtection="0">
      <alignment horizontal="right"/>
    </xf>
    <xf numFmtId="292" fontId="6" fillId="0" borderId="0" applyFont="0" applyFill="0" applyBorder="0" applyProtection="0">
      <alignment horizontal="right"/>
    </xf>
    <xf numFmtId="0" fontId="6" fillId="0" borderId="0" applyFont="0" applyFill="0" applyBorder="0" applyProtection="0">
      <alignment horizontal="right"/>
    </xf>
    <xf numFmtId="196" fontId="4" fillId="0" borderId="0">
      <alignment horizontal="right"/>
      <protection locked="0"/>
    </xf>
    <xf numFmtId="262" fontId="6" fillId="0" borderId="0" applyFill="0" applyBorder="0" applyAlignment="0" applyProtection="0"/>
    <xf numFmtId="186" fontId="4" fillId="0" borderId="51" applyNumberFormat="0" applyFont="0" applyFill="0" applyAlignment="0" applyProtection="0"/>
    <xf numFmtId="227" fontId="185" fillId="0" borderId="0" applyNumberFormat="0" applyFill="0" applyBorder="0" applyAlignment="0" applyProtection="0">
      <alignment horizontal="left"/>
    </xf>
    <xf numFmtId="0" fontId="186" fillId="0" borderId="0" applyNumberFormat="0" applyFill="0" applyBorder="0" applyProtection="0">
      <protection locked="0"/>
    </xf>
    <xf numFmtId="227" fontId="68" fillId="0" borderId="0" applyFont="0" applyFill="0" applyBorder="0" applyAlignment="0" applyProtection="0"/>
    <xf numFmtId="0" fontId="4" fillId="0" borderId="0">
      <alignment horizontal="right"/>
    </xf>
    <xf numFmtId="222" fontId="4" fillId="0" borderId="0" applyProtection="0">
      <alignment horizontal="right"/>
    </xf>
    <xf numFmtId="239" fontId="6" fillId="0" borderId="0" applyProtection="0">
      <alignment horizontal="right"/>
    </xf>
    <xf numFmtId="184" fontId="4" fillId="0" borderId="0" applyProtection="0">
      <alignment horizontal="right"/>
    </xf>
    <xf numFmtId="243" fontId="4" fillId="0" borderId="0" applyProtection="0">
      <alignment horizontal="right"/>
    </xf>
    <xf numFmtId="244" fontId="4" fillId="0" borderId="0" applyProtection="0">
      <alignment horizontal="right"/>
    </xf>
    <xf numFmtId="245" fontId="4" fillId="0" borderId="0" applyProtection="0">
      <alignment horizontal="right"/>
    </xf>
    <xf numFmtId="246" fontId="4" fillId="0" borderId="0" applyProtection="0">
      <alignment horizontal="right"/>
    </xf>
    <xf numFmtId="197" fontId="4" fillId="0" borderId="0" applyProtection="0">
      <alignment horizontal="right"/>
    </xf>
    <xf numFmtId="206" fontId="4" fillId="0" borderId="0" applyProtection="0">
      <alignment horizontal="right"/>
    </xf>
    <xf numFmtId="0" fontId="187" fillId="0" borderId="0" applyNumberFormat="0" applyFill="0" applyBorder="0" applyProtection="0">
      <alignment horizontal="right" vertical="center"/>
    </xf>
    <xf numFmtId="274" fontId="4" fillId="0" borderId="0" applyProtection="0"/>
    <xf numFmtId="0" fontId="99" fillId="38" borderId="42" applyNumberFormat="0" applyBorder="0" applyProtection="0">
      <alignment horizontal="left" wrapText="1"/>
    </xf>
    <xf numFmtId="0" fontId="24" fillId="0" borderId="0" applyNumberFormat="0" applyFill="0" applyBorder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0" fontId="189" fillId="0" borderId="0" applyNumberFormat="0" applyBorder="0"/>
    <xf numFmtId="317" fontId="6" fillId="0" borderId="0"/>
    <xf numFmtId="0" fontId="74" fillId="0" borderId="28">
      <protection locked="0"/>
    </xf>
    <xf numFmtId="0" fontId="74" fillId="0" borderId="28">
      <protection locked="0"/>
    </xf>
    <xf numFmtId="0" fontId="74" fillId="0" borderId="0"/>
    <xf numFmtId="0" fontId="74" fillId="0" borderId="28">
      <alignment horizontal="centerContinuous"/>
    </xf>
    <xf numFmtId="0" fontId="74" fillId="0" borderId="28">
      <alignment horizontal="centerContinuous"/>
    </xf>
    <xf numFmtId="0" fontId="74" fillId="0" borderId="28">
      <protection locked="0"/>
    </xf>
    <xf numFmtId="172" fontId="74" fillId="0" borderId="0"/>
    <xf numFmtId="0" fontId="74" fillId="0" borderId="28">
      <alignment horizontal="centerContinuous"/>
    </xf>
    <xf numFmtId="172" fontId="74" fillId="0" borderId="0"/>
    <xf numFmtId="0" fontId="74" fillId="0" borderId="28">
      <protection locked="0"/>
    </xf>
    <xf numFmtId="0" fontId="74" fillId="0" borderId="0"/>
    <xf numFmtId="0" fontId="74" fillId="0" borderId="28">
      <alignment horizontal="centerContinuous"/>
    </xf>
    <xf numFmtId="172" fontId="74" fillId="0" borderId="0"/>
    <xf numFmtId="0" fontId="74" fillId="0" borderId="28">
      <alignment horizontal="centerContinuous"/>
    </xf>
    <xf numFmtId="0" fontId="74" fillId="0" borderId="28">
      <alignment horizontal="centerContinuous"/>
    </xf>
    <xf numFmtId="0" fontId="74" fillId="0" borderId="28">
      <alignment horizontal="centerContinuous"/>
    </xf>
    <xf numFmtId="0" fontId="74" fillId="0" borderId="28">
      <alignment horizontal="centerContinuous"/>
    </xf>
    <xf numFmtId="0" fontId="74" fillId="0" borderId="0"/>
    <xf numFmtId="0" fontId="74" fillId="0" borderId="28">
      <protection locked="0"/>
    </xf>
    <xf numFmtId="0" fontId="74" fillId="0" borderId="28">
      <alignment horizontal="centerContinuous"/>
    </xf>
    <xf numFmtId="172" fontId="74" fillId="0" borderId="0"/>
    <xf numFmtId="0" fontId="74" fillId="0" borderId="28">
      <protection locked="0"/>
    </xf>
    <xf numFmtId="0" fontId="74" fillId="0" borderId="28">
      <alignment horizontal="centerContinuous"/>
    </xf>
    <xf numFmtId="0" fontId="74" fillId="0" borderId="28">
      <protection locked="0"/>
    </xf>
    <xf numFmtId="0" fontId="74" fillId="0" borderId="28">
      <alignment horizontal="centerContinuous"/>
    </xf>
    <xf numFmtId="0" fontId="74" fillId="0" borderId="28">
      <alignment horizontal="centerContinuous"/>
    </xf>
    <xf numFmtId="0" fontId="74" fillId="0" borderId="0"/>
    <xf numFmtId="0" fontId="74" fillId="0" borderId="28">
      <alignment horizontal="centerContinuous"/>
    </xf>
    <xf numFmtId="172" fontId="74" fillId="0" borderId="0"/>
    <xf numFmtId="172" fontId="74" fillId="0" borderId="0"/>
    <xf numFmtId="0" fontId="74" fillId="0" borderId="28">
      <protection locked="0"/>
    </xf>
    <xf numFmtId="0" fontId="74" fillId="0" borderId="28">
      <alignment horizontal="centerContinuous"/>
    </xf>
    <xf numFmtId="0" fontId="74" fillId="0" borderId="28">
      <alignment horizontal="centerContinuous"/>
    </xf>
    <xf numFmtId="0" fontId="74" fillId="0" borderId="0"/>
    <xf numFmtId="0" fontId="74" fillId="0" borderId="28">
      <protection locked="0"/>
    </xf>
    <xf numFmtId="0" fontId="74" fillId="0" borderId="28">
      <alignment horizontal="centerContinuous"/>
    </xf>
    <xf numFmtId="0" fontId="74" fillId="0" borderId="0"/>
    <xf numFmtId="0" fontId="74" fillId="0" borderId="28">
      <protection locked="0"/>
    </xf>
    <xf numFmtId="0" fontId="74" fillId="0" borderId="0"/>
    <xf numFmtId="0" fontId="74" fillId="0" borderId="28">
      <alignment horizontal="centerContinuous"/>
    </xf>
    <xf numFmtId="0" fontId="74" fillId="0" borderId="28">
      <protection locked="0"/>
    </xf>
    <xf numFmtId="172" fontId="74" fillId="0" borderId="0"/>
    <xf numFmtId="0" fontId="74" fillId="0" borderId="28">
      <protection locked="0"/>
    </xf>
    <xf numFmtId="0" fontId="74" fillId="0" borderId="28">
      <alignment horizontal="centerContinuous"/>
    </xf>
    <xf numFmtId="0" fontId="74" fillId="0" borderId="28">
      <protection locked="0"/>
    </xf>
    <xf numFmtId="0" fontId="74" fillId="0" borderId="28">
      <protection locked="0"/>
    </xf>
    <xf numFmtId="0" fontId="74" fillId="0" borderId="0"/>
    <xf numFmtId="0" fontId="74" fillId="0" borderId="28">
      <protection locked="0"/>
    </xf>
    <xf numFmtId="0" fontId="74" fillId="0" borderId="0"/>
    <xf numFmtId="0" fontId="74" fillId="0" borderId="28">
      <alignment horizontal="centerContinuous"/>
    </xf>
    <xf numFmtId="0" fontId="74" fillId="0" borderId="28">
      <protection locked="0"/>
    </xf>
    <xf numFmtId="0" fontId="74" fillId="0" borderId="0"/>
    <xf numFmtId="0" fontId="74" fillId="0" borderId="28">
      <alignment horizontal="centerContinuous"/>
    </xf>
    <xf numFmtId="0" fontId="74" fillId="0" borderId="0"/>
    <xf numFmtId="0" fontId="74" fillId="0" borderId="28">
      <protection locked="0"/>
    </xf>
    <xf numFmtId="0" fontId="45" fillId="0" borderId="28">
      <alignment horizontal="centerContinuous"/>
    </xf>
    <xf numFmtId="0" fontId="74" fillId="0" borderId="28">
      <alignment horizontal="centerContinuous"/>
    </xf>
    <xf numFmtId="0" fontId="74" fillId="0" borderId="28">
      <protection locked="0"/>
    </xf>
    <xf numFmtId="0" fontId="74" fillId="0" borderId="0"/>
    <xf numFmtId="0" fontId="74" fillId="0" borderId="28">
      <alignment horizontal="centerContinuous"/>
    </xf>
    <xf numFmtId="0" fontId="74" fillId="0" borderId="28">
      <protection locked="0"/>
    </xf>
    <xf numFmtId="0" fontId="74" fillId="0" borderId="28">
      <protection locked="0"/>
    </xf>
    <xf numFmtId="0" fontId="74" fillId="0" borderId="28">
      <protection locked="0"/>
    </xf>
    <xf numFmtId="0" fontId="74" fillId="0" borderId="28">
      <alignment horizontal="centerContinuous"/>
    </xf>
    <xf numFmtId="0" fontId="74" fillId="0" borderId="28">
      <alignment horizontal="centerContinuous"/>
    </xf>
    <xf numFmtId="172" fontId="74" fillId="0" borderId="0"/>
    <xf numFmtId="172" fontId="74" fillId="0" borderId="0"/>
    <xf numFmtId="0" fontId="74" fillId="0" borderId="28">
      <protection locked="0"/>
    </xf>
    <xf numFmtId="0" fontId="74" fillId="0" borderId="28">
      <alignment horizontal="centerContinuous"/>
    </xf>
    <xf numFmtId="0" fontId="74" fillId="0" borderId="28">
      <protection locked="0"/>
    </xf>
    <xf numFmtId="0" fontId="74" fillId="0" borderId="28">
      <alignment horizontal="centerContinuous"/>
    </xf>
    <xf numFmtId="0" fontId="74" fillId="0" borderId="28">
      <alignment horizontal="centerContinuous"/>
    </xf>
    <xf numFmtId="0" fontId="74" fillId="0" borderId="0"/>
    <xf numFmtId="0" fontId="74" fillId="0" borderId="28">
      <protection locked="0"/>
    </xf>
    <xf numFmtId="0" fontId="74" fillId="0" borderId="0"/>
    <xf numFmtId="0" fontId="74" fillId="0" borderId="28">
      <protection locked="0"/>
    </xf>
    <xf numFmtId="0" fontId="74" fillId="0" borderId="28">
      <alignment horizontal="centerContinuous"/>
    </xf>
    <xf numFmtId="0" fontId="74" fillId="0" borderId="0"/>
    <xf numFmtId="0" fontId="74" fillId="0" borderId="28">
      <protection locked="0"/>
    </xf>
    <xf numFmtId="0" fontId="74" fillId="0" borderId="28">
      <alignment horizontal="centerContinuous"/>
    </xf>
    <xf numFmtId="0" fontId="74" fillId="0" borderId="28">
      <alignment horizontal="centerContinuous"/>
    </xf>
    <xf numFmtId="0" fontId="74" fillId="0" borderId="28">
      <alignment horizontal="centerContinuous"/>
    </xf>
    <xf numFmtId="0" fontId="74" fillId="0" borderId="28">
      <alignment horizontal="centerContinuous"/>
    </xf>
    <xf numFmtId="0" fontId="74" fillId="0" borderId="28">
      <protection locked="0"/>
    </xf>
    <xf numFmtId="0" fontId="35" fillId="0" borderId="0">
      <alignment horizontal="center"/>
    </xf>
    <xf numFmtId="0" fontId="74" fillId="0" borderId="0"/>
    <xf numFmtId="0" fontId="74" fillId="0" borderId="28">
      <alignment horizontal="centerContinuous"/>
    </xf>
    <xf numFmtId="0" fontId="74" fillId="0" borderId="28">
      <protection locked="0"/>
    </xf>
    <xf numFmtId="0" fontId="74" fillId="0" borderId="28">
      <alignment horizontal="centerContinuous"/>
    </xf>
    <xf numFmtId="0" fontId="74" fillId="0" borderId="0"/>
    <xf numFmtId="0" fontId="74" fillId="0" borderId="28">
      <alignment horizontal="centerContinuous"/>
    </xf>
    <xf numFmtId="0" fontId="74" fillId="0" borderId="28">
      <alignment horizontal="centerContinuous"/>
    </xf>
    <xf numFmtId="0" fontId="74" fillId="0" borderId="28">
      <alignment horizontal="centerContinuous"/>
    </xf>
    <xf numFmtId="0" fontId="74" fillId="0" borderId="0"/>
    <xf numFmtId="0" fontId="74" fillId="0" borderId="0"/>
    <xf numFmtId="0" fontId="74" fillId="0" borderId="28">
      <protection locked="0"/>
    </xf>
    <xf numFmtId="0" fontId="74" fillId="0" borderId="28">
      <alignment horizontal="centerContinuous"/>
    </xf>
    <xf numFmtId="0" fontId="74" fillId="0" borderId="28">
      <alignment horizontal="centerContinuous"/>
    </xf>
    <xf numFmtId="0" fontId="74" fillId="0" borderId="28">
      <protection locked="0"/>
    </xf>
    <xf numFmtId="172" fontId="74" fillId="0" borderId="0"/>
    <xf numFmtId="0" fontId="74" fillId="0" borderId="28">
      <protection locked="0"/>
    </xf>
    <xf numFmtId="172" fontId="74" fillId="0" borderId="0"/>
    <xf numFmtId="0" fontId="74" fillId="0" borderId="28">
      <alignment horizontal="centerContinuous"/>
    </xf>
    <xf numFmtId="0" fontId="74" fillId="0" borderId="28">
      <protection locked="0"/>
    </xf>
    <xf numFmtId="172" fontId="74" fillId="0" borderId="0"/>
    <xf numFmtId="0" fontId="74" fillId="0" borderId="28">
      <protection locked="0"/>
    </xf>
    <xf numFmtId="0" fontId="74" fillId="0" borderId="28">
      <alignment horizontal="centerContinuous"/>
    </xf>
    <xf numFmtId="172" fontId="74" fillId="0" borderId="0"/>
    <xf numFmtId="0" fontId="74" fillId="0" borderId="28">
      <protection locked="0"/>
    </xf>
    <xf numFmtId="0" fontId="74" fillId="0" borderId="28">
      <protection locked="0"/>
    </xf>
    <xf numFmtId="0" fontId="74" fillId="0" borderId="28">
      <protection locked="0"/>
    </xf>
    <xf numFmtId="0" fontId="74" fillId="0" borderId="0"/>
    <xf numFmtId="0" fontId="74" fillId="0" borderId="28">
      <alignment horizontal="centerContinuous"/>
    </xf>
    <xf numFmtId="0" fontId="74" fillId="0" borderId="28">
      <alignment horizontal="centerContinuous"/>
    </xf>
    <xf numFmtId="0" fontId="74" fillId="0" borderId="28">
      <alignment horizontal="centerContinuous"/>
    </xf>
    <xf numFmtId="0" fontId="74" fillId="0" borderId="0"/>
    <xf numFmtId="0" fontId="74" fillId="0" borderId="28">
      <alignment horizontal="centerContinuous"/>
    </xf>
    <xf numFmtId="0" fontId="74" fillId="0" borderId="28">
      <alignment horizontal="centerContinuous"/>
    </xf>
    <xf numFmtId="0" fontId="74" fillId="0" borderId="0"/>
    <xf numFmtId="0" fontId="74" fillId="0" borderId="28">
      <protection locked="0"/>
    </xf>
    <xf numFmtId="0" fontId="74" fillId="0" borderId="0"/>
    <xf numFmtId="0" fontId="74" fillId="0" borderId="28">
      <alignment horizontal="centerContinuous"/>
    </xf>
    <xf numFmtId="172" fontId="74" fillId="0" borderId="0"/>
    <xf numFmtId="0" fontId="74" fillId="0" borderId="28">
      <protection locked="0"/>
    </xf>
    <xf numFmtId="172" fontId="74" fillId="0" borderId="0"/>
    <xf numFmtId="0" fontId="74" fillId="0" borderId="28">
      <alignment horizontal="centerContinuous"/>
    </xf>
    <xf numFmtId="0" fontId="74" fillId="0" borderId="28">
      <alignment horizontal="centerContinuous"/>
    </xf>
    <xf numFmtId="0" fontId="74" fillId="0" borderId="28">
      <protection locked="0"/>
    </xf>
    <xf numFmtId="172" fontId="74" fillId="0" borderId="0"/>
    <xf numFmtId="0" fontId="74" fillId="0" borderId="28">
      <alignment horizontal="centerContinuous"/>
    </xf>
    <xf numFmtId="0" fontId="74" fillId="0" borderId="28">
      <protection locked="0"/>
    </xf>
    <xf numFmtId="0" fontId="74" fillId="0" borderId="28">
      <alignment horizontal="centerContinuous"/>
    </xf>
    <xf numFmtId="0" fontId="74" fillId="0" borderId="0"/>
    <xf numFmtId="0" fontId="74" fillId="0" borderId="28">
      <alignment horizontal="centerContinuous"/>
    </xf>
    <xf numFmtId="0" fontId="74" fillId="0" borderId="28">
      <alignment horizontal="centerContinuous"/>
    </xf>
    <xf numFmtId="172" fontId="74" fillId="0" borderId="0"/>
    <xf numFmtId="0" fontId="74" fillId="0" borderId="28">
      <protection locked="0"/>
    </xf>
    <xf numFmtId="0" fontId="74" fillId="0" borderId="28">
      <alignment horizontal="centerContinuous"/>
    </xf>
    <xf numFmtId="0" fontId="74" fillId="0" borderId="0"/>
    <xf numFmtId="0" fontId="74" fillId="0" borderId="28">
      <alignment horizontal="centerContinuous"/>
    </xf>
    <xf numFmtId="0" fontId="74" fillId="0" borderId="28">
      <protection locked="0"/>
    </xf>
    <xf numFmtId="0" fontId="74" fillId="0" borderId="28">
      <alignment horizontal="centerContinuous"/>
    </xf>
    <xf numFmtId="0" fontId="74" fillId="0" borderId="28">
      <protection locked="0"/>
    </xf>
    <xf numFmtId="0" fontId="74" fillId="0" borderId="0"/>
    <xf numFmtId="0" fontId="74" fillId="0" borderId="28">
      <protection locked="0"/>
    </xf>
    <xf numFmtId="0" fontId="74" fillId="0" borderId="28">
      <alignment horizontal="centerContinuous"/>
    </xf>
    <xf numFmtId="0" fontId="74" fillId="0" borderId="28">
      <alignment horizontal="centerContinuous"/>
    </xf>
    <xf numFmtId="0" fontId="74" fillId="0" borderId="28">
      <alignment horizontal="centerContinuous"/>
    </xf>
    <xf numFmtId="0" fontId="74" fillId="0" borderId="28">
      <protection locked="0"/>
    </xf>
    <xf numFmtId="172" fontId="74" fillId="0" borderId="0"/>
    <xf numFmtId="0" fontId="74" fillId="0" borderId="28">
      <alignment horizontal="centerContinuous"/>
    </xf>
    <xf numFmtId="0" fontId="74" fillId="0" borderId="0"/>
    <xf numFmtId="0" fontId="74" fillId="0" borderId="28">
      <protection locked="0"/>
    </xf>
    <xf numFmtId="0" fontId="74" fillId="0" borderId="28">
      <alignment horizontal="centerContinuous"/>
    </xf>
    <xf numFmtId="0" fontId="74" fillId="0" borderId="28">
      <alignment horizontal="centerContinuous"/>
    </xf>
    <xf numFmtId="0" fontId="74" fillId="0" borderId="0"/>
    <xf numFmtId="0" fontId="74" fillId="0" borderId="28">
      <protection locked="0"/>
    </xf>
    <xf numFmtId="0" fontId="74" fillId="0" borderId="28">
      <protection locked="0"/>
    </xf>
    <xf numFmtId="0" fontId="74" fillId="0" borderId="0"/>
    <xf numFmtId="0" fontId="74" fillId="0" borderId="28">
      <alignment horizontal="centerContinuous"/>
    </xf>
    <xf numFmtId="0" fontId="74" fillId="0" borderId="28">
      <protection locked="0"/>
    </xf>
    <xf numFmtId="0" fontId="74" fillId="0" borderId="0"/>
    <xf numFmtId="0" fontId="74" fillId="0" borderId="28">
      <alignment horizontal="centerContinuous"/>
    </xf>
    <xf numFmtId="184" fontId="31" fillId="0" borderId="8">
      <alignment horizontal="right"/>
    </xf>
    <xf numFmtId="172" fontId="74" fillId="0" borderId="0"/>
    <xf numFmtId="0" fontId="74" fillId="0" borderId="28">
      <protection locked="0"/>
    </xf>
    <xf numFmtId="0" fontId="74" fillId="0" borderId="28">
      <alignment horizontal="centerContinuous"/>
    </xf>
    <xf numFmtId="172" fontId="74" fillId="0" borderId="0"/>
    <xf numFmtId="0" fontId="74" fillId="0" borderId="28">
      <protection locked="0"/>
    </xf>
    <xf numFmtId="0" fontId="74" fillId="0" borderId="28">
      <alignment horizontal="centerContinuous"/>
    </xf>
    <xf numFmtId="0" fontId="74" fillId="0" borderId="28">
      <protection locked="0"/>
    </xf>
    <xf numFmtId="172" fontId="74" fillId="0" borderId="0"/>
    <xf numFmtId="172" fontId="74" fillId="0" borderId="0"/>
    <xf numFmtId="172" fontId="74" fillId="0" borderId="0"/>
    <xf numFmtId="0" fontId="74" fillId="0" borderId="28">
      <alignment horizontal="centerContinuous"/>
    </xf>
    <xf numFmtId="0" fontId="74" fillId="0" borderId="28">
      <protection locked="0"/>
    </xf>
    <xf numFmtId="0" fontId="74" fillId="0" borderId="28">
      <alignment horizontal="centerContinuous"/>
    </xf>
    <xf numFmtId="0" fontId="74" fillId="0" borderId="28">
      <protection locked="0"/>
    </xf>
    <xf numFmtId="0" fontId="74" fillId="0" borderId="28">
      <protection locked="0"/>
    </xf>
    <xf numFmtId="172" fontId="74" fillId="0" borderId="0"/>
    <xf numFmtId="0" fontId="74" fillId="0" borderId="28">
      <alignment horizontal="centerContinuous"/>
    </xf>
    <xf numFmtId="0" fontId="74" fillId="0" borderId="28">
      <protection locked="0"/>
    </xf>
    <xf numFmtId="0" fontId="6" fillId="0" borderId="52">
      <alignment vertical="center"/>
    </xf>
    <xf numFmtId="272" fontId="4" fillId="13" borderId="42" applyFont="0" applyFill="0" applyBorder="0" applyAlignment="0" applyProtection="0">
      <alignment horizontal="center"/>
    </xf>
    <xf numFmtId="4" fontId="190" fillId="24" borderId="53" applyNumberFormat="0" applyProtection="0">
      <alignment vertical="center"/>
    </xf>
    <xf numFmtId="4" fontId="191" fillId="2" borderId="53" applyNumberFormat="0" applyProtection="0">
      <alignment vertical="center"/>
    </xf>
    <xf numFmtId="4" fontId="192" fillId="33" borderId="53" applyNumberFormat="0" applyProtection="0">
      <alignment vertical="center"/>
    </xf>
    <xf numFmtId="4" fontId="193" fillId="33" borderId="53" applyNumberFormat="0" applyProtection="0">
      <alignment vertical="center"/>
    </xf>
    <xf numFmtId="4" fontId="192" fillId="45" borderId="53" applyNumberFormat="0" applyProtection="0">
      <alignment vertical="center"/>
    </xf>
    <xf numFmtId="4" fontId="193" fillId="45" borderId="53" applyNumberFormat="0" applyProtection="0">
      <alignment vertical="center"/>
    </xf>
    <xf numFmtId="4" fontId="194" fillId="2" borderId="53" applyNumberFormat="0" applyProtection="0">
      <alignment horizontal="left" vertical="center" indent="1"/>
    </xf>
    <xf numFmtId="4" fontId="195" fillId="50" borderId="53" applyNumberFormat="0" applyProtection="0">
      <alignment horizontal="left" vertical="center" indent="1"/>
    </xf>
    <xf numFmtId="4" fontId="196" fillId="51" borderId="53" applyNumberFormat="0" applyProtection="0">
      <alignment horizontal="left" vertical="center" indent="1"/>
    </xf>
    <xf numFmtId="4" fontId="196" fillId="52" borderId="53" applyNumberFormat="0" applyProtection="0">
      <alignment horizontal="left" vertical="center" indent="1"/>
    </xf>
    <xf numFmtId="4" fontId="197" fillId="50" borderId="53" applyNumberFormat="0" applyProtection="0">
      <alignment horizontal="left" vertical="center" indent="1"/>
    </xf>
    <xf numFmtId="4" fontId="198" fillId="4" borderId="53" applyNumberFormat="0" applyProtection="0">
      <alignment vertical="center"/>
    </xf>
    <xf numFmtId="4" fontId="199" fillId="14" borderId="53" applyNumberFormat="0" applyProtection="0">
      <alignment horizontal="left" vertical="center" indent="1"/>
    </xf>
    <xf numFmtId="4" fontId="200" fillId="0" borderId="0" applyNumberFormat="0" applyProtection="0">
      <alignment horizontal="left" vertical="center" indent="1"/>
    </xf>
    <xf numFmtId="4" fontId="195" fillId="50" borderId="53" applyNumberFormat="0" applyProtection="0">
      <alignment horizontal="left" vertical="center" indent="1"/>
    </xf>
    <xf numFmtId="4" fontId="201" fillId="14" borderId="53" applyNumberFormat="0" applyProtection="0">
      <alignment vertical="center"/>
    </xf>
    <xf numFmtId="4" fontId="202" fillId="14" borderId="53" applyNumberFormat="0" applyProtection="0">
      <alignment vertical="center"/>
    </xf>
    <xf numFmtId="4" fontId="203" fillId="33" borderId="53" applyNumberFormat="0" applyProtection="0">
      <alignment vertical="center"/>
    </xf>
    <xf numFmtId="4" fontId="204" fillId="33" borderId="53" applyNumberFormat="0" applyProtection="0">
      <alignment vertical="center"/>
    </xf>
    <xf numFmtId="4" fontId="203" fillId="45" borderId="53" applyNumberFormat="0" applyProtection="0">
      <alignment vertical="center"/>
    </xf>
    <xf numFmtId="4" fontId="204" fillId="45" borderId="53" applyNumberFormat="0" applyProtection="0">
      <alignment vertical="center"/>
    </xf>
    <xf numFmtId="4" fontId="196" fillId="43" borderId="53" applyNumberFormat="0" applyProtection="0">
      <alignment horizontal="left" vertical="center" indent="1"/>
    </xf>
    <xf numFmtId="4" fontId="205" fillId="14" borderId="53" applyNumberFormat="0" applyProtection="0">
      <alignment vertical="center"/>
    </xf>
    <xf numFmtId="4" fontId="206" fillId="14" borderId="53" applyNumberFormat="0" applyProtection="0">
      <alignment vertical="center"/>
    </xf>
    <xf numFmtId="4" fontId="207" fillId="33" borderId="53" applyNumberFormat="0" applyProtection="0">
      <alignment vertical="center"/>
    </xf>
    <xf numFmtId="4" fontId="208" fillId="33" borderId="53" applyNumberFormat="0" applyProtection="0">
      <alignment vertical="center"/>
    </xf>
    <xf numFmtId="4" fontId="207" fillId="45" borderId="53" applyNumberFormat="0" applyProtection="0">
      <alignment vertical="center"/>
    </xf>
    <xf numFmtId="4" fontId="208" fillId="45" borderId="53" applyNumberFormat="0" applyProtection="0">
      <alignment vertical="center"/>
    </xf>
    <xf numFmtId="4" fontId="190" fillId="53" borderId="54" applyNumberFormat="0" applyProtection="0">
      <alignment horizontal="left" vertical="center" indent="1"/>
    </xf>
    <xf numFmtId="4" fontId="209" fillId="14" borderId="53" applyNumberFormat="0" applyProtection="0">
      <alignment vertical="center"/>
    </xf>
    <xf numFmtId="4" fontId="210" fillId="14" borderId="53" applyNumberFormat="0" applyProtection="0">
      <alignment vertical="center"/>
    </xf>
    <xf numFmtId="4" fontId="192" fillId="33" borderId="53" applyNumberFormat="0" applyProtection="0">
      <alignment vertical="center"/>
    </xf>
    <xf numFmtId="4" fontId="193" fillId="33" borderId="53" applyNumberFormat="0" applyProtection="0">
      <alignment vertical="center"/>
    </xf>
    <xf numFmtId="4" fontId="192" fillId="45" borderId="53" applyNumberFormat="0" applyProtection="0">
      <alignment vertical="center"/>
    </xf>
    <xf numFmtId="4" fontId="193" fillId="45" borderId="53" applyNumberFormat="0" applyProtection="0">
      <alignment vertical="center"/>
    </xf>
    <xf numFmtId="4" fontId="196" fillId="3" borderId="53" applyNumberFormat="0" applyProtection="0">
      <alignment horizontal="left" vertical="center" indent="1"/>
    </xf>
    <xf numFmtId="4" fontId="211" fillId="54" borderId="53" applyNumberFormat="0" applyProtection="0">
      <alignment horizontal="left" indent="1"/>
    </xf>
    <xf numFmtId="4" fontId="212" fillId="14" borderId="53" applyNumberFormat="0" applyProtection="0">
      <alignment vertical="center"/>
    </xf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38" fillId="0" borderId="0" applyFill="0" applyBorder="0">
      <alignment horizontal="right"/>
      <protection hidden="1"/>
    </xf>
    <xf numFmtId="172" fontId="213" fillId="0" borderId="0">
      <protection locked="0"/>
    </xf>
    <xf numFmtId="0" fontId="15" fillId="0" borderId="0" applyFill="0" applyBorder="0" applyProtection="0">
      <alignment horizontal="left"/>
    </xf>
    <xf numFmtId="172" fontId="214" fillId="0" borderId="0">
      <alignment horizontal="left"/>
    </xf>
    <xf numFmtId="0" fontId="215" fillId="0" borderId="0" applyNumberFormat="0" applyFill="0" applyBorder="0" applyProtection="0">
      <alignment horizontal="left" vertical="center"/>
    </xf>
    <xf numFmtId="0" fontId="216" fillId="0" borderId="55"/>
    <xf numFmtId="0" fontId="6" fillId="40" borderId="15">
      <alignment horizontal="center" vertical="center" wrapText="1"/>
      <protection hidden="1"/>
    </xf>
    <xf numFmtId="268" fontId="6" fillId="0" borderId="0" applyFont="0" applyFill="0" applyBorder="0" applyAlignment="0" applyProtection="0"/>
    <xf numFmtId="288" fontId="6" fillId="0" borderId="0" applyFont="0" applyFill="0" applyBorder="0" applyAlignment="0" applyProtection="0"/>
    <xf numFmtId="172" fontId="217" fillId="0" borderId="0"/>
    <xf numFmtId="37" fontId="217" fillId="0" borderId="0"/>
    <xf numFmtId="0" fontId="35" fillId="49" borderId="0" applyNumberFormat="0" applyFont="0" applyBorder="0" applyAlignment="0" applyProtection="0"/>
    <xf numFmtId="0" fontId="152" fillId="48" borderId="0" applyNumberFormat="0" applyFont="0" applyBorder="0" applyAlignment="0" applyProtection="0"/>
    <xf numFmtId="0" fontId="32" fillId="0" borderId="0" applyFont="0" applyFill="0" applyBorder="0" applyAlignment="0" applyProtection="0"/>
    <xf numFmtId="189" fontId="4" fillId="0" borderId="0">
      <alignment horizontal="center"/>
    </xf>
    <xf numFmtId="14" fontId="44" fillId="16" borderId="0" applyBorder="0" applyAlignment="0" applyProtection="0"/>
    <xf numFmtId="318" fontId="6" fillId="16" borderId="0" applyBorder="0" applyAlignment="0" applyProtection="0"/>
    <xf numFmtId="319" fontId="6" fillId="0" borderId="0">
      <alignment horizontal="center"/>
    </xf>
    <xf numFmtId="167" fontId="218" fillId="0" borderId="0" applyFill="0" applyBorder="0" applyAlignment="0" applyProtection="0"/>
    <xf numFmtId="0" fontId="55" fillId="0" borderId="10" applyNumberFormat="0" applyFill="0" applyAlignment="0" applyProtection="0"/>
    <xf numFmtId="166" fontId="219" fillId="0" borderId="0" applyNumberFormat="0" applyFill="0" applyBorder="0" applyAlignment="0" applyProtection="0"/>
    <xf numFmtId="40" fontId="35" fillId="0" borderId="0" applyFont="0" applyFill="0" applyBorder="0" applyAlignment="0" applyProtection="0"/>
    <xf numFmtId="0" fontId="220" fillId="0" borderId="0" applyNumberFormat="0">
      <alignment horizontal="left"/>
    </xf>
    <xf numFmtId="199" fontId="35" fillId="0" borderId="0" applyFont="0" applyFill="0" applyBorder="0" applyAlignment="0" applyProtection="0"/>
    <xf numFmtId="172" fontId="221" fillId="0" borderId="0">
      <alignment horizontal="left"/>
    </xf>
    <xf numFmtId="0" fontId="161" fillId="0" borderId="0" applyFont="0">
      <alignment horizontal="centerContinuous"/>
    </xf>
    <xf numFmtId="184" fontId="182" fillId="0" borderId="56">
      <alignment horizontal="right"/>
    </xf>
    <xf numFmtId="248" fontId="38" fillId="0" borderId="8"/>
    <xf numFmtId="184" fontId="38" fillId="0" borderId="8"/>
    <xf numFmtId="170" fontId="38" fillId="0" borderId="8"/>
    <xf numFmtId="0" fontId="222" fillId="0" borderId="28"/>
    <xf numFmtId="0" fontId="35" fillId="0" borderId="0">
      <alignment horizontal="center"/>
    </xf>
    <xf numFmtId="265" fontId="4" fillId="24" borderId="0"/>
    <xf numFmtId="265" fontId="4" fillId="0" borderId="0">
      <protection locked="0"/>
    </xf>
    <xf numFmtId="179" fontId="6" fillId="35" borderId="0" applyNumberFormat="0" applyBorder="0" applyAlignment="0" applyProtection="0"/>
    <xf numFmtId="0" fontId="6" fillId="0" borderId="0"/>
    <xf numFmtId="186" fontId="60" fillId="0" borderId="0" applyFill="0" applyBorder="0" applyProtection="0"/>
    <xf numFmtId="12" fontId="6" fillId="0" borderId="0" applyFont="0" applyFill="0" applyBorder="0" applyProtection="0">
      <alignment horizontal="right"/>
    </xf>
    <xf numFmtId="293" fontId="6" fillId="55" borderId="0" applyFont="0" applyFill="0" applyBorder="0" applyProtection="0">
      <alignment horizontal="right"/>
    </xf>
    <xf numFmtId="227" fontId="4" fillId="32" borderId="0" applyNumberFormat="0" applyFont="0" applyBorder="0" applyAlignment="0">
      <protection hidden="1"/>
    </xf>
    <xf numFmtId="0" fontId="2" fillId="0" borderId="8">
      <alignment horizontal="right"/>
    </xf>
    <xf numFmtId="0" fontId="42" fillId="0" borderId="0"/>
    <xf numFmtId="0" fontId="45" fillId="0" borderId="0">
      <alignment vertical="center"/>
    </xf>
    <xf numFmtId="0" fontId="61" fillId="0" borderId="0"/>
    <xf numFmtId="0" fontId="60" fillId="0" borderId="0">
      <alignment vertical="top"/>
    </xf>
    <xf numFmtId="0" fontId="223" fillId="0" borderId="0" applyNumberFormat="0" applyFill="0" applyBorder="0" applyProtection="0">
      <alignment horizontal="left" vertical="center"/>
    </xf>
    <xf numFmtId="281" fontId="224" fillId="0" borderId="50" applyBorder="0"/>
    <xf numFmtId="317" fontId="6" fillId="0" borderId="0"/>
    <xf numFmtId="0" fontId="225" fillId="0" borderId="0"/>
    <xf numFmtId="0" fontId="189" fillId="0" borderId="0"/>
    <xf numFmtId="0" fontId="226" fillId="0" borderId="0"/>
    <xf numFmtId="281" fontId="15" fillId="0" borderId="0"/>
    <xf numFmtId="0" fontId="24" fillId="0" borderId="0"/>
    <xf numFmtId="283" fontId="4" fillId="0" borderId="0" applyNumberFormat="0" applyFill="0" applyBorder="0" applyProtection="0">
      <alignment horizontal="centerContinuous"/>
    </xf>
    <xf numFmtId="3" fontId="227" fillId="0" borderId="0"/>
    <xf numFmtId="3" fontId="228" fillId="0" borderId="0"/>
    <xf numFmtId="3" fontId="50" fillId="0" borderId="8"/>
    <xf numFmtId="248" fontId="2" fillId="0" borderId="16"/>
    <xf numFmtId="0" fontId="223" fillId="0" borderId="2" applyNumberFormat="0" applyFill="0" applyProtection="0">
      <alignment horizontal="left" vertical="center"/>
    </xf>
    <xf numFmtId="0" fontId="24" fillId="13" borderId="0" applyNumberFormat="0" applyFont="0" applyBorder="0" applyAlignment="0" applyProtection="0"/>
    <xf numFmtId="316" fontId="6" fillId="0" borderId="56">
      <protection locked="0"/>
    </xf>
    <xf numFmtId="227" fontId="4" fillId="0" borderId="0" applyFill="0" applyBorder="0" applyProtection="0"/>
    <xf numFmtId="250" fontId="4" fillId="32" borderId="15">
      <alignment horizontal="center"/>
    </xf>
    <xf numFmtId="250" fontId="4" fillId="0" borderId="0">
      <alignment horizontal="center"/>
    </xf>
    <xf numFmtId="0" fontId="59" fillId="0" borderId="10">
      <alignment horizontal="center"/>
    </xf>
    <xf numFmtId="0" fontId="31" fillId="0" borderId="0"/>
    <xf numFmtId="0" fontId="229" fillId="1" borderId="56" applyNumberFormat="0" applyBorder="0" applyAlignment="0"/>
    <xf numFmtId="0" fontId="128" fillId="0" borderId="0"/>
    <xf numFmtId="0" fontId="59" fillId="0" borderId="10">
      <alignment horizontal="centerContinuous"/>
    </xf>
    <xf numFmtId="0" fontId="59" fillId="0" borderId="28">
      <alignment horizontal="centerContinuous"/>
    </xf>
    <xf numFmtId="0" fontId="59" fillId="0" borderId="28">
      <alignment horizontal="centerContinuous"/>
    </xf>
    <xf numFmtId="9" fontId="59" fillId="0" borderId="0">
      <alignment horizontal="centerContinuous"/>
    </xf>
    <xf numFmtId="0" fontId="32" fillId="0" borderId="0"/>
    <xf numFmtId="0" fontId="41" fillId="0" borderId="0" applyFill="0" applyBorder="0" applyProtection="0">
      <alignment horizontal="center" vertical="center"/>
    </xf>
    <xf numFmtId="3" fontId="230" fillId="0" borderId="0" applyFont="0" applyBorder="0" applyAlignment="0"/>
    <xf numFmtId="0" fontId="6" fillId="0" borderId="0" applyBorder="0" applyProtection="0">
      <alignment vertical="center"/>
    </xf>
    <xf numFmtId="0" fontId="6" fillId="0" borderId="10" applyBorder="0" applyProtection="0">
      <alignment horizontal="right" vertical="center"/>
    </xf>
    <xf numFmtId="0" fontId="6" fillId="56" borderId="0" applyBorder="0" applyProtection="0">
      <alignment horizontal="centerContinuous" vertical="center"/>
    </xf>
    <xf numFmtId="0" fontId="6" fillId="34" borderId="10" applyBorder="0" applyProtection="0">
      <alignment horizontal="centerContinuous" vertical="center"/>
    </xf>
    <xf numFmtId="0" fontId="231" fillId="0" borderId="0" applyFill="0" applyBorder="0" applyProtection="0">
      <alignment horizontal="center" vertical="center"/>
    </xf>
    <xf numFmtId="0" fontId="24" fillId="0" borderId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232" fillId="0" borderId="0" applyFill="0" applyBorder="0" applyProtection="0"/>
    <xf numFmtId="0" fontId="233" fillId="0" borderId="0" applyNumberFormat="0">
      <alignment horizontal="left"/>
    </xf>
    <xf numFmtId="0" fontId="6" fillId="0" borderId="0"/>
    <xf numFmtId="0" fontId="6" fillId="0" borderId="0" applyFill="0" applyBorder="0" applyProtection="0">
      <alignment horizontal="left"/>
    </xf>
    <xf numFmtId="0" fontId="131" fillId="0" borderId="11" applyFill="0" applyBorder="0" applyProtection="0">
      <alignment horizontal="left" vertical="top"/>
    </xf>
    <xf numFmtId="0" fontId="99" fillId="0" borderId="0">
      <alignment horizontal="centerContinuous"/>
    </xf>
    <xf numFmtId="0" fontId="72" fillId="14" borderId="8" applyNumberFormat="0" applyFont="0" applyFill="0" applyAlignment="0" applyProtection="0">
      <protection locked="0"/>
    </xf>
    <xf numFmtId="0" fontId="234" fillId="0" borderId="0" applyFill="0" applyBorder="0" applyProtection="0">
      <alignment horizontal="center" vertical="center"/>
    </xf>
    <xf numFmtId="0" fontId="32" fillId="0" borderId="0"/>
    <xf numFmtId="0" fontId="72" fillId="14" borderId="57" applyNumberFormat="0" applyFont="0" applyFill="0" applyAlignment="0" applyProtection="0">
      <protection locked="0"/>
    </xf>
    <xf numFmtId="38" fontId="235" fillId="0" borderId="0" applyNumberFormat="0" applyBorder="0">
      <alignment horizontal="left"/>
    </xf>
    <xf numFmtId="0" fontId="236" fillId="0" borderId="0" applyFill="0" applyBorder="0" applyProtection="0">
      <alignment vertical="top"/>
    </xf>
    <xf numFmtId="0" fontId="237" fillId="0" borderId="0" applyFill="0" applyBorder="0" applyProtection="0">
      <alignment vertical="center"/>
    </xf>
    <xf numFmtId="0" fontId="59" fillId="0" borderId="0" applyFill="0" applyBorder="0" applyProtection="0"/>
    <xf numFmtId="0" fontId="238" fillId="0" borderId="0">
      <alignment horizontal="centerContinuous"/>
    </xf>
    <xf numFmtId="1" fontId="6" fillId="0" borderId="0"/>
    <xf numFmtId="0" fontId="4" fillId="0" borderId="0"/>
    <xf numFmtId="227" fontId="6" fillId="57" borderId="0" applyNumberFormat="0" applyFont="0" applyBorder="0" applyAlignment="0" applyProtection="0"/>
    <xf numFmtId="0" fontId="6" fillId="0" borderId="0" applyBorder="0" applyProtection="0"/>
    <xf numFmtId="228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6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0" fontId="6" fillId="0" borderId="0"/>
    <xf numFmtId="0" fontId="239" fillId="0" borderId="0" applyNumberFormat="0" applyFill="0" applyBorder="0" applyProtection="0"/>
    <xf numFmtId="0" fontId="240" fillId="0" borderId="0" applyFill="0" applyBorder="0" applyProtection="0"/>
    <xf numFmtId="0" fontId="6" fillId="0" borderId="0"/>
    <xf numFmtId="0" fontId="240" fillId="0" borderId="0" applyNumberFormat="0" applyFill="0" applyBorder="0" applyProtection="0"/>
    <xf numFmtId="0" fontId="239" fillId="0" borderId="0" applyNumberFormat="0" applyFill="0" applyBorder="0" applyProtection="0"/>
    <xf numFmtId="0" fontId="239" fillId="0" borderId="0"/>
    <xf numFmtId="49" fontId="14" fillId="0" borderId="0" applyFill="0" applyBorder="0" applyAlignment="0"/>
    <xf numFmtId="308" fontId="4" fillId="0" borderId="0" applyFill="0" applyBorder="0" applyAlignment="0"/>
    <xf numFmtId="208" fontId="4" fillId="0" borderId="0" applyFill="0" applyBorder="0" applyAlignment="0"/>
    <xf numFmtId="0" fontId="34" fillId="0" borderId="0" applyNumberFormat="0" applyFont="0" applyFill="0" applyBorder="0" applyProtection="0">
      <alignment horizontal="left" vertical="top" wrapText="1"/>
    </xf>
    <xf numFmtId="0" fontId="24" fillId="0" borderId="0" applyNumberFormat="0" applyFill="0" applyBorder="0" applyAlignment="0" applyProtection="0"/>
    <xf numFmtId="311" fontId="6" fillId="0" borderId="0" applyFill="0" applyBorder="0" applyAlignment="0" applyProtection="0">
      <alignment horizontal="right"/>
    </xf>
    <xf numFmtId="306" fontId="6" fillId="0" borderId="0" applyFont="0" applyFill="0" applyBorder="0" applyAlignment="0" applyProtection="0"/>
    <xf numFmtId="208" fontId="4" fillId="0" borderId="0" applyBorder="0" applyProtection="0">
      <alignment horizontal="right"/>
    </xf>
    <xf numFmtId="0" fontId="241" fillId="32" borderId="15" applyProtection="0">
      <alignment horizontal="center"/>
      <protection locked="0"/>
    </xf>
    <xf numFmtId="20" fontId="6" fillId="0" borderId="0" applyFont="0" applyFill="0" applyBorder="0" applyAlignment="0" applyProtection="0"/>
    <xf numFmtId="1" fontId="68" fillId="0" borderId="2" applyFill="0" applyBorder="0" applyProtection="0">
      <alignment horizontal="right"/>
    </xf>
    <xf numFmtId="18" fontId="72" fillId="14" borderId="0" applyFont="0" applyFill="0" applyBorder="0" applyAlignment="0" applyProtection="0">
      <protection locked="0"/>
    </xf>
    <xf numFmtId="313" fontId="6" fillId="0" borderId="0"/>
    <xf numFmtId="189" fontId="4" fillId="0" borderId="0" applyFont="0" applyFill="0" applyBorder="0" applyAlignment="0" applyProtection="0"/>
    <xf numFmtId="257" fontId="4" fillId="0" borderId="8"/>
    <xf numFmtId="257" fontId="4" fillId="0" borderId="0"/>
    <xf numFmtId="190" fontId="4" fillId="0" borderId="0" applyFont="0" applyFill="0" applyBorder="0" applyAlignment="0" applyProtection="0"/>
    <xf numFmtId="256" fontId="4" fillId="0" borderId="8"/>
    <xf numFmtId="256" fontId="4" fillId="0" borderId="0"/>
    <xf numFmtId="230" fontId="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0" fontId="94" fillId="0" borderId="0"/>
    <xf numFmtId="278" fontId="6" fillId="0" borderId="0" applyFont="0" applyFill="0" applyBorder="0" applyAlignment="0" applyProtection="0"/>
    <xf numFmtId="0" fontId="242" fillId="0" borderId="0"/>
    <xf numFmtId="0" fontId="99" fillId="38" borderId="21" applyNumberFormat="0" applyBorder="0" applyProtection="0">
      <alignment horizontal="left" vertical="center"/>
    </xf>
    <xf numFmtId="0" fontId="68" fillId="0" borderId="0" applyFill="0" applyBorder="0" applyProtection="0"/>
    <xf numFmtId="0" fontId="243" fillId="12" borderId="0" applyNumberFormat="0" applyBorder="0" applyAlignment="0">
      <alignment vertical="center"/>
    </xf>
    <xf numFmtId="0" fontId="243" fillId="58" borderId="0" applyNumberFormat="0" applyBorder="0">
      <alignment vertical="center"/>
    </xf>
    <xf numFmtId="0" fontId="181" fillId="0" borderId="0" applyNumberFormat="0" applyFill="0" applyBorder="0" applyAlignment="0" applyProtection="0"/>
    <xf numFmtId="297" fontId="69" fillId="0" borderId="0" applyFill="0" applyBorder="0" applyAlignment="0" applyProtection="0"/>
    <xf numFmtId="257" fontId="244" fillId="34" borderId="0" applyBorder="0" applyAlignment="0" applyProtection="0">
      <alignment horizontal="left"/>
    </xf>
    <xf numFmtId="0" fontId="245" fillId="0" borderId="10" applyProtection="0"/>
    <xf numFmtId="1" fontId="35" fillId="59" borderId="0" applyNumberFormat="0" applyFont="0" applyBorder="0" applyProtection="0">
      <alignment horizontal="left"/>
    </xf>
    <xf numFmtId="0" fontId="2" fillId="0" borderId="0"/>
    <xf numFmtId="0" fontId="246" fillId="0" borderId="0" applyNumberFormat="0" applyFont="0" applyFill="0" applyBorder="0" applyAlignment="0">
      <alignment horizontal="left" vertical="center"/>
    </xf>
    <xf numFmtId="0" fontId="179" fillId="0" borderId="0" applyFill="0" applyBorder="0" applyAlignment="0" applyProtection="0"/>
    <xf numFmtId="227" fontId="4" fillId="0" borderId="0" applyFont="0" applyFill="0" applyBorder="0">
      <alignment horizontal="left"/>
    </xf>
    <xf numFmtId="172" fontId="6" fillId="0" borderId="8" applyNumberFormat="0" applyFont="0" applyFill="0" applyAlignment="0"/>
    <xf numFmtId="317" fontId="6" fillId="0" borderId="58" applyAlignment="0">
      <alignment horizontal="right"/>
    </xf>
    <xf numFmtId="227" fontId="102" fillId="0" borderId="58" applyAlignment="0"/>
    <xf numFmtId="320" fontId="6" fillId="0" borderId="58" applyAlignment="0"/>
    <xf numFmtId="0" fontId="102" fillId="0" borderId="58" applyAlignment="0">
      <alignment horizontal="right"/>
    </xf>
    <xf numFmtId="307" fontId="6" fillId="0" borderId="0" applyFont="0" applyFill="0" applyBorder="0" applyAlignment="0" applyProtection="0"/>
    <xf numFmtId="248" fontId="38" fillId="0" borderId="16"/>
    <xf numFmtId="184" fontId="38" fillId="0" borderId="16"/>
    <xf numFmtId="170" fontId="38" fillId="0" borderId="16"/>
    <xf numFmtId="319" fontId="6" fillId="0" borderId="0" applyFont="0" applyFill="0" applyBorder="0" applyAlignment="0" applyProtection="0"/>
    <xf numFmtId="180" fontId="38" fillId="0" borderId="10" applyNumberFormat="0" applyFont="0" applyFill="0" applyAlignment="0" applyProtection="0"/>
    <xf numFmtId="280" fontId="247" fillId="0" borderId="0">
      <alignment horizontal="left"/>
      <protection locked="0"/>
    </xf>
    <xf numFmtId="0" fontId="45" fillId="0" borderId="0"/>
    <xf numFmtId="0" fontId="148" fillId="14" borderId="10" applyNumberFormat="0" applyFont="0" applyFill="0" applyAlignment="0" applyProtection="0"/>
    <xf numFmtId="0" fontId="35" fillId="0" borderId="8" applyProtection="0">
      <alignment vertical="top"/>
    </xf>
    <xf numFmtId="0" fontId="248" fillId="0" borderId="0"/>
    <xf numFmtId="37" fontId="4" fillId="2" borderId="0" applyNumberFormat="0" applyBorder="0" applyAlignment="0" applyProtection="0"/>
    <xf numFmtId="37" fontId="4" fillId="0" borderId="0"/>
    <xf numFmtId="3" fontId="149" fillId="0" borderId="59" applyProtection="0"/>
    <xf numFmtId="0" fontId="249" fillId="0" borderId="0"/>
    <xf numFmtId="171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169" fontId="180" fillId="0" borderId="0" applyFont="0" applyFill="0" applyBorder="0" applyAlignment="0" applyProtection="0"/>
    <xf numFmtId="0" fontId="56" fillId="0" borderId="0" applyFont="0" applyAlignment="0"/>
    <xf numFmtId="315" fontId="6" fillId="0" borderId="0" applyFont="0" applyFill="0" applyBorder="0" applyAlignment="0" applyProtection="0"/>
    <xf numFmtId="168" fontId="4" fillId="0" borderId="0" applyFont="0" applyFill="0" applyBorder="0" applyAlignment="0" applyProtection="0"/>
    <xf numFmtId="227" fontId="78" fillId="0" borderId="0" applyNumberFormat="0" applyFill="0" applyBorder="0" applyAlignment="0" applyProtection="0"/>
    <xf numFmtId="1" fontId="32" fillId="0" borderId="0" applyFont="0" applyFill="0" applyBorder="0" applyAlignment="0" applyProtection="0"/>
    <xf numFmtId="0" fontId="35" fillId="38" borderId="0" applyNumberFormat="0" applyBorder="0" applyProtection="0">
      <alignment horizontal="left"/>
    </xf>
    <xf numFmtId="40" fontId="24" fillId="0" borderId="0">
      <alignment horizontal="left" wrapText="1"/>
    </xf>
    <xf numFmtId="191" fontId="6" fillId="0" borderId="0"/>
    <xf numFmtId="204" fontId="35" fillId="0" borderId="0"/>
    <xf numFmtId="271" fontId="35" fillId="0" borderId="0"/>
    <xf numFmtId="0" fontId="6" fillId="0" borderId="10" applyBorder="0" applyProtection="0">
      <alignment horizontal="right"/>
    </xf>
    <xf numFmtId="291" fontId="27" fillId="0" borderId="0" applyFont="0" applyFill="0" applyBorder="0" applyAlignment="0"/>
    <xf numFmtId="227" fontId="27" fillId="0" borderId="0" applyFont="0" applyFill="0" applyBorder="0" applyAlignment="0"/>
    <xf numFmtId="0" fontId="148" fillId="0" borderId="0">
      <alignment horizontal="right"/>
    </xf>
    <xf numFmtId="227" fontId="4" fillId="0" borderId="0"/>
    <xf numFmtId="227" fontId="149" fillId="3" borderId="0"/>
    <xf numFmtId="0" fontId="6" fillId="0" borderId="0" applyFont="0" applyFill="0" applyBorder="0" applyAlignment="0" applyProtection="0"/>
    <xf numFmtId="0" fontId="6" fillId="0" borderId="0"/>
    <xf numFmtId="172" fontId="3" fillId="3" borderId="18"/>
    <xf numFmtId="172" fontId="8" fillId="3" borderId="23"/>
    <xf numFmtId="202" fontId="6" fillId="0" borderId="0" applyFont="0" applyFill="0" applyBorder="0" applyAlignment="0" applyProtection="0"/>
    <xf numFmtId="273" fontId="6" fillId="0" borderId="0" applyFont="0" applyFill="0" applyBorder="0" applyAlignment="0" applyProtection="0"/>
    <xf numFmtId="178" fontId="253" fillId="0" borderId="0" applyFont="0" applyFill="0" applyBorder="0" applyAlignment="0" applyProtection="0"/>
    <xf numFmtId="173" fontId="253" fillId="0" borderId="0" applyFont="0" applyFill="0" applyBorder="0" applyAlignment="0" applyProtection="0"/>
    <xf numFmtId="172" fontId="6" fillId="0" borderId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72" fontId="254" fillId="35" borderId="0"/>
    <xf numFmtId="172" fontId="3" fillId="3" borderId="18"/>
    <xf numFmtId="0" fontId="6" fillId="0" borderId="0" applyFill="0" applyBorder="0" applyProtection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2" fontId="3" fillId="3" borderId="18"/>
    <xf numFmtId="172" fontId="3" fillId="3" borderId="18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2" fontId="3" fillId="3" borderId="18"/>
    <xf numFmtId="170" fontId="6" fillId="0" borderId="0" applyFont="0" applyFill="0" applyBorder="0" applyAlignment="0" applyProtection="0"/>
    <xf numFmtId="172" fontId="3" fillId="3" borderId="18"/>
    <xf numFmtId="172" fontId="3" fillId="3" borderId="18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72" fontId="3" fillId="3" borderId="18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2" fontId="3" fillId="3" borderId="18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2" fontId="3" fillId="3" borderId="18"/>
    <xf numFmtId="172" fontId="3" fillId="3" borderId="18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2" fontId="3" fillId="3" borderId="18"/>
    <xf numFmtId="172" fontId="3" fillId="3" borderId="18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2" fillId="0" borderId="0">
      <alignment horizontal="center" wrapText="1"/>
      <protection locked="0"/>
    </xf>
    <xf numFmtId="0" fontId="6" fillId="0" borderId="0" applyFont="0" applyFill="0" applyBorder="0" applyAlignment="0" applyProtection="0"/>
    <xf numFmtId="172" fontId="109" fillId="31" borderId="0"/>
    <xf numFmtId="14" fontId="32" fillId="0" borderId="0">
      <alignment horizontal="center" wrapText="1"/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6" fontId="4" fillId="0" borderId="0" applyFont="0" applyFill="0" applyBorder="0" applyAlignment="0" applyProtection="0"/>
    <xf numFmtId="0" fontId="32" fillId="14" borderId="0"/>
    <xf numFmtId="0" fontId="34" fillId="0" borderId="0" applyFont="0" applyFill="0" applyBorder="0" applyAlignment="0" applyProtection="0"/>
    <xf numFmtId="0" fontId="26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8" fillId="0" borderId="0" applyNumberFormat="0" applyFill="0" applyBorder="0" applyAlignment="0" applyProtection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 applyNumberFormat="0" applyFill="0" applyBorder="0" applyProtection="0">
      <alignment vertical="top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36" fillId="0" borderId="0" applyNumberFormat="0" applyFont="0" applyFill="0" applyBorder="0" applyAlignment="0" applyProtection="0"/>
    <xf numFmtId="0" fontId="267" fillId="0" borderId="0"/>
    <xf numFmtId="0" fontId="267" fillId="0" borderId="0"/>
    <xf numFmtId="0" fontId="269" fillId="0" borderId="0" applyFont="0" applyFill="0" applyBorder="0" applyAlignment="0" applyProtection="0"/>
    <xf numFmtId="0" fontId="269" fillId="0" borderId="0" applyFont="0" applyFill="0" applyBorder="0" applyAlignment="0" applyProtection="0"/>
    <xf numFmtId="220" fontId="270" fillId="0" borderId="62">
      <alignment horizontal="left" vertical="center"/>
    </xf>
    <xf numFmtId="220" fontId="270" fillId="0" borderId="62">
      <alignment horizontal="left" vertical="center"/>
    </xf>
    <xf numFmtId="220" fontId="270" fillId="0" borderId="62">
      <alignment horizontal="left" vertical="center"/>
    </xf>
    <xf numFmtId="220" fontId="270" fillId="0" borderId="62">
      <alignment horizontal="left" vertical="center"/>
    </xf>
    <xf numFmtId="220" fontId="270" fillId="0" borderId="62">
      <alignment horizontal="left" vertical="center"/>
    </xf>
    <xf numFmtId="220" fontId="270" fillId="0" borderId="62">
      <alignment horizontal="left" vertical="center"/>
    </xf>
    <xf numFmtId="0" fontId="8" fillId="3" borderId="23"/>
    <xf numFmtId="37" fontId="33" fillId="0" borderId="10" applyNumberFormat="0" applyFont="0" applyFill="0" applyAlignment="0" applyProtection="0"/>
    <xf numFmtId="0" fontId="60" fillId="0" borderId="0"/>
    <xf numFmtId="0" fontId="60" fillId="0" borderId="8"/>
    <xf numFmtId="0" fontId="27" fillId="0" borderId="0" applyFont="0" applyFill="0" applyBorder="0" applyAlignment="0" applyProtection="0"/>
    <xf numFmtId="0" fontId="142" fillId="0" borderId="0" applyFont="0" applyFill="0" applyBorder="0" applyAlignment="0" applyProtection="0"/>
    <xf numFmtId="0" fontId="271" fillId="0" borderId="60" applyFill="0" applyBorder="0" applyAlignment="0" applyProtection="0">
      <alignment horizontal="right"/>
    </xf>
    <xf numFmtId="0" fontId="178" fillId="0" borderId="0" applyFill="0" applyBorder="0" applyProtection="0"/>
    <xf numFmtId="0" fontId="164" fillId="0" borderId="0" applyNumberFormat="0" applyFill="0" applyBorder="0" applyAlignment="0"/>
    <xf numFmtId="16" fontId="14" fillId="0" borderId="0" applyFont="0" applyFill="0" applyBorder="0" applyAlignment="0" applyProtection="0"/>
    <xf numFmtId="15" fontId="14" fillId="0" borderId="0" applyFont="0" applyFill="0" applyBorder="0" applyAlignment="0" applyProtection="0"/>
    <xf numFmtId="17" fontId="14" fillId="0" borderId="0" applyFont="0" applyFill="0" applyBorder="0" applyAlignment="0" applyProtection="0"/>
    <xf numFmtId="0" fontId="272" fillId="0" borderId="0" applyFill="0" applyBorder="0" applyProtection="0"/>
    <xf numFmtId="14" fontId="272" fillId="0" borderId="0" applyFill="0" applyBorder="0" applyProtection="0"/>
    <xf numFmtId="14" fontId="273" fillId="0" borderId="0">
      <alignment horizontal="right"/>
      <protection locked="0"/>
    </xf>
    <xf numFmtId="0" fontId="274" fillId="0" borderId="0">
      <protection locked="0"/>
    </xf>
    <xf numFmtId="0" fontId="275" fillId="0" borderId="0"/>
    <xf numFmtId="0" fontId="4" fillId="0" borderId="0"/>
    <xf numFmtId="39" fontId="276" fillId="0" borderId="0" applyFont="0" applyFill="0" applyBorder="0" applyAlignment="0" applyProtection="0"/>
    <xf numFmtId="170" fontId="6" fillId="0" borderId="0" applyFont="0" applyFill="0" applyBorder="0" applyAlignment="0" applyProtection="0"/>
    <xf numFmtId="15" fontId="44" fillId="66" borderId="0" applyNumberFormat="0" applyFont="0" applyBorder="0" applyAlignment="0" applyProtection="0"/>
    <xf numFmtId="0" fontId="32" fillId="0" borderId="0"/>
    <xf numFmtId="0" fontId="106" fillId="0" borderId="0">
      <protection locked="0"/>
    </xf>
    <xf numFmtId="0" fontId="32" fillId="0" borderId="0"/>
    <xf numFmtId="0" fontId="35" fillId="0" borderId="0"/>
    <xf numFmtId="49" fontId="277" fillId="0" borderId="0" applyNumberFormat="0" applyFill="0" applyBorder="0" applyProtection="0">
      <alignment horizontal="center" vertical="top"/>
    </xf>
    <xf numFmtId="0" fontId="278" fillId="0" borderId="0">
      <alignment horizontal="left"/>
    </xf>
    <xf numFmtId="220" fontId="270" fillId="0" borderId="62">
      <alignment horizontal="left"/>
    </xf>
    <xf numFmtId="0" fontId="279" fillId="0" borderId="0">
      <alignment vertical="center"/>
    </xf>
    <xf numFmtId="0" fontId="279" fillId="0" borderId="0">
      <alignment horizontal="left" vertical="center"/>
    </xf>
    <xf numFmtId="0" fontId="280" fillId="0" borderId="0">
      <alignment vertical="center"/>
    </xf>
    <xf numFmtId="0" fontId="281" fillId="0" borderId="0">
      <alignment vertical="center"/>
    </xf>
    <xf numFmtId="220" fontId="270" fillId="0" borderId="62">
      <alignment horizontal="left"/>
    </xf>
    <xf numFmtId="220" fontId="277" fillId="0" borderId="0">
      <alignment horizontal="center"/>
    </xf>
    <xf numFmtId="220" fontId="282" fillId="0" borderId="62">
      <alignment horizontal="center"/>
    </xf>
    <xf numFmtId="220" fontId="5" fillId="0" borderId="0"/>
    <xf numFmtId="220" fontId="283" fillId="0" borderId="0"/>
    <xf numFmtId="220" fontId="6" fillId="0" borderId="0"/>
    <xf numFmtId="220" fontId="284" fillId="0" borderId="0">
      <alignment horizontal="left" vertical="top"/>
    </xf>
    <xf numFmtId="0" fontId="285" fillId="0" borderId="0">
      <alignment horizontal="left" vertical="top" wrapText="1"/>
    </xf>
    <xf numFmtId="0" fontId="286" fillId="0" borderId="0">
      <alignment horizontal="left" vertical="top" wrapText="1"/>
    </xf>
    <xf numFmtId="0" fontId="287" fillId="0" borderId="0">
      <alignment horizontal="left" vertical="top" wrapText="1"/>
    </xf>
    <xf numFmtId="0" fontId="274" fillId="0" borderId="0">
      <protection locked="0"/>
    </xf>
    <xf numFmtId="177" fontId="178" fillId="0" borderId="0" applyFill="0" applyBorder="0" applyProtection="0"/>
    <xf numFmtId="227" fontId="4" fillId="14" borderId="15" applyFont="0" applyBorder="0" applyAlignment="0" applyProtection="0">
      <alignment vertical="top"/>
    </xf>
    <xf numFmtId="0" fontId="288" fillId="0" borderId="63" applyFont="0" applyBorder="0"/>
    <xf numFmtId="37" fontId="289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left"/>
    </xf>
    <xf numFmtId="37" fontId="289" fillId="0" borderId="0" applyNumberFormat="0" applyFill="0" applyBorder="0" applyAlignment="0">
      <alignment horizontal="left"/>
    </xf>
    <xf numFmtId="37" fontId="291" fillId="0" borderId="0" applyNumberFormat="0" applyFill="0" applyBorder="0" applyAlignment="0">
      <alignment horizontal="left" vertical="top"/>
    </xf>
    <xf numFmtId="0" fontId="2" fillId="0" borderId="0" applyBorder="0">
      <alignment horizontal="left"/>
    </xf>
    <xf numFmtId="0" fontId="292" fillId="32" borderId="0" applyNumberFormat="0" applyFont="0" applyAlignment="0"/>
    <xf numFmtId="0" fontId="293" fillId="34" borderId="0"/>
    <xf numFmtId="0" fontId="277" fillId="0" borderId="0"/>
    <xf numFmtId="9" fontId="294" fillId="0" borderId="0" applyFont="0" applyFill="0" applyBorder="0" applyAlignment="0" applyProtection="0"/>
    <xf numFmtId="0" fontId="295" fillId="0" borderId="0">
      <alignment vertical="center"/>
    </xf>
    <xf numFmtId="0" fontId="27" fillId="0" borderId="0"/>
    <xf numFmtId="172" fontId="6" fillId="0" borderId="0" applyFont="0" applyFill="0" applyBorder="0" applyAlignment="0" applyProtection="0"/>
    <xf numFmtId="196" fontId="60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331" fontId="35" fillId="0" borderId="0" applyFont="0" applyFill="0" applyBorder="0" applyAlignment="0" applyProtection="0"/>
    <xf numFmtId="332" fontId="60" fillId="0" borderId="0" applyFont="0" applyFill="0" applyBorder="0" applyAlignment="0" applyProtection="0"/>
    <xf numFmtId="332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 applyFont="0" applyFill="0" applyBorder="0" applyAlignment="0" applyProtection="0"/>
    <xf numFmtId="333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33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197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4" fontId="60" fillId="0" borderId="0" applyFont="0" applyFill="0" applyBorder="0" applyAlignment="0" applyProtection="0"/>
    <xf numFmtId="334" fontId="6" fillId="0" borderId="0" applyFont="0" applyFill="0" applyBorder="0" applyAlignment="0" applyProtection="0"/>
    <xf numFmtId="334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4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4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36" fontId="45" fillId="0" borderId="0"/>
    <xf numFmtId="336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36" fontId="45" fillId="0" borderId="0"/>
    <xf numFmtId="336" fontId="45" fillId="0" borderId="0"/>
    <xf numFmtId="0" fontId="60" fillId="0" borderId="0"/>
    <xf numFmtId="0" fontId="6" fillId="0" borderId="0"/>
    <xf numFmtId="337" fontId="6" fillId="0" borderId="0" applyFont="0" applyFill="0" applyBorder="0" applyAlignment="0" applyProtection="0"/>
    <xf numFmtId="338" fontId="6" fillId="0" borderId="0" applyFont="0" applyFill="0" applyBorder="0" applyAlignment="0" applyProtection="0"/>
    <xf numFmtId="337" fontId="6" fillId="0" borderId="0" applyFont="0" applyFill="0" applyBorder="0" applyAlignment="0" applyProtection="0"/>
    <xf numFmtId="338" fontId="6" fillId="0" borderId="0" applyFont="0" applyFill="0" applyBorder="0" applyAlignment="0" applyProtection="0"/>
    <xf numFmtId="338" fontId="6" fillId="0" borderId="0" applyFont="0" applyFill="0" applyBorder="0" applyAlignment="0" applyProtection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61" fontId="48" fillId="0" borderId="0" applyNumberFormat="0" applyFill="0" applyBorder="0" applyAlignment="0" applyProtection="0"/>
    <xf numFmtId="261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61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8" fontId="5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39" fontId="35" fillId="0" borderId="0" applyFont="0" applyFill="0" applyBorder="0" applyAlignment="0" applyProtection="0"/>
    <xf numFmtId="207" fontId="60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29" fontId="5" fillId="0" borderId="0" applyFont="0" applyFill="0" applyBorder="0" applyAlignment="0" applyProtection="0"/>
    <xf numFmtId="340" fontId="35" fillId="0" borderId="0" applyFont="0" applyFill="0" applyBorder="0" applyAlignment="0" applyProtection="0"/>
    <xf numFmtId="341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206" fontId="6" fillId="0" borderId="0" applyFont="0" applyFill="0" applyBorder="0" applyAlignment="0" applyProtection="0"/>
    <xf numFmtId="343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11" fontId="60" fillId="0" borderId="0" applyFont="0" applyFill="0" applyBorder="0" applyProtection="0">
      <alignment horizontal="right"/>
    </xf>
    <xf numFmtId="211" fontId="6" fillId="0" borderId="0" applyFont="0" applyFill="0" applyBorder="0" applyProtection="0">
      <alignment horizontal="right"/>
    </xf>
    <xf numFmtId="211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182" fontId="5" fillId="0" borderId="0" applyFont="0" applyFill="0" applyBorder="0" applyAlignment="0" applyProtection="0"/>
    <xf numFmtId="344" fontId="35" fillId="0" borderId="0" applyFont="0" applyFill="0" applyBorder="0" applyAlignment="0" applyProtection="0"/>
    <xf numFmtId="345" fontId="35" fillId="0" borderId="0" applyFont="0" applyFill="0" applyBorder="0" applyAlignment="0" applyProtection="0"/>
    <xf numFmtId="346" fontId="35" fillId="0" borderId="0" applyFont="0" applyFill="0" applyBorder="0" applyAlignment="0" applyProtection="0"/>
    <xf numFmtId="346" fontId="35" fillId="0" borderId="0" applyFont="0" applyFill="0" applyBorder="0" applyAlignment="0" applyProtection="0"/>
    <xf numFmtId="21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47" fontId="35" fillId="0" borderId="0" applyFont="0" applyFill="0" applyBorder="0" applyAlignment="0" applyProtection="0"/>
    <xf numFmtId="348" fontId="35" fillId="0" borderId="0" applyFont="0" applyFill="0" applyBorder="0" applyAlignment="0" applyProtection="0"/>
    <xf numFmtId="349" fontId="35" fillId="0" borderId="0" applyFont="0" applyFill="0" applyBorder="0" applyAlignment="0" applyProtection="0"/>
    <xf numFmtId="349" fontId="35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18" fontId="5" fillId="0" borderId="0" applyFont="0" applyFill="0" applyBorder="0" applyAlignment="0" applyProtection="0"/>
    <xf numFmtId="350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51" fontId="35" fillId="0" borderId="0" applyFont="0" applyFill="0" applyBorder="0" applyAlignment="0" applyProtection="0"/>
    <xf numFmtId="248" fontId="35" fillId="0" borderId="0" applyFont="0" applyFill="0" applyBorder="0" applyAlignment="0" applyProtection="0"/>
    <xf numFmtId="248" fontId="35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61" fontId="49" fillId="0" borderId="0" applyNumberFormat="0" applyFill="0" applyBorder="0" applyProtection="0">
      <alignment vertical="top"/>
    </xf>
    <xf numFmtId="261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61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68" applyNumberFormat="0" applyFill="0" applyAlignment="0" applyProtection="0"/>
    <xf numFmtId="0" fontId="50" fillId="0" borderId="68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261" fontId="50" fillId="0" borderId="26" applyNumberFormat="0" applyFill="0" applyAlignment="0" applyProtection="0"/>
    <xf numFmtId="0" fontId="50" fillId="0" borderId="68" applyNumberFormat="0" applyFill="0" applyAlignment="0" applyProtection="0"/>
    <xf numFmtId="261" fontId="50" fillId="0" borderId="26" applyNumberFormat="0" applyFill="0" applyAlignment="0" applyProtection="0"/>
    <xf numFmtId="0" fontId="50" fillId="0" borderId="68" applyNumberFormat="0" applyFill="0" applyAlignment="0" applyProtection="0"/>
    <xf numFmtId="0" fontId="50" fillId="0" borderId="68" applyNumberFormat="0" applyFill="0" applyAlignment="0" applyProtection="0"/>
    <xf numFmtId="0" fontId="50" fillId="0" borderId="68" applyNumberFormat="0" applyFill="0" applyAlignment="0" applyProtection="0"/>
    <xf numFmtId="0" fontId="50" fillId="0" borderId="68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68" applyNumberFormat="0" applyFill="0" applyAlignment="0" applyProtection="0"/>
    <xf numFmtId="0" fontId="50" fillId="0" borderId="68" applyNumberFormat="0" applyFill="0" applyAlignment="0" applyProtection="0"/>
    <xf numFmtId="0" fontId="50" fillId="0" borderId="68" applyNumberFormat="0" applyFill="0" applyAlignment="0" applyProtection="0"/>
    <xf numFmtId="0" fontId="50" fillId="0" borderId="68" applyNumberFormat="0" applyFill="0" applyAlignment="0" applyProtection="0"/>
    <xf numFmtId="0" fontId="50" fillId="0" borderId="26" applyNumberFormat="0" applyFill="0" applyAlignment="0" applyProtection="0"/>
    <xf numFmtId="0" fontId="50" fillId="0" borderId="68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68" applyNumberFormat="0" applyFill="0" applyAlignment="0" applyProtection="0"/>
    <xf numFmtId="0" fontId="50" fillId="0" borderId="68" applyNumberFormat="0" applyFill="0" applyAlignment="0" applyProtection="0"/>
    <xf numFmtId="0" fontId="50" fillId="0" borderId="26" applyNumberFormat="0" applyFill="0" applyAlignment="0" applyProtection="0"/>
    <xf numFmtId="0" fontId="50" fillId="0" borderId="68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68" applyNumberFormat="0" applyFill="0" applyAlignment="0" applyProtection="0"/>
    <xf numFmtId="0" fontId="50" fillId="0" borderId="68" applyNumberFormat="0" applyFill="0" applyAlignment="0" applyProtection="0"/>
    <xf numFmtId="261" fontId="50" fillId="0" borderId="26" applyNumberFormat="0" applyFill="0" applyAlignment="0" applyProtection="0"/>
    <xf numFmtId="0" fontId="50" fillId="0" borderId="26" applyNumberFormat="0" applyFill="0" applyAlignment="0" applyProtection="0"/>
    <xf numFmtId="172" fontId="50" fillId="0" borderId="68" applyNumberFormat="0" applyFill="0" applyAlignment="0" applyProtection="0"/>
    <xf numFmtId="172" fontId="50" fillId="0" borderId="68" applyNumberFormat="0" applyFill="0" applyAlignment="0" applyProtection="0"/>
    <xf numFmtId="0" fontId="50" fillId="0" borderId="26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261" fontId="51" fillId="0" borderId="27" applyNumberFormat="0" applyFill="0" applyProtection="0">
      <alignment horizontal="center"/>
    </xf>
    <xf numFmtId="261" fontId="51" fillId="0" borderId="27" applyNumberFormat="0" applyFill="0" applyProtection="0">
      <alignment horizontal="center"/>
    </xf>
    <xf numFmtId="261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51" fillId="0" borderId="27" applyNumberFormat="0" applyFill="0" applyProtection="0">
      <alignment horizontal="center"/>
    </xf>
    <xf numFmtId="0" fontId="6" fillId="0" borderId="28" applyNumberFormat="0" applyFont="0" applyFill="0" applyAlignment="0" applyProtection="0"/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261" fontId="51" fillId="0" borderId="0" applyNumberFormat="0" applyFill="0" applyBorder="0" applyProtection="0">
      <alignment horizontal="left"/>
    </xf>
    <xf numFmtId="261" fontId="51" fillId="0" borderId="0" applyNumberFormat="0" applyFill="0" applyBorder="0" applyProtection="0">
      <alignment horizontal="left"/>
    </xf>
    <xf numFmtId="261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vertical="top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261" fontId="52" fillId="0" borderId="0" applyNumberFormat="0" applyFill="0" applyBorder="0" applyProtection="0">
      <alignment horizontal="centerContinuous"/>
    </xf>
    <xf numFmtId="261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0" fillId="0" borderId="0" applyNumberFormat="0" applyFill="0" applyBorder="0" applyAlignment="0" applyProtection="0"/>
    <xf numFmtId="1" fontId="300" fillId="0" borderId="0"/>
    <xf numFmtId="0" fontId="267" fillId="0" borderId="0"/>
    <xf numFmtId="3" fontId="148" fillId="0" borderId="0"/>
    <xf numFmtId="176" fontId="45" fillId="0" borderId="0" applyBorder="0"/>
    <xf numFmtId="2" fontId="267" fillId="0" borderId="0"/>
    <xf numFmtId="39" fontId="45" fillId="0" borderId="0" applyFont="0" applyFill="0" applyBorder="0" applyAlignment="0" applyProtection="0"/>
    <xf numFmtId="0" fontId="301" fillId="81" borderId="0" applyNumberFormat="0" applyBorder="0" applyAlignment="0" applyProtection="0"/>
    <xf numFmtId="0" fontId="301" fillId="81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1" fillId="82" borderId="0" applyNumberFormat="0" applyBorder="0" applyAlignment="0" applyProtection="0"/>
    <xf numFmtId="0" fontId="301" fillId="82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1" fillId="53" borderId="0" applyNumberFormat="0" applyBorder="0" applyAlignment="0" applyProtection="0"/>
    <xf numFmtId="0" fontId="301" fillId="53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1" fillId="84" borderId="0" applyNumberFormat="0" applyBorder="0" applyAlignment="0" applyProtection="0"/>
    <xf numFmtId="0" fontId="301" fillId="84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1" fillId="29" borderId="0" applyNumberFormat="0" applyBorder="0" applyAlignment="0" applyProtection="0"/>
    <xf numFmtId="0" fontId="301" fillId="29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173" fontId="45" fillId="0" borderId="0" applyFont="0" applyFill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1" fillId="86" borderId="0" applyNumberFormat="0" applyBorder="0" applyAlignment="0" applyProtection="0"/>
    <xf numFmtId="0" fontId="301" fillId="86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1" fillId="19" borderId="0" applyNumberFormat="0" applyBorder="0" applyAlignment="0" applyProtection="0"/>
    <xf numFmtId="0" fontId="301" fillId="19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1" fillId="87" borderId="0" applyNumberFormat="0" applyBorder="0" applyAlignment="0" applyProtection="0"/>
    <xf numFmtId="0" fontId="301" fillId="87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3" fillId="88" borderId="0" applyNumberFormat="0" applyBorder="0" applyAlignment="0" applyProtection="0"/>
    <xf numFmtId="0" fontId="303" fillId="88" borderId="0" applyNumberFormat="0" applyBorder="0" applyAlignment="0" applyProtection="0"/>
    <xf numFmtId="0" fontId="303" fillId="86" borderId="0" applyNumberFormat="0" applyBorder="0" applyAlignment="0" applyProtection="0"/>
    <xf numFmtId="0" fontId="303" fillId="86" borderId="0" applyNumberFormat="0" applyBorder="0" applyAlignment="0" applyProtection="0"/>
    <xf numFmtId="0" fontId="303" fillId="19" borderId="0" applyNumberFormat="0" applyBorder="0" applyAlignment="0" applyProtection="0"/>
    <xf numFmtId="0" fontId="303" fillId="19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1" borderId="0" applyNumberFormat="0" applyBorder="0" applyAlignment="0" applyProtection="0"/>
    <xf numFmtId="0" fontId="303" fillId="91" borderId="0" applyNumberFormat="0" applyBorder="0" applyAlignment="0" applyProtection="0"/>
    <xf numFmtId="0" fontId="303" fillId="54" borderId="0" applyNumberFormat="0" applyBorder="0" applyAlignment="0" applyProtection="0"/>
    <xf numFmtId="0" fontId="303" fillId="54" borderId="0" applyNumberFormat="0" applyBorder="0" applyAlignment="0" applyProtection="0"/>
    <xf numFmtId="0" fontId="303" fillId="18" borderId="0" applyNumberFormat="0" applyBorder="0" applyAlignment="0" applyProtection="0"/>
    <xf numFmtId="0" fontId="303" fillId="18" borderId="0" applyNumberFormat="0" applyBorder="0" applyAlignment="0" applyProtection="0"/>
    <xf numFmtId="0" fontId="303" fillId="92" borderId="0" applyNumberFormat="0" applyBorder="0" applyAlignment="0" applyProtection="0"/>
    <xf numFmtId="0" fontId="303" fillId="92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3" borderId="0" applyNumberFormat="0" applyBorder="0" applyAlignment="0" applyProtection="0"/>
    <xf numFmtId="0" fontId="303" fillId="93" borderId="0" applyNumberFormat="0" applyBorder="0" applyAlignment="0" applyProtection="0"/>
    <xf numFmtId="248" fontId="6" fillId="0" borderId="0" applyFont="0" applyFill="0" applyBorder="0" applyProtection="0"/>
    <xf numFmtId="352" fontId="60" fillId="0" borderId="0" applyFont="0" applyFill="0" applyBorder="0" applyAlignment="0">
      <alignment vertical="center"/>
    </xf>
    <xf numFmtId="181" fontId="304" fillId="94" borderId="0" applyNumberFormat="0" applyFont="0" applyBorder="0" applyAlignment="0">
      <alignment horizontal="right"/>
    </xf>
    <xf numFmtId="353" fontId="88" fillId="94" borderId="2" applyFont="0">
      <alignment horizontal="right"/>
    </xf>
    <xf numFmtId="0" fontId="4" fillId="0" borderId="0" applyNumberFormat="0" applyFill="0" applyBorder="0" applyAlignment="0" applyProtection="0"/>
    <xf numFmtId="354" fontId="6" fillId="0" borderId="0"/>
    <xf numFmtId="0" fontId="6" fillId="0" borderId="0" applyNumberFormat="0" applyFont="0" applyBorder="0" applyAlignment="0"/>
    <xf numFmtId="0" fontId="305" fillId="0" borderId="30" applyNumberFormat="0" applyFill="0" applyBorder="0" applyAlignment="0" applyProtection="0"/>
    <xf numFmtId="0" fontId="24" fillId="0" borderId="30" applyNumberFormat="0" applyFill="0" applyBorder="0" applyAlignment="0" applyProtection="0"/>
    <xf numFmtId="0" fontId="153" fillId="0" borderId="30" applyNumberFormat="0" applyFill="0" applyBorder="0" applyAlignment="0" applyProtection="0"/>
    <xf numFmtId="0" fontId="306" fillId="0" borderId="0" applyNumberFormat="0" applyFill="0" applyBorder="0" applyAlignment="0" applyProtection="0"/>
    <xf numFmtId="0" fontId="307" fillId="71" borderId="0" applyBorder="0" applyProtection="0">
      <alignment vertical="center"/>
    </xf>
    <xf numFmtId="0" fontId="308" fillId="82" borderId="0" applyNumberFormat="0" applyBorder="0" applyAlignment="0" applyProtection="0"/>
    <xf numFmtId="0" fontId="308" fillId="82" borderId="0" applyNumberFormat="0" applyBorder="0" applyAlignment="0" applyProtection="0"/>
    <xf numFmtId="0" fontId="1" fillId="35" borderId="69" applyNumberFormat="0" applyAlignment="0" applyProtection="0"/>
    <xf numFmtId="355" fontId="309" fillId="35" borderId="0" applyNumberFormat="0" applyBorder="0">
      <alignment horizontal="center" vertical="center"/>
    </xf>
    <xf numFmtId="0" fontId="99" fillId="48" borderId="7" applyFill="0" applyBorder="0" applyProtection="0">
      <alignment horizontal="left"/>
    </xf>
    <xf numFmtId="0" fontId="7" fillId="35" borderId="69"/>
    <xf numFmtId="0" fontId="1" fillId="35" borderId="70">
      <alignment horizontal="center"/>
    </xf>
    <xf numFmtId="165" fontId="152" fillId="0" borderId="0">
      <alignment horizontal="right"/>
      <protection locked="0"/>
    </xf>
    <xf numFmtId="0" fontId="60" fillId="0" borderId="0" applyNumberFormat="0" applyFill="0" applyBorder="0" applyAlignment="0" applyProtection="0"/>
    <xf numFmtId="251" fontId="60" fillId="0" borderId="69" applyNumberFormat="0" applyFont="0" applyFill="0" applyAlignment="0">
      <alignment vertical="center"/>
    </xf>
    <xf numFmtId="0" fontId="41" fillId="0" borderId="36">
      <alignment horizontal="right"/>
    </xf>
    <xf numFmtId="0" fontId="88" fillId="0" borderId="0"/>
    <xf numFmtId="0" fontId="88" fillId="0" borderId="0"/>
    <xf numFmtId="0" fontId="88" fillId="0" borderId="0"/>
    <xf numFmtId="0" fontId="3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4" fillId="95" borderId="0" applyNumberFormat="0" applyFont="0" applyBorder="0" applyAlignment="0" applyProtection="0"/>
    <xf numFmtId="0" fontId="311" fillId="52" borderId="71" applyNumberFormat="0" applyAlignment="0" applyProtection="0"/>
    <xf numFmtId="0" fontId="311" fillId="52" borderId="71" applyNumberFormat="0" applyAlignment="0" applyProtection="0"/>
    <xf numFmtId="0" fontId="312" fillId="96" borderId="72" applyNumberFormat="0" applyAlignment="0" applyProtection="0"/>
    <xf numFmtId="0" fontId="312" fillId="96" borderId="72" applyNumberFormat="0" applyAlignment="0" applyProtection="0"/>
    <xf numFmtId="356" fontId="6" fillId="0" borderId="0"/>
    <xf numFmtId="0" fontId="313" fillId="0" borderId="0" applyNumberFormat="0" applyFill="0" applyBorder="0" applyAlignment="0" applyProtection="0">
      <alignment vertical="top"/>
      <protection locked="0"/>
    </xf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170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170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170" fontId="6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14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15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357" fontId="45" fillId="0" borderId="0"/>
    <xf numFmtId="37" fontId="316" fillId="0" borderId="0" applyFont="0" applyFill="0" applyBorder="0" applyAlignment="0" applyProtection="0"/>
    <xf numFmtId="0" fontId="317" fillId="40" borderId="0">
      <alignment horizontal="center" vertical="center" wrapText="1"/>
    </xf>
    <xf numFmtId="3" fontId="6" fillId="13" borderId="0">
      <protection hidden="1"/>
    </xf>
    <xf numFmtId="0" fontId="6" fillId="13" borderId="0">
      <protection hidden="1"/>
    </xf>
    <xf numFmtId="0" fontId="318" fillId="13" borderId="0">
      <protection hidden="1"/>
    </xf>
    <xf numFmtId="358" fontId="38" fillId="13" borderId="0">
      <protection hidden="1"/>
    </xf>
    <xf numFmtId="298" fontId="6" fillId="0" borderId="73" applyFont="0" applyFill="0" applyBorder="0" applyAlignment="0" applyProtection="0"/>
    <xf numFmtId="218" fontId="6" fillId="0" borderId="0" applyFont="0" applyFill="0" applyBorder="0" applyAlignment="0" applyProtection="0"/>
    <xf numFmtId="359" fontId="6" fillId="0" borderId="0" applyFont="0" applyFill="0" applyBorder="0" applyAlignment="0" applyProtection="0"/>
    <xf numFmtId="16" fontId="319" fillId="0" borderId="0" applyFont="0" applyFill="0" applyBorder="0" applyAlignment="0" applyProtection="0"/>
    <xf numFmtId="15" fontId="319" fillId="0" borderId="0" applyFont="0" applyFill="0" applyBorder="0" applyAlignment="0" applyProtection="0"/>
    <xf numFmtId="17" fontId="319" fillId="0" borderId="0" applyFont="0" applyFill="0" applyBorder="0" applyAlignment="0" applyProtection="0"/>
    <xf numFmtId="360" fontId="6" fillId="0" borderId="28"/>
    <xf numFmtId="181" fontId="6" fillId="0" borderId="0"/>
    <xf numFmtId="0" fontId="318" fillId="0" borderId="0">
      <protection hidden="1"/>
    </xf>
    <xf numFmtId="0" fontId="6" fillId="0" borderId="0">
      <protection hidden="1"/>
    </xf>
    <xf numFmtId="0" fontId="34" fillId="0" borderId="0">
      <protection hidden="1"/>
    </xf>
    <xf numFmtId="361" fontId="60" fillId="0" borderId="0"/>
    <xf numFmtId="3" fontId="318" fillId="0" borderId="74"/>
    <xf numFmtId="0" fontId="56" fillId="0" borderId="0" applyFont="0" applyFill="0" applyBorder="0" applyAlignment="0" applyProtection="0"/>
    <xf numFmtId="362" fontId="6" fillId="0" borderId="0" applyFont="0" applyFill="0" applyBorder="0" applyAlignment="0" applyProtection="0"/>
    <xf numFmtId="363" fontId="6" fillId="0" borderId="0" applyFont="0" applyFill="0" applyBorder="0" applyAlignment="0" applyProtection="0"/>
    <xf numFmtId="0" fontId="294" fillId="0" borderId="0"/>
    <xf numFmtId="365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294" fillId="0" borderId="0"/>
    <xf numFmtId="0" fontId="6" fillId="0" borderId="0"/>
    <xf numFmtId="0" fontId="321" fillId="0" borderId="78" applyNumberFormat="0" applyFill="0" applyAlignment="0" applyProtection="0"/>
    <xf numFmtId="0" fontId="3" fillId="3" borderId="81"/>
    <xf numFmtId="0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6" fillId="0" borderId="0">
      <alignment vertical="center"/>
    </xf>
    <xf numFmtId="168" fontId="6" fillId="0" borderId="0" applyFont="0" applyFill="0" applyBorder="0" applyAlignment="0" applyProtection="0"/>
    <xf numFmtId="0" fontId="16" fillId="0" borderId="0" applyNumberFormat="0" applyFill="0" applyBorder="0" applyAlignment="0"/>
    <xf numFmtId="0" fontId="260" fillId="0" borderId="0" applyNumberFormat="0" applyFill="0" applyBorder="0" applyAlignment="0"/>
    <xf numFmtId="0" fontId="294" fillId="0" borderId="0" applyFont="0" applyFill="0" applyBorder="0" applyAlignment="0" applyProtection="0"/>
    <xf numFmtId="0" fontId="312" fillId="99" borderId="0"/>
    <xf numFmtId="0" fontId="107" fillId="0" borderId="0" applyFont="0" applyFill="0" applyBorder="0" applyAlignment="0" applyProtection="0">
      <alignment horizontal="right"/>
    </xf>
    <xf numFmtId="170" fontId="294" fillId="0" borderId="0" applyFont="0" applyFill="0" applyBorder="0" applyAlignment="0" applyProtection="0"/>
    <xf numFmtId="172" fontId="309" fillId="100" borderId="0" applyNumberFormat="0" applyBorder="0" applyProtection="0">
      <alignment vertical="center"/>
    </xf>
    <xf numFmtId="0" fontId="324" fillId="0" borderId="79" applyNumberFormat="0" applyFill="0" applyAlignment="0" applyProtection="0"/>
    <xf numFmtId="172" fontId="325" fillId="0" borderId="0" applyFill="0" applyBorder="0" applyAlignment="0" applyProtection="0"/>
    <xf numFmtId="0" fontId="326" fillId="101" borderId="0" applyProtection="0">
      <alignment vertical="center"/>
    </xf>
    <xf numFmtId="172" fontId="8" fillId="3" borderId="88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168" fontId="60" fillId="3" borderId="88"/>
    <xf numFmtId="240" fontId="4" fillId="3" borderId="88"/>
    <xf numFmtId="180" fontId="60" fillId="3" borderId="88"/>
    <xf numFmtId="247" fontId="3" fillId="3" borderId="87" applyFill="0" applyBorder="0" applyAlignment="0" applyProtection="0"/>
    <xf numFmtId="0" fontId="81" fillId="14" borderId="65" applyNumberFormat="0" applyFill="0" applyBorder="0" applyAlignment="0" applyProtection="0">
      <protection locked="0"/>
    </xf>
    <xf numFmtId="264" fontId="74" fillId="0" borderId="75" applyNumberFormat="0" applyFont="0" applyFill="0" applyAlignment="0" applyProtection="0"/>
    <xf numFmtId="0" fontId="34" fillId="0" borderId="65" applyNumberFormat="0" applyFont="0" applyFill="0" applyAlignment="0" applyProtection="0"/>
    <xf numFmtId="0" fontId="34" fillId="0" borderId="75" applyNumberFormat="0" applyFont="0" applyFill="0" applyAlignment="0" applyProtection="0"/>
    <xf numFmtId="0" fontId="31" fillId="0" borderId="75"/>
    <xf numFmtId="248" fontId="37" fillId="0" borderId="75"/>
    <xf numFmtId="170" fontId="37" fillId="0" borderId="75"/>
    <xf numFmtId="168" fontId="15" fillId="0" borderId="75"/>
    <xf numFmtId="184" fontId="15" fillId="0" borderId="75"/>
    <xf numFmtId="180" fontId="4" fillId="0" borderId="75"/>
    <xf numFmtId="227" fontId="4" fillId="0" borderId="75"/>
    <xf numFmtId="195" fontId="4" fillId="0" borderId="75"/>
    <xf numFmtId="169" fontId="15" fillId="0" borderId="75"/>
    <xf numFmtId="165" fontId="15" fillId="0" borderId="75"/>
    <xf numFmtId="15" fontId="118" fillId="0" borderId="75" applyBorder="0">
      <alignment horizontal="center"/>
    </xf>
    <xf numFmtId="14" fontId="149" fillId="3" borderId="87" applyProtection="0">
      <alignment horizontal="right"/>
    </xf>
    <xf numFmtId="180" fontId="6" fillId="3" borderId="86" applyProtection="0">
      <alignment horizontal="right"/>
    </xf>
    <xf numFmtId="172" fontId="149" fillId="3" borderId="87">
      <alignment horizontal="right"/>
    </xf>
    <xf numFmtId="172" fontId="149" fillId="3" borderId="87">
      <alignment horizontal="right"/>
    </xf>
    <xf numFmtId="198" fontId="35" fillId="0" borderId="65" applyFont="0" applyFill="0" applyBorder="0" applyAlignment="0" applyProtection="0"/>
    <xf numFmtId="10" fontId="38" fillId="0" borderId="65"/>
    <xf numFmtId="10" fontId="38" fillId="0" borderId="65"/>
    <xf numFmtId="317" fontId="84" fillId="3" borderId="87">
      <alignment horizontal="right"/>
    </xf>
    <xf numFmtId="9" fontId="15" fillId="0" borderId="75"/>
    <xf numFmtId="187" fontId="6" fillId="14" borderId="65" applyFill="0" applyBorder="0" applyAlignment="0" applyProtection="0"/>
    <xf numFmtId="180" fontId="15" fillId="0" borderId="75"/>
    <xf numFmtId="10" fontId="15" fillId="0" borderId="75"/>
    <xf numFmtId="317" fontId="84" fillId="3" borderId="87">
      <alignment horizontal="right"/>
    </xf>
    <xf numFmtId="0" fontId="4" fillId="0" borderId="75"/>
    <xf numFmtId="184" fontId="31" fillId="0" borderId="75">
      <alignment horizontal="right"/>
    </xf>
    <xf numFmtId="248" fontId="38" fillId="0" borderId="75"/>
    <xf numFmtId="184" fontId="38" fillId="0" borderId="75"/>
    <xf numFmtId="170" fontId="38" fillId="0" borderId="75"/>
    <xf numFmtId="0" fontId="2" fillId="0" borderId="75">
      <alignment horizontal="right"/>
    </xf>
    <xf numFmtId="3" fontId="50" fillId="0" borderId="75"/>
    <xf numFmtId="0" fontId="72" fillId="14" borderId="75" applyNumberFormat="0" applyFont="0" applyFill="0" applyAlignment="0" applyProtection="0">
      <protection locked="0"/>
    </xf>
    <xf numFmtId="257" fontId="4" fillId="0" borderId="75"/>
    <xf numFmtId="256" fontId="4" fillId="0" borderId="75"/>
    <xf numFmtId="172" fontId="6" fillId="0" borderId="75" applyNumberFormat="0" applyFont="0" applyFill="0" applyAlignment="0"/>
    <xf numFmtId="0" fontId="35" fillId="0" borderId="75" applyProtection="0">
      <alignment vertical="top"/>
    </xf>
    <xf numFmtId="172" fontId="3" fillId="3" borderId="87"/>
    <xf numFmtId="172" fontId="8" fillId="3" borderId="88"/>
    <xf numFmtId="172" fontId="3" fillId="3" borderId="87"/>
    <xf numFmtId="172" fontId="3" fillId="3" borderId="87"/>
    <xf numFmtId="172" fontId="3" fillId="3" borderId="87"/>
    <xf numFmtId="172" fontId="3" fillId="3" borderId="87"/>
    <xf numFmtId="172" fontId="3" fillId="3" borderId="87"/>
    <xf numFmtId="172" fontId="3" fillId="3" borderId="87"/>
    <xf numFmtId="172" fontId="3" fillId="3" borderId="87"/>
    <xf numFmtId="172" fontId="3" fillId="3" borderId="87"/>
    <xf numFmtId="172" fontId="3" fillId="3" borderId="87"/>
    <xf numFmtId="172" fontId="3" fillId="3" borderId="87"/>
    <xf numFmtId="172" fontId="3" fillId="3" borderId="87"/>
    <xf numFmtId="172" fontId="3" fillId="3" borderId="87"/>
    <xf numFmtId="0" fontId="8" fillId="3" borderId="88"/>
    <xf numFmtId="0" fontId="60" fillId="0" borderId="75"/>
    <xf numFmtId="0" fontId="6" fillId="0" borderId="0">
      <alignment vertical="center"/>
    </xf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261" fontId="50" fillId="0" borderId="89" applyNumberFormat="0" applyFill="0" applyAlignment="0" applyProtection="0"/>
    <xf numFmtId="261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261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50" fillId="0" borderId="89" applyNumberFormat="0" applyFill="0" applyAlignment="0" applyProtection="0"/>
    <xf numFmtId="0" fontId="99" fillId="48" borderId="76" applyFill="0" applyBorder="0" applyProtection="0">
      <alignment horizontal="left"/>
    </xf>
    <xf numFmtId="0" fontId="342" fillId="80" borderId="0" applyNumberFormat="0" applyBorder="0" applyAlignment="0" applyProtection="0"/>
  </cellStyleXfs>
  <cellXfs count="360">
    <xf numFmtId="0" fontId="0" fillId="0" borderId="0" xfId="0"/>
    <xf numFmtId="4" fontId="0" fillId="0" borderId="0" xfId="0" applyNumberFormat="1"/>
    <xf numFmtId="172" fontId="0" fillId="0" borderId="0" xfId="0" applyNumberFormat="1"/>
    <xf numFmtId="4" fontId="11" fillId="0" borderId="0" xfId="0" applyNumberFormat="1" applyFont="1"/>
    <xf numFmtId="4" fontId="12" fillId="0" borderId="0" xfId="0" applyNumberFormat="1" applyFont="1"/>
    <xf numFmtId="172" fontId="14" fillId="0" borderId="0" xfId="0" applyNumberFormat="1" applyFont="1"/>
    <xf numFmtId="173" fontId="9" fillId="0" borderId="0" xfId="0" applyNumberFormat="1" applyFont="1" applyAlignment="1">
      <alignment horizontal="right"/>
    </xf>
    <xf numFmtId="0" fontId="14" fillId="0" borderId="0" xfId="0" applyFont="1"/>
    <xf numFmtId="172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72" fontId="8" fillId="0" borderId="0" xfId="0" applyNumberFormat="1" applyFont="1"/>
    <xf numFmtId="173" fontId="14" fillId="0" borderId="0" xfId="0" applyNumberFormat="1" applyFont="1"/>
    <xf numFmtId="172" fontId="14" fillId="0" borderId="0" xfId="0" applyNumberFormat="1" applyFont="1" applyAlignment="1">
      <alignment horizontal="right"/>
    </xf>
    <xf numFmtId="175" fontId="14" fillId="0" borderId="0" xfId="0" applyNumberFormat="1" applyFont="1" applyAlignment="1">
      <alignment horizontal="right"/>
    </xf>
    <xf numFmtId="172" fontId="9" fillId="0" borderId="0" xfId="0" applyNumberFormat="1" applyFont="1"/>
    <xf numFmtId="4" fontId="0" fillId="0" borderId="13" xfId="0" applyNumberFormat="1" applyBorder="1"/>
    <xf numFmtId="172" fontId="22" fillId="7" borderId="4" xfId="0" applyNumberFormat="1" applyFont="1" applyFill="1" applyBorder="1" applyAlignment="1">
      <alignment horizontal="left"/>
    </xf>
    <xf numFmtId="172" fontId="17" fillId="7" borderId="2" xfId="0" applyNumberFormat="1" applyFont="1" applyFill="1" applyBorder="1" applyAlignment="1">
      <alignment horizontal="left"/>
    </xf>
    <xf numFmtId="15" fontId="8" fillId="7" borderId="2" xfId="0" applyNumberFormat="1" applyFont="1" applyFill="1" applyBorder="1" applyAlignment="1">
      <alignment horizontal="left"/>
    </xf>
    <xf numFmtId="172" fontId="8" fillId="7" borderId="2" xfId="0" applyNumberFormat="1" applyFont="1" applyFill="1" applyBorder="1"/>
    <xf numFmtId="172" fontId="14" fillId="7" borderId="2" xfId="0" applyNumberFormat="1" applyFont="1" applyFill="1" applyBorder="1"/>
    <xf numFmtId="173" fontId="14" fillId="7" borderId="2" xfId="0" applyNumberFormat="1" applyFont="1" applyFill="1" applyBorder="1"/>
    <xf numFmtId="172" fontId="25" fillId="0" borderId="0" xfId="0" applyNumberFormat="1" applyFont="1"/>
    <xf numFmtId="0" fontId="21" fillId="0" borderId="2" xfId="0" applyFont="1" applyBorder="1"/>
    <xf numFmtId="172" fontId="2" fillId="7" borderId="2" xfId="0" applyNumberFormat="1" applyFont="1" applyFill="1" applyBorder="1"/>
    <xf numFmtId="0" fontId="21" fillId="0" borderId="0" xfId="0" applyFont="1"/>
    <xf numFmtId="173" fontId="0" fillId="8" borderId="11" xfId="0" applyNumberFormat="1" applyFill="1" applyBorder="1"/>
    <xf numFmtId="0" fontId="6" fillId="0" borderId="0" xfId="1686"/>
    <xf numFmtId="0" fontId="21" fillId="8" borderId="11" xfId="0" applyFont="1" applyFill="1" applyBorder="1" applyAlignment="1">
      <alignment horizontal="center"/>
    </xf>
    <xf numFmtId="172" fontId="14" fillId="0" borderId="0" xfId="0" applyNumberFormat="1" applyFont="1" applyAlignment="1">
      <alignment horizontal="left"/>
    </xf>
    <xf numFmtId="0" fontId="259" fillId="0" borderId="0" xfId="0" applyFont="1"/>
    <xf numFmtId="172" fontId="258" fillId="0" borderId="0" xfId="0" applyNumberFormat="1" applyFont="1"/>
    <xf numFmtId="172" fontId="6" fillId="0" borderId="2" xfId="0" applyNumberFormat="1" applyFont="1" applyBorder="1"/>
    <xf numFmtId="0" fontId="258" fillId="0" borderId="0" xfId="0" applyFont="1"/>
    <xf numFmtId="0" fontId="25" fillId="0" borderId="0" xfId="0" applyFont="1"/>
    <xf numFmtId="0" fontId="261" fillId="60" borderId="61" xfId="0" applyFont="1" applyFill="1" applyBorder="1"/>
    <xf numFmtId="175" fontId="261" fillId="60" borderId="61" xfId="0" applyNumberFormat="1" applyFont="1" applyFill="1" applyBorder="1" applyAlignment="1">
      <alignment horizontal="right"/>
    </xf>
    <xf numFmtId="0" fontId="261" fillId="0" borderId="0" xfId="0" applyFont="1"/>
    <xf numFmtId="0" fontId="262" fillId="0" borderId="0" xfId="0" applyFont="1" applyAlignment="1">
      <alignment horizontal="left" indent="1"/>
    </xf>
    <xf numFmtId="172" fontId="261" fillId="0" borderId="0" xfId="0" applyNumberFormat="1" applyFont="1"/>
    <xf numFmtId="0" fontId="0" fillId="0" borderId="10" xfId="0" applyBorder="1"/>
    <xf numFmtId="0" fontId="263" fillId="61" borderId="0" xfId="0" applyFont="1" applyFill="1" applyAlignment="1">
      <alignment horizontal="left"/>
    </xf>
    <xf numFmtId="174" fontId="261" fillId="60" borderId="61" xfId="0" applyNumberFormat="1" applyFont="1" applyFill="1" applyBorder="1" applyAlignment="1">
      <alignment horizontal="right"/>
    </xf>
    <xf numFmtId="4" fontId="261" fillId="0" borderId="0" xfId="0" applyNumberFormat="1" applyFont="1"/>
    <xf numFmtId="0" fontId="265" fillId="0" borderId="0" xfId="0" applyFont="1"/>
    <xf numFmtId="0" fontId="263" fillId="62" borderId="0" xfId="0" applyFont="1" applyFill="1"/>
    <xf numFmtId="172" fontId="263" fillId="62" borderId="0" xfId="0" applyNumberFormat="1" applyFont="1" applyFill="1"/>
    <xf numFmtId="172" fontId="21" fillId="0" borderId="2" xfId="0" applyNumberFormat="1" applyFont="1" applyBorder="1"/>
    <xf numFmtId="0" fontId="21" fillId="8" borderId="0" xfId="0" applyFont="1" applyFill="1" applyAlignment="1">
      <alignment horizontal="center"/>
    </xf>
    <xf numFmtId="173" fontId="0" fillId="0" borderId="0" xfId="0" applyNumberFormat="1"/>
    <xf numFmtId="0" fontId="251" fillId="0" borderId="0" xfId="0" applyFont="1"/>
    <xf numFmtId="173" fontId="251" fillId="0" borderId="0" xfId="0" applyNumberFormat="1" applyFont="1"/>
    <xf numFmtId="0" fontId="0" fillId="0" borderId="2" xfId="0" applyBorder="1"/>
    <xf numFmtId="173" fontId="21" fillId="0" borderId="2" xfId="0" applyNumberFormat="1" applyFont="1" applyBorder="1"/>
    <xf numFmtId="0" fontId="252" fillId="8" borderId="11" xfId="0" applyFont="1" applyFill="1" applyBorder="1"/>
    <xf numFmtId="10" fontId="0" fillId="8" borderId="0" xfId="0" applyNumberFormat="1" applyFill="1"/>
    <xf numFmtId="37" fontId="0" fillId="0" borderId="11" xfId="0" applyNumberFormat="1" applyBorder="1"/>
    <xf numFmtId="37" fontId="0" fillId="8" borderId="0" xfId="0" applyNumberFormat="1" applyFill="1"/>
    <xf numFmtId="37" fontId="0" fillId="0" borderId="0" xfId="0" applyNumberFormat="1"/>
    <xf numFmtId="37" fontId="0" fillId="0" borderId="9" xfId="0" applyNumberFormat="1" applyBorder="1"/>
    <xf numFmtId="37" fontId="0" fillId="0" borderId="10" xfId="0" applyNumberFormat="1" applyBorder="1"/>
    <xf numFmtId="0" fontId="261" fillId="60" borderId="0" xfId="0" applyFont="1" applyFill="1"/>
    <xf numFmtId="0" fontId="0" fillId="0" borderId="65" xfId="0" applyBorder="1"/>
    <xf numFmtId="173" fontId="251" fillId="0" borderId="65" xfId="0" applyNumberFormat="1" applyFont="1" applyBorder="1"/>
    <xf numFmtId="0" fontId="255" fillId="60" borderId="61" xfId="0" applyFont="1" applyFill="1" applyBorder="1"/>
    <xf numFmtId="0" fontId="263" fillId="63" borderId="0" xfId="0" applyFont="1" applyFill="1"/>
    <xf numFmtId="172" fontId="261" fillId="60" borderId="0" xfId="0" applyNumberFormat="1" applyFont="1" applyFill="1"/>
    <xf numFmtId="172" fontId="261" fillId="60" borderId="61" xfId="0" applyNumberFormat="1" applyFont="1" applyFill="1" applyBorder="1"/>
    <xf numFmtId="0" fontId="261" fillId="60" borderId="61" xfId="0" applyFont="1" applyFill="1" applyBorder="1" applyAlignment="1">
      <alignment horizontal="center"/>
    </xf>
    <xf numFmtId="0" fontId="21" fillId="8" borderId="0" xfId="0" applyFont="1" applyFill="1" applyAlignment="1">
      <alignment horizontal="left"/>
    </xf>
    <xf numFmtId="172" fontId="261" fillId="0" borderId="0" xfId="0" applyNumberFormat="1" applyFont="1" applyAlignment="1">
      <alignment horizontal="right"/>
    </xf>
    <xf numFmtId="173" fontId="21" fillId="0" borderId="0" xfId="0" applyNumberFormat="1" applyFont="1"/>
    <xf numFmtId="0" fontId="251" fillId="0" borderId="10" xfId="0" applyFont="1" applyBorder="1"/>
    <xf numFmtId="180" fontId="251" fillId="0" borderId="10" xfId="2309" applyNumberFormat="1" applyFont="1" applyBorder="1"/>
    <xf numFmtId="173" fontId="21" fillId="0" borderId="10" xfId="0" applyNumberFormat="1" applyFont="1" applyBorder="1"/>
    <xf numFmtId="0" fontId="263" fillId="65" borderId="0" xfId="0" applyFont="1" applyFill="1" applyAlignment="1">
      <alignment horizontal="center"/>
    </xf>
    <xf numFmtId="0" fontId="6" fillId="0" borderId="0" xfId="0" applyFont="1"/>
    <xf numFmtId="0" fontId="16" fillId="0" borderId="0" xfId="0" applyFont="1"/>
    <xf numFmtId="0" fontId="9" fillId="0" borderId="0" xfId="0" applyFont="1" applyAlignment="1">
      <alignment horizontal="right"/>
    </xf>
    <xf numFmtId="0" fontId="262" fillId="0" borderId="0" xfId="0" applyFont="1" applyAlignment="1">
      <alignment horizontal="right"/>
    </xf>
    <xf numFmtId="0" fontId="296" fillId="0" borderId="0" xfId="0" applyFont="1" applyAlignment="1">
      <alignment horizontal="right"/>
    </xf>
    <xf numFmtId="0" fontId="261" fillId="0" borderId="10" xfId="0" applyFont="1" applyBorder="1"/>
    <xf numFmtId="0" fontId="6" fillId="0" borderId="10" xfId="0" applyFont="1" applyBorder="1"/>
    <xf numFmtId="174" fontId="261" fillId="60" borderId="0" xfId="0" applyNumberFormat="1" applyFont="1" applyFill="1" applyAlignment="1">
      <alignment horizontal="right"/>
    </xf>
    <xf numFmtId="174" fontId="261" fillId="60" borderId="0" xfId="0" applyNumberFormat="1" applyFont="1" applyFill="1"/>
    <xf numFmtId="0" fontId="263" fillId="65" borderId="0" xfId="0" applyFont="1" applyFill="1"/>
    <xf numFmtId="174" fontId="263" fillId="65" borderId="0" xfId="0" applyNumberFormat="1" applyFont="1" applyFill="1" applyAlignment="1">
      <alignment horizontal="right"/>
    </xf>
    <xf numFmtId="173" fontId="262" fillId="0" borderId="0" xfId="0" applyNumberFormat="1" applyFont="1" applyAlignment="1">
      <alignment horizontal="right"/>
    </xf>
    <xf numFmtId="172" fontId="261" fillId="0" borderId="2" xfId="0" applyNumberFormat="1" applyFont="1" applyBorder="1"/>
    <xf numFmtId="0" fontId="261" fillId="0" borderId="0" xfId="1686" applyFont="1"/>
    <xf numFmtId="0" fontId="262" fillId="0" borderId="0" xfId="0" quotePrefix="1" applyFont="1" applyAlignment="1">
      <alignment horizontal="left" indent="1"/>
    </xf>
    <xf numFmtId="172" fontId="16" fillId="0" borderId="2" xfId="0" applyNumberFormat="1" applyFont="1" applyBorder="1"/>
    <xf numFmtId="10" fontId="14" fillId="0" borderId="0" xfId="0" applyNumberFormat="1" applyFont="1"/>
    <xf numFmtId="172" fontId="6" fillId="0" borderId="0" xfId="0" applyNumberFormat="1" applyFont="1"/>
    <xf numFmtId="172" fontId="297" fillId="0" borderId="2" xfId="0" applyNumberFormat="1" applyFont="1" applyBorder="1"/>
    <xf numFmtId="15" fontId="16" fillId="5" borderId="67" xfId="2" applyNumberFormat="1" applyFont="1" applyFill="1" applyBorder="1" applyAlignment="1">
      <alignment horizontal="right"/>
    </xf>
    <xf numFmtId="15" fontId="261" fillId="0" borderId="67" xfId="2" applyNumberFormat="1" applyFont="1" applyBorder="1" applyAlignment="1">
      <alignment horizontal="right"/>
    </xf>
    <xf numFmtId="180" fontId="299" fillId="0" borderId="0" xfId="2309" applyNumberFormat="1" applyFont="1" applyFill="1" applyBorder="1"/>
    <xf numFmtId="328" fontId="16" fillId="0" borderId="6" xfId="0" applyNumberFormat="1" applyFont="1" applyBorder="1"/>
    <xf numFmtId="196" fontId="261" fillId="0" borderId="0" xfId="0" applyNumberFormat="1" applyFont="1"/>
    <xf numFmtId="196" fontId="261" fillId="0" borderId="0" xfId="0" applyNumberFormat="1" applyFont="1" applyAlignment="1">
      <alignment horizontal="right"/>
    </xf>
    <xf numFmtId="328" fontId="262" fillId="0" borderId="0" xfId="0" applyNumberFormat="1" applyFont="1" applyAlignment="1">
      <alignment horizontal="right"/>
    </xf>
    <xf numFmtId="328" fontId="9" fillId="0" borderId="0" xfId="0" applyNumberFormat="1" applyFont="1" applyAlignment="1">
      <alignment horizontal="right"/>
    </xf>
    <xf numFmtId="172" fontId="8" fillId="80" borderId="6" xfId="0" applyNumberFormat="1" applyFont="1" applyFill="1" applyBorder="1" applyAlignment="1">
      <alignment horizontal="right"/>
    </xf>
    <xf numFmtId="255" fontId="6" fillId="0" borderId="0" xfId="1686" applyNumberFormat="1"/>
    <xf numFmtId="196" fontId="261" fillId="0" borderId="10" xfId="0" applyNumberFormat="1" applyFont="1" applyBorder="1"/>
    <xf numFmtId="329" fontId="0" fillId="0" borderId="0" xfId="0" applyNumberFormat="1"/>
    <xf numFmtId="0" fontId="261" fillId="60" borderId="61" xfId="0" applyFont="1" applyFill="1" applyBorder="1" applyAlignment="1">
      <alignment horizontal="right"/>
    </xf>
    <xf numFmtId="180" fontId="0" fillId="8" borderId="11" xfId="0" applyNumberFormat="1" applyFill="1" applyBorder="1"/>
    <xf numFmtId="180" fontId="0" fillId="8" borderId="9" xfId="0" applyNumberFormat="1" applyFill="1" applyBorder="1"/>
    <xf numFmtId="172" fontId="297" fillId="0" borderId="0" xfId="0" applyNumberFormat="1" applyFont="1"/>
    <xf numFmtId="172" fontId="0" fillId="0" borderId="2" xfId="0" applyNumberFormat="1" applyBorder="1"/>
    <xf numFmtId="172" fontId="0" fillId="0" borderId="66" xfId="0" applyNumberFormat="1" applyBorder="1"/>
    <xf numFmtId="172" fontId="0" fillId="0" borderId="10" xfId="0" applyNumberFormat="1" applyBorder="1"/>
    <xf numFmtId="196" fontId="0" fillId="0" borderId="10" xfId="0" applyNumberFormat="1" applyBorder="1"/>
    <xf numFmtId="172" fontId="263" fillId="61" borderId="0" xfId="0" applyNumberFormat="1" applyFont="1" applyFill="1" applyAlignment="1">
      <alignment horizontal="right"/>
    </xf>
    <xf numFmtId="172" fontId="263" fillId="61" borderId="0" xfId="0" applyNumberFormat="1" applyFont="1" applyFill="1" applyAlignment="1">
      <alignment horizontal="left"/>
    </xf>
    <xf numFmtId="329" fontId="0" fillId="8" borderId="0" xfId="0" applyNumberFormat="1" applyFill="1"/>
    <xf numFmtId="175" fontId="261" fillId="60" borderId="0" xfId="0" applyNumberFormat="1" applyFont="1" applyFill="1" applyAlignment="1">
      <alignment horizontal="right"/>
    </xf>
    <xf numFmtId="174" fontId="16" fillId="60" borderId="61" xfId="0" applyNumberFormat="1" applyFont="1" applyFill="1" applyBorder="1" applyAlignment="1">
      <alignment horizontal="right"/>
    </xf>
    <xf numFmtId="328" fontId="0" fillId="0" borderId="0" xfId="0" applyNumberFormat="1"/>
    <xf numFmtId="172" fontId="320" fillId="0" borderId="0" xfId="0" applyNumberFormat="1" applyFont="1"/>
    <xf numFmtId="172" fontId="1" fillId="0" borderId="0" xfId="0" applyNumberFormat="1" applyFont="1"/>
    <xf numFmtId="0" fontId="320" fillId="0" borderId="0" xfId="0" applyFont="1"/>
    <xf numFmtId="0" fontId="1" fillId="0" borderId="0" xfId="0" applyFont="1"/>
    <xf numFmtId="172" fontId="16" fillId="0" borderId="0" xfId="0" applyNumberFormat="1" applyFont="1"/>
    <xf numFmtId="172" fontId="252" fillId="8" borderId="11" xfId="0" applyNumberFormat="1" applyFont="1" applyFill="1" applyBorder="1"/>
    <xf numFmtId="255" fontId="0" fillId="0" borderId="0" xfId="0" applyNumberFormat="1"/>
    <xf numFmtId="0" fontId="19" fillId="0" borderId="0" xfId="3623" applyFont="1"/>
    <xf numFmtId="0" fontId="16" fillId="0" borderId="0" xfId="3623" applyFont="1"/>
    <xf numFmtId="4" fontId="2" fillId="0" borderId="0" xfId="0" applyNumberFormat="1" applyFont="1"/>
    <xf numFmtId="4" fontId="6" fillId="0" borderId="0" xfId="0" applyNumberFormat="1" applyFont="1"/>
    <xf numFmtId="4" fontId="6" fillId="0" borderId="0" xfId="0" quotePrefix="1" applyNumberFormat="1" applyFont="1"/>
    <xf numFmtId="0" fontId="261" fillId="0" borderId="0" xfId="3623" applyFont="1"/>
    <xf numFmtId="0" fontId="328" fillId="102" borderId="0" xfId="3623" applyFont="1" applyFill="1"/>
    <xf numFmtId="0" fontId="329" fillId="0" borderId="78" xfId="3628" applyFont="1"/>
    <xf numFmtId="0" fontId="294" fillId="0" borderId="0" xfId="0" applyFont="1"/>
    <xf numFmtId="0" fontId="250" fillId="0" borderId="0" xfId="3623" applyFont="1"/>
    <xf numFmtId="0" fontId="294" fillId="0" borderId="0" xfId="3623"/>
    <xf numFmtId="0" fontId="263" fillId="102" borderId="0" xfId="3623" applyFont="1" applyFill="1" applyAlignment="1">
      <alignment horizontal="left"/>
    </xf>
    <xf numFmtId="0" fontId="261" fillId="60" borderId="0" xfId="3623" applyFont="1" applyFill="1" applyAlignment="1">
      <alignment horizontal="left" vertical="center" readingOrder="1"/>
    </xf>
    <xf numFmtId="0" fontId="261" fillId="60" borderId="0" xfId="3623" applyFont="1" applyFill="1" applyAlignment="1">
      <alignment horizontal="left" vertical="center" wrapText="1" readingOrder="1"/>
    </xf>
    <xf numFmtId="0" fontId="261" fillId="60" borderId="0" xfId="3624" applyNumberFormat="1" applyFont="1" applyFill="1" applyAlignment="1">
      <alignment horizontal="right" vertical="center" wrapText="1" readingOrder="1"/>
    </xf>
    <xf numFmtId="0" fontId="261" fillId="60" borderId="82" xfId="3623" applyFont="1" applyFill="1" applyBorder="1" applyAlignment="1">
      <alignment horizontal="left" vertical="center" readingOrder="1"/>
    </xf>
    <xf numFmtId="0" fontId="261" fillId="60" borderId="82" xfId="3623" applyFont="1" applyFill="1" applyBorder="1" applyAlignment="1">
      <alignment horizontal="left" vertical="center" wrapText="1" readingOrder="1"/>
    </xf>
    <xf numFmtId="0" fontId="261" fillId="60" borderId="82" xfId="3623" applyFont="1" applyFill="1" applyBorder="1" applyAlignment="1">
      <alignment horizontal="right" vertical="center" wrapText="1" readingOrder="1"/>
    </xf>
    <xf numFmtId="365" fontId="255" fillId="6" borderId="0" xfId="3624" applyFont="1" applyFill="1" applyAlignment="1">
      <alignment vertical="center"/>
    </xf>
    <xf numFmtId="0" fontId="255" fillId="6" borderId="0" xfId="3624" applyNumberFormat="1" applyFont="1" applyFill="1" applyAlignment="1">
      <alignment vertical="center"/>
    </xf>
    <xf numFmtId="365" fontId="330" fillId="0" borderId="0" xfId="3624" applyFont="1" applyAlignment="1">
      <alignment vertical="center"/>
    </xf>
    <xf numFmtId="0" fontId="330" fillId="0" borderId="0" xfId="3624" applyNumberFormat="1" applyFont="1" applyAlignment="1">
      <alignment vertical="center"/>
    </xf>
    <xf numFmtId="0" fontId="330" fillId="0" borderId="0" xfId="3625" applyFont="1" applyFill="1" applyBorder="1" applyAlignment="1">
      <alignment vertical="center"/>
    </xf>
    <xf numFmtId="0" fontId="330" fillId="0" borderId="0" xfId="3625" applyFont="1" applyAlignment="1">
      <alignment vertical="center"/>
    </xf>
    <xf numFmtId="365" fontId="261" fillId="0" borderId="0" xfId="3624" applyFont="1" applyAlignment="1">
      <alignment vertical="center"/>
    </xf>
    <xf numFmtId="0" fontId="261" fillId="0" borderId="0" xfId="3624" applyNumberFormat="1" applyFont="1" applyAlignment="1">
      <alignment vertical="center"/>
    </xf>
    <xf numFmtId="365" fontId="255" fillId="6" borderId="10" xfId="3624" applyFont="1" applyFill="1" applyBorder="1" applyAlignment="1">
      <alignment vertical="center"/>
    </xf>
    <xf numFmtId="0" fontId="255" fillId="6" borderId="10" xfId="3624" applyNumberFormat="1" applyFont="1" applyFill="1" applyBorder="1" applyAlignment="1">
      <alignment vertical="center"/>
    </xf>
    <xf numFmtId="15" fontId="261" fillId="60" borderId="0" xfId="3623" applyNumberFormat="1" applyFont="1" applyFill="1" applyAlignment="1">
      <alignment horizontal="right" vertical="center" wrapText="1" readingOrder="1"/>
    </xf>
    <xf numFmtId="15" fontId="261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Continuous" vertical="center" wrapText="1" readingOrder="1"/>
    </xf>
    <xf numFmtId="0" fontId="261" fillId="0" borderId="0" xfId="3626" applyFont="1" applyAlignment="1">
      <alignment vertical="center"/>
    </xf>
    <xf numFmtId="328" fontId="261" fillId="0" borderId="0" xfId="3625" quotePrefix="1" applyNumberFormat="1" applyFont="1" applyFill="1" applyBorder="1" applyAlignment="1">
      <alignment horizontal="center" vertical="center" wrapText="1" readingOrder="1"/>
    </xf>
    <xf numFmtId="329" fontId="261" fillId="0" borderId="0" xfId="3630" applyNumberFormat="1" applyFont="1" applyFill="1" applyBorder="1" applyAlignment="1">
      <alignment horizontal="center" vertical="center" wrapText="1" readingOrder="1"/>
    </xf>
    <xf numFmtId="0" fontId="255" fillId="6" borderId="80" xfId="3626" applyFont="1" applyFill="1" applyBorder="1" applyAlignment="1">
      <alignment vertical="center"/>
    </xf>
    <xf numFmtId="329" fontId="255" fillId="0" borderId="0" xfId="3630" applyNumberFormat="1" applyFont="1" applyFill="1" applyBorder="1" applyAlignment="1">
      <alignment horizontal="center" vertical="center" wrapText="1" readingOrder="1"/>
    </xf>
    <xf numFmtId="329" fontId="294" fillId="0" borderId="0" xfId="0" applyNumberFormat="1" applyFont="1"/>
    <xf numFmtId="0" fontId="255" fillId="0" borderId="0" xfId="3623" applyFont="1" applyAlignment="1">
      <alignment horizontal="left" vertical="center" readingOrder="1"/>
    </xf>
    <xf numFmtId="15" fontId="261" fillId="0" borderId="0" xfId="3623" applyNumberFormat="1" applyFont="1" applyAlignment="1">
      <alignment horizontal="right" vertical="center" wrapText="1" readingOrder="1"/>
    </xf>
    <xf numFmtId="15" fontId="255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" vertical="center" readingOrder="1"/>
    </xf>
    <xf numFmtId="0" fontId="261" fillId="0" borderId="80" xfId="0" applyFont="1" applyBorder="1"/>
    <xf numFmtId="0" fontId="255" fillId="103" borderId="80" xfId="3623" applyFont="1" applyFill="1" applyBorder="1" applyAlignment="1">
      <alignment horizontal="left" vertical="center"/>
    </xf>
    <xf numFmtId="0" fontId="255" fillId="103" borderId="80" xfId="3623" applyFont="1" applyFill="1" applyBorder="1" applyAlignment="1">
      <alignment horizontal="left"/>
    </xf>
    <xf numFmtId="0" fontId="261" fillId="103" borderId="80" xfId="3623" applyFont="1" applyFill="1" applyBorder="1"/>
    <xf numFmtId="0" fontId="322" fillId="0" borderId="0" xfId="0" applyFont="1" applyAlignment="1">
      <alignment vertical="center"/>
    </xf>
    <xf numFmtId="0" fontId="327" fillId="0" borderId="0" xfId="0" applyFont="1" applyAlignment="1">
      <alignment horizontal="left" vertical="center"/>
    </xf>
    <xf numFmtId="173" fontId="327" fillId="0" borderId="0" xfId="0" applyNumberFormat="1" applyFont="1" applyAlignment="1">
      <alignment horizontal="right" vertical="center"/>
    </xf>
    <xf numFmtId="0" fontId="327" fillId="0" borderId="0" xfId="0" applyFont="1" applyAlignment="1">
      <alignment horizontal="right" vertical="center"/>
    </xf>
    <xf numFmtId="0" fontId="323" fillId="0" borderId="0" xfId="0" applyFont="1" applyAlignment="1">
      <alignment vertical="center"/>
    </xf>
    <xf numFmtId="172" fontId="323" fillId="0" borderId="0" xfId="0" applyNumberFormat="1" applyFont="1" applyAlignment="1">
      <alignment vertical="center"/>
    </xf>
    <xf numFmtId="174" fontId="261" fillId="60" borderId="0" xfId="0" applyNumberFormat="1" applyFont="1" applyFill="1" applyAlignment="1">
      <alignment horizontal="center"/>
    </xf>
    <xf numFmtId="175" fontId="261" fillId="60" borderId="61" xfId="0" applyNumberFormat="1" applyFont="1" applyFill="1" applyBorder="1" applyAlignment="1">
      <alignment horizontal="center"/>
    </xf>
    <xf numFmtId="174" fontId="263" fillId="65" borderId="0" xfId="0" applyNumberFormat="1" applyFont="1" applyFill="1" applyAlignment="1">
      <alignment horizontal="center"/>
    </xf>
    <xf numFmtId="255" fontId="323" fillId="0" borderId="0" xfId="0" applyNumberFormat="1" applyFont="1" applyAlignment="1">
      <alignment horizontal="center" vertical="center"/>
    </xf>
    <xf numFmtId="173" fontId="327" fillId="0" borderId="0" xfId="0" applyNumberFormat="1" applyFont="1" applyAlignment="1">
      <alignment horizontal="center" vertical="center"/>
    </xf>
    <xf numFmtId="255" fontId="322" fillId="0" borderId="0" xfId="0" applyNumberFormat="1" applyFont="1" applyAlignment="1">
      <alignment horizontal="center" vertical="center"/>
    </xf>
    <xf numFmtId="328" fontId="327" fillId="0" borderId="0" xfId="0" applyNumberFormat="1" applyFont="1" applyAlignment="1">
      <alignment horizontal="center" vertical="center"/>
    </xf>
    <xf numFmtId="328" fontId="14" fillId="0" borderId="0" xfId="0" applyNumberFormat="1" applyFont="1"/>
    <xf numFmtId="255" fontId="331" fillId="6" borderId="0" xfId="3624" applyNumberFormat="1" applyFont="1" applyFill="1" applyAlignment="1">
      <alignment vertical="center"/>
    </xf>
    <xf numFmtId="0" fontId="331" fillId="0" borderId="0" xfId="3624" applyNumberFormat="1" applyFont="1" applyFill="1" applyAlignment="1">
      <alignment vertical="center"/>
    </xf>
    <xf numFmtId="328" fontId="332" fillId="0" borderId="0" xfId="3625" applyNumberFormat="1" applyFont="1" applyAlignment="1">
      <alignment vertical="center"/>
    </xf>
    <xf numFmtId="0" fontId="332" fillId="0" borderId="0" xfId="3625" applyFont="1" applyFill="1" applyAlignment="1">
      <alignment vertical="center"/>
    </xf>
    <xf numFmtId="255" fontId="333" fillId="0" borderId="0" xfId="3624" applyNumberFormat="1" applyFont="1" applyAlignment="1">
      <alignment vertical="center"/>
    </xf>
    <xf numFmtId="0" fontId="333" fillId="0" borderId="0" xfId="3624" applyNumberFormat="1" applyFont="1" applyFill="1" applyAlignment="1">
      <alignment vertical="center"/>
    </xf>
    <xf numFmtId="255" fontId="333" fillId="0" borderId="0" xfId="3624" applyNumberFormat="1" applyFont="1" applyFill="1" applyAlignment="1">
      <alignment vertical="center"/>
    </xf>
    <xf numFmtId="196" fontId="333" fillId="0" borderId="0" xfId="3624" applyNumberFormat="1" applyFont="1" applyAlignment="1">
      <alignment vertical="center"/>
    </xf>
    <xf numFmtId="364" fontId="333" fillId="0" borderId="0" xfId="3624" applyNumberFormat="1" applyFont="1" applyAlignment="1">
      <alignment vertical="center"/>
    </xf>
    <xf numFmtId="255" fontId="331" fillId="6" borderId="10" xfId="3624" applyNumberFormat="1" applyFont="1" applyFill="1" applyBorder="1" applyAlignment="1">
      <alignment vertical="center"/>
    </xf>
    <xf numFmtId="255" fontId="333" fillId="0" borderId="0" xfId="3624" applyNumberFormat="1" applyFont="1" applyFill="1" applyAlignment="1">
      <alignment horizontal="center" vertical="center"/>
    </xf>
    <xf numFmtId="328" fontId="333" fillId="0" borderId="0" xfId="3625" applyNumberFormat="1" applyFont="1" applyFill="1" applyAlignment="1">
      <alignment horizontal="center" vertical="center"/>
    </xf>
    <xf numFmtId="255" fontId="331" fillId="6" borderId="80" xfId="3624" applyNumberFormat="1" applyFont="1" applyFill="1" applyBorder="1" applyAlignment="1">
      <alignment horizontal="center" vertical="center"/>
    </xf>
    <xf numFmtId="328" fontId="331" fillId="6" borderId="80" xfId="3625" applyNumberFormat="1" applyFont="1" applyFill="1" applyBorder="1" applyAlignment="1">
      <alignment horizontal="center" vertical="center"/>
    </xf>
    <xf numFmtId="255" fontId="333" fillId="0" borderId="0" xfId="3626" applyNumberFormat="1" applyFont="1" applyAlignment="1">
      <alignment horizontal="center" vertical="center"/>
    </xf>
    <xf numFmtId="0" fontId="333" fillId="0" borderId="0" xfId="3623" applyFont="1" applyAlignment="1">
      <alignment horizontal="center"/>
    </xf>
    <xf numFmtId="0" fontId="331" fillId="0" borderId="0" xfId="3630" applyFont="1" applyFill="1" applyBorder="1" applyAlignment="1">
      <alignment horizontal="center" vertical="center"/>
    </xf>
    <xf numFmtId="328" fontId="334" fillId="0" borderId="0" xfId="3626" applyNumberFormat="1" applyFont="1" applyAlignment="1">
      <alignment horizontal="center" vertical="center"/>
    </xf>
    <xf numFmtId="0" fontId="333" fillId="0" borderId="0" xfId="3626" applyFont="1" applyAlignment="1">
      <alignment vertical="center"/>
    </xf>
    <xf numFmtId="0" fontId="331" fillId="6" borderId="80" xfId="3626" applyFont="1" applyFill="1" applyBorder="1" applyAlignment="1">
      <alignment vertical="center"/>
    </xf>
    <xf numFmtId="0" fontId="333" fillId="0" borderId="0" xfId="3626" applyFont="1" applyAlignment="1">
      <alignment horizontal="left" vertical="center" indent="1"/>
    </xf>
    <xf numFmtId="0" fontId="333" fillId="60" borderId="0" xfId="3623" applyFont="1" applyFill="1" applyAlignment="1">
      <alignment horizontal="right" vertical="center" wrapText="1" readingOrder="1"/>
    </xf>
    <xf numFmtId="330" fontId="333" fillId="60" borderId="82" xfId="3625" quotePrefix="1" applyNumberFormat="1" applyFont="1" applyFill="1" applyBorder="1" applyAlignment="1">
      <alignment horizontal="center" vertical="center" wrapText="1" readingOrder="1"/>
    </xf>
    <xf numFmtId="328" fontId="333" fillId="60" borderId="83" xfId="3625" applyNumberFormat="1" applyFont="1" applyFill="1" applyBorder="1" applyAlignment="1">
      <alignment vertical="center" wrapText="1" readingOrder="1"/>
    </xf>
    <xf numFmtId="0" fontId="333" fillId="0" borderId="0" xfId="0" applyFont="1" applyAlignment="1">
      <alignment horizontal="center" vertical="center"/>
    </xf>
    <xf numFmtId="255" fontId="333" fillId="0" borderId="0" xfId="3630" applyNumberFormat="1" applyFont="1" applyFill="1" applyBorder="1" applyAlignment="1">
      <alignment horizontal="center" vertical="center"/>
    </xf>
    <xf numFmtId="255" fontId="333" fillId="6" borderId="0" xfId="3630" applyNumberFormat="1" applyFont="1" applyFill="1" applyBorder="1" applyAlignment="1">
      <alignment horizontal="center" vertical="center"/>
    </xf>
    <xf numFmtId="255" fontId="331" fillId="6" borderId="0" xfId="3630" applyNumberFormat="1" applyFont="1" applyFill="1" applyBorder="1" applyAlignment="1">
      <alignment horizontal="center" vertical="center"/>
    </xf>
    <xf numFmtId="328" fontId="333" fillId="60" borderId="85" xfId="3625" applyNumberFormat="1" applyFont="1" applyFill="1" applyBorder="1" applyAlignment="1">
      <alignment vertical="center" wrapText="1" readingOrder="1"/>
    </xf>
    <xf numFmtId="255" fontId="333" fillId="0" borderId="10" xfId="3630" applyNumberFormat="1" applyFont="1" applyFill="1" applyBorder="1" applyAlignment="1">
      <alignment horizontal="center" vertical="center"/>
    </xf>
    <xf numFmtId="172" fontId="17" fillId="7" borderId="0" xfId="0" applyNumberFormat="1" applyFont="1" applyFill="1" applyAlignment="1">
      <alignment horizontal="left"/>
    </xf>
    <xf numFmtId="0" fontId="263" fillId="64" borderId="0" xfId="0" applyFont="1" applyFill="1"/>
    <xf numFmtId="172" fontId="261" fillId="0" borderId="65" xfId="0" applyNumberFormat="1" applyFont="1" applyBorder="1"/>
    <xf numFmtId="172" fontId="0" fillId="0" borderId="65" xfId="0" applyNumberFormat="1" applyBorder="1"/>
    <xf numFmtId="180" fontId="299" fillId="0" borderId="65" xfId="2309" applyNumberFormat="1" applyFont="1" applyFill="1" applyBorder="1"/>
    <xf numFmtId="172" fontId="261" fillId="0" borderId="10" xfId="0" applyNumberFormat="1" applyFont="1" applyBorder="1"/>
    <xf numFmtId="174" fontId="261" fillId="60" borderId="84" xfId="0" applyNumberFormat="1" applyFont="1" applyFill="1" applyBorder="1" applyAlignment="1">
      <alignment horizontal="right"/>
    </xf>
    <xf numFmtId="0" fontId="0" fillId="0" borderId="66" xfId="0" applyBorder="1"/>
    <xf numFmtId="0" fontId="0" fillId="0" borderId="64" xfId="0" applyBorder="1"/>
    <xf numFmtId="328" fontId="251" fillId="0" borderId="0" xfId="0" applyNumberFormat="1" applyFont="1"/>
    <xf numFmtId="328" fontId="251" fillId="0" borderId="65" xfId="0" applyNumberFormat="1" applyFont="1" applyBorder="1"/>
    <xf numFmtId="37" fontId="261" fillId="0" borderId="76" xfId="0" applyNumberFormat="1" applyFont="1" applyBorder="1" applyAlignment="1">
      <alignment horizontal="center"/>
    </xf>
    <xf numFmtId="37" fontId="261" fillId="0" borderId="75" xfId="0" applyNumberFormat="1" applyFont="1" applyBorder="1" applyAlignment="1">
      <alignment horizontal="center"/>
    </xf>
    <xf numFmtId="37" fontId="261" fillId="0" borderId="0" xfId="0" applyNumberFormat="1" applyFont="1" applyAlignment="1">
      <alignment horizontal="center"/>
    </xf>
    <xf numFmtId="37" fontId="261" fillId="0" borderId="77" xfId="0" applyNumberFormat="1" applyFont="1" applyBorder="1" applyAlignment="1">
      <alignment horizontal="center"/>
    </xf>
    <xf numFmtId="37" fontId="261" fillId="0" borderId="11" xfId="0" applyNumberFormat="1" applyFont="1" applyBorder="1" applyAlignment="1">
      <alignment horizontal="center"/>
    </xf>
    <xf numFmtId="37" fontId="261" fillId="97" borderId="0" xfId="0" applyNumberFormat="1" applyFont="1" applyFill="1" applyAlignment="1">
      <alignment horizontal="center"/>
    </xf>
    <xf numFmtId="37" fontId="261" fillId="0" borderId="65" xfId="0" applyNumberFormat="1" applyFont="1" applyBorder="1" applyAlignment="1">
      <alignment horizontal="center"/>
    </xf>
    <xf numFmtId="37" fontId="261" fillId="0" borderId="9" xfId="0" applyNumberFormat="1" applyFont="1" applyBorder="1" applyAlignment="1">
      <alignment horizontal="center"/>
    </xf>
    <xf numFmtId="37" fontId="261" fillId="0" borderId="10" xfId="0" applyNumberFormat="1" applyFont="1" applyBorder="1" applyAlignment="1">
      <alignment horizontal="center"/>
    </xf>
    <xf numFmtId="37" fontId="261" fillId="0" borderId="64" xfId="0" applyNumberFormat="1" applyFont="1" applyBorder="1" applyAlignment="1">
      <alignment horizontal="center"/>
    </xf>
    <xf numFmtId="255" fontId="0" fillId="0" borderId="0" xfId="0" applyNumberFormat="1" applyAlignment="1">
      <alignment horizontal="center"/>
    </xf>
    <xf numFmtId="255" fontId="0" fillId="0" borderId="11" xfId="0" applyNumberFormat="1" applyBorder="1" applyAlignment="1">
      <alignment horizontal="center"/>
    </xf>
    <xf numFmtId="255" fontId="0" fillId="8" borderId="0" xfId="0" applyNumberFormat="1" applyFill="1" applyAlignment="1">
      <alignment horizontal="center"/>
    </xf>
    <xf numFmtId="255" fontId="0" fillId="0" borderId="9" xfId="0" applyNumberFormat="1" applyBorder="1" applyAlignment="1">
      <alignment horizontal="center"/>
    </xf>
    <xf numFmtId="255" fontId="0" fillId="0" borderId="10" xfId="0" applyNumberFormat="1" applyBorder="1" applyAlignment="1">
      <alignment horizontal="center"/>
    </xf>
    <xf numFmtId="10" fontId="0" fillId="8" borderId="0" xfId="0" applyNumberFormat="1" applyFill="1" applyAlignment="1">
      <alignment horizontal="center"/>
    </xf>
    <xf numFmtId="329" fontId="0" fillId="8" borderId="0" xfId="0" applyNumberFormat="1" applyFill="1" applyAlignment="1">
      <alignment horizontal="center"/>
    </xf>
    <xf numFmtId="37" fontId="0" fillId="0" borderId="11" xfId="0" applyNumberFormat="1" applyBorder="1" applyAlignment="1">
      <alignment horizontal="center"/>
    </xf>
    <xf numFmtId="37" fontId="0" fillId="8" borderId="0" xfId="0" applyNumberFormat="1" applyFill="1" applyAlignment="1">
      <alignment horizontal="center"/>
    </xf>
    <xf numFmtId="37" fontId="0" fillId="0" borderId="0" xfId="0" applyNumberFormat="1" applyAlignment="1">
      <alignment horizontal="center"/>
    </xf>
    <xf numFmtId="37" fontId="0" fillId="0" borderId="9" xfId="0" applyNumberFormat="1" applyBorder="1" applyAlignment="1">
      <alignment horizontal="center"/>
    </xf>
    <xf numFmtId="37" fontId="0" fillId="0" borderId="10" xfId="0" applyNumberFormat="1" applyBorder="1" applyAlignment="1">
      <alignment horizontal="center"/>
    </xf>
    <xf numFmtId="0" fontId="261" fillId="60" borderId="82" xfId="3623" applyFont="1" applyFill="1" applyBorder="1" applyAlignment="1">
      <alignment horizontal="center" vertical="center" wrapText="1" readingOrder="1"/>
    </xf>
    <xf numFmtId="175" fontId="333" fillId="60" borderId="61" xfId="0" applyNumberFormat="1" applyFont="1" applyFill="1" applyBorder="1" applyAlignment="1">
      <alignment horizontal="right"/>
    </xf>
    <xf numFmtId="0" fontId="335" fillId="0" borderId="0" xfId="0" applyFont="1"/>
    <xf numFmtId="0" fontId="336" fillId="0" borderId="0" xfId="0" applyFont="1" applyAlignment="1">
      <alignment horizontal="center"/>
    </xf>
    <xf numFmtId="0" fontId="337" fillId="0" borderId="0" xfId="0" applyFont="1" applyAlignment="1">
      <alignment horizontal="center"/>
    </xf>
    <xf numFmtId="180" fontId="338" fillId="0" borderId="0" xfId="2309" applyNumberFormat="1" applyFont="1" applyAlignment="1">
      <alignment horizontal="center"/>
    </xf>
    <xf numFmtId="0" fontId="339" fillId="0" borderId="0" xfId="0" applyFont="1" applyAlignment="1">
      <alignment horizontal="left" indent="1"/>
    </xf>
    <xf numFmtId="0" fontId="336" fillId="0" borderId="0" xfId="0" applyFont="1"/>
    <xf numFmtId="0" fontId="0" fillId="0" borderId="0" xfId="0" applyAlignment="1">
      <alignment horizontal="left" indent="1"/>
    </xf>
    <xf numFmtId="0" fontId="339" fillId="0" borderId="0" xfId="0" applyFont="1"/>
    <xf numFmtId="172" fontId="263" fillId="64" borderId="0" xfId="0" applyNumberFormat="1" applyFont="1" applyFill="1" applyAlignment="1">
      <alignment horizontal="centerContinuous"/>
    </xf>
    <xf numFmtId="172" fontId="263" fillId="65" borderId="0" xfId="0" applyNumberFormat="1" applyFont="1" applyFill="1" applyAlignment="1">
      <alignment horizontal="centerContinuous"/>
    </xf>
    <xf numFmtId="172" fontId="263" fillId="98" borderId="0" xfId="0" applyNumberFormat="1" applyFont="1" applyFill="1" applyAlignment="1">
      <alignment horizontal="centerContinuous"/>
    </xf>
    <xf numFmtId="0" fontId="0" fillId="0" borderId="0" xfId="0" applyAlignment="1">
      <alignment horizontal="left"/>
    </xf>
    <xf numFmtId="255" fontId="337" fillId="0" borderId="0" xfId="0" applyNumberFormat="1" applyFont="1" applyAlignment="1">
      <alignment horizontal="center"/>
    </xf>
    <xf numFmtId="255" fontId="340" fillId="0" borderId="75" xfId="0" applyNumberFormat="1" applyFont="1" applyBorder="1" applyAlignment="1">
      <alignment horizontal="center"/>
    </xf>
    <xf numFmtId="329" fontId="340" fillId="0" borderId="75" xfId="0" applyNumberFormat="1" applyFont="1" applyBorder="1" applyAlignment="1">
      <alignment horizontal="center"/>
    </xf>
    <xf numFmtId="0" fontId="322" fillId="0" borderId="0" xfId="0" applyFont="1" applyAlignment="1">
      <alignment horizontal="left" vertical="center"/>
    </xf>
    <xf numFmtId="255" fontId="261" fillId="0" borderId="0" xfId="1686" applyNumberFormat="1" applyFont="1"/>
    <xf numFmtId="37" fontId="261" fillId="0" borderId="0" xfId="0" applyNumberFormat="1" applyFont="1"/>
    <xf numFmtId="37" fontId="21" fillId="0" borderId="2" xfId="0" applyNumberFormat="1" applyFont="1" applyBorder="1"/>
    <xf numFmtId="328" fontId="251" fillId="0" borderId="10" xfId="2309" applyNumberFormat="1" applyFont="1" applyBorder="1"/>
    <xf numFmtId="328" fontId="327" fillId="0" borderId="10" xfId="0" applyNumberFormat="1" applyFont="1" applyBorder="1" applyAlignment="1">
      <alignment horizontal="center" vertical="center"/>
    </xf>
    <xf numFmtId="0" fontId="327" fillId="0" borderId="10" xfId="0" applyFont="1" applyBorder="1" applyAlignment="1">
      <alignment horizontal="left" vertical="center"/>
    </xf>
    <xf numFmtId="0" fontId="322" fillId="0" borderId="10" xfId="0" applyFont="1" applyBorder="1" applyAlignment="1">
      <alignment vertical="center"/>
    </xf>
    <xf numFmtId="173" fontId="327" fillId="0" borderId="10" xfId="0" applyNumberFormat="1" applyFont="1" applyBorder="1" applyAlignment="1">
      <alignment horizontal="right" vertical="center"/>
    </xf>
    <xf numFmtId="173" fontId="327" fillId="0" borderId="10" xfId="0" applyNumberFormat="1" applyFont="1" applyBorder="1" applyAlignment="1">
      <alignment horizontal="center" vertical="center"/>
    </xf>
    <xf numFmtId="10" fontId="0" fillId="0" borderId="0" xfId="0" applyNumberFormat="1"/>
    <xf numFmtId="0" fontId="0" fillId="80" borderId="0" xfId="0" applyFill="1"/>
    <xf numFmtId="17" fontId="20" fillId="0" borderId="0" xfId="0" applyNumberFormat="1" applyFont="1" applyAlignment="1">
      <alignment horizontal="left"/>
    </xf>
    <xf numFmtId="328" fontId="9" fillId="0" borderId="0" xfId="2311" applyNumberFormat="1" applyFont="1"/>
    <xf numFmtId="328" fontId="298" fillId="0" borderId="0" xfId="2311" applyNumberFormat="1" applyFont="1"/>
    <xf numFmtId="39" fontId="14" fillId="0" borderId="0" xfId="0" applyNumberFormat="1" applyFont="1"/>
    <xf numFmtId="0" fontId="14" fillId="104" borderId="0" xfId="0" applyFont="1" applyFill="1"/>
    <xf numFmtId="172" fontId="261" fillId="104" borderId="2" xfId="0" applyNumberFormat="1" applyFont="1" applyFill="1" applyBorder="1"/>
    <xf numFmtId="180" fontId="16" fillId="104" borderId="67" xfId="0" applyNumberFormat="1" applyFont="1" applyFill="1" applyBorder="1"/>
    <xf numFmtId="329" fontId="16" fillId="104" borderId="67" xfId="2" applyNumberFormat="1" applyFont="1" applyFill="1" applyBorder="1" applyAlignment="1">
      <alignment horizontal="right"/>
    </xf>
    <xf numFmtId="0" fontId="0" fillId="104" borderId="0" xfId="0" applyFill="1"/>
    <xf numFmtId="172" fontId="297" fillId="104" borderId="0" xfId="0" applyNumberFormat="1" applyFont="1" applyFill="1"/>
    <xf numFmtId="180" fontId="299" fillId="104" borderId="0" xfId="2309" applyNumberFormat="1" applyFont="1" applyFill="1" applyBorder="1"/>
    <xf numFmtId="172" fontId="297" fillId="104" borderId="2" xfId="0" applyNumberFormat="1" applyFont="1" applyFill="1" applyBorder="1"/>
    <xf numFmtId="328" fontId="9" fillId="104" borderId="0" xfId="0" applyNumberFormat="1" applyFont="1" applyFill="1" applyAlignment="1">
      <alignment horizontal="right"/>
    </xf>
    <xf numFmtId="173" fontId="251" fillId="105" borderId="0" xfId="0" applyNumberFormat="1" applyFont="1" applyFill="1"/>
    <xf numFmtId="328" fontId="251" fillId="106" borderId="0" xfId="0" applyNumberFormat="1" applyFont="1" applyFill="1"/>
    <xf numFmtId="173" fontId="251" fillId="106" borderId="0" xfId="0" applyNumberFormat="1" applyFont="1" applyFill="1"/>
    <xf numFmtId="0" fontId="0" fillId="106" borderId="0" xfId="0" applyFill="1"/>
    <xf numFmtId="173" fontId="251" fillId="106" borderId="65" xfId="0" applyNumberFormat="1" applyFont="1" applyFill="1" applyBorder="1"/>
    <xf numFmtId="172" fontId="0" fillId="105" borderId="0" xfId="0" applyNumberFormat="1" applyFill="1"/>
    <xf numFmtId="341" fontId="6" fillId="0" borderId="0" xfId="3809" applyNumberFormat="1" applyFont="1" applyFill="1" applyBorder="1" applyAlignment="1">
      <alignment horizontal="left"/>
    </xf>
    <xf numFmtId="0" fontId="9" fillId="0" borderId="0" xfId="0" applyFont="1"/>
    <xf numFmtId="173" fontId="9" fillId="0" borderId="0" xfId="0" applyNumberFormat="1" applyFont="1"/>
    <xf numFmtId="172" fontId="0" fillId="105" borderId="2" xfId="0" applyNumberFormat="1" applyFill="1" applyBorder="1"/>
    <xf numFmtId="0" fontId="0" fillId="105" borderId="0" xfId="0" applyFill="1"/>
    <xf numFmtId="173" fontId="251" fillId="106" borderId="0" xfId="0" applyNumberFormat="1" applyFont="1" applyFill="1" applyAlignment="1">
      <alignment horizontal="right"/>
    </xf>
    <xf numFmtId="15" fontId="16" fillId="80" borderId="86" xfId="2" applyNumberFormat="1" applyFont="1" applyFill="1" applyBorder="1" applyAlignment="1">
      <alignment horizontal="right"/>
    </xf>
    <xf numFmtId="281" fontId="16" fillId="80" borderId="86" xfId="2" applyNumberFormat="1" applyFont="1" applyFill="1" applyBorder="1" applyAlignment="1">
      <alignment horizontal="right"/>
    </xf>
    <xf numFmtId="172" fontId="341" fillId="80" borderId="86" xfId="0" applyNumberFormat="1" applyFont="1" applyFill="1" applyBorder="1" applyAlignment="1">
      <alignment horizontal="right"/>
    </xf>
    <xf numFmtId="172" fontId="14" fillId="7" borderId="66" xfId="0" applyNumberFormat="1" applyFont="1" applyFill="1" applyBorder="1"/>
    <xf numFmtId="328" fontId="298" fillId="3" borderId="86" xfId="2311" applyNumberFormat="1" applyFont="1" applyFill="1" applyBorder="1"/>
    <xf numFmtId="328" fontId="9" fillId="104" borderId="86" xfId="2311" applyNumberFormat="1" applyFont="1" applyFill="1" applyBorder="1"/>
    <xf numFmtId="328" fontId="262" fillId="3" borderId="86" xfId="2311" applyNumberFormat="1" applyFont="1" applyFill="1" applyBorder="1"/>
    <xf numFmtId="172" fontId="263" fillId="7" borderId="75" xfId="0" applyNumberFormat="1" applyFont="1" applyFill="1" applyBorder="1" applyAlignment="1">
      <alignment horizontal="left"/>
    </xf>
    <xf numFmtId="172" fontId="17" fillId="7" borderId="75" xfId="0" applyNumberFormat="1" applyFont="1" applyFill="1" applyBorder="1" applyAlignment="1">
      <alignment horizontal="left"/>
    </xf>
    <xf numFmtId="15" fontId="8" fillId="7" borderId="75" xfId="0" applyNumberFormat="1" applyFont="1" applyFill="1" applyBorder="1" applyAlignment="1">
      <alignment horizontal="left"/>
    </xf>
    <xf numFmtId="172" fontId="22" fillId="7" borderId="75" xfId="0" applyNumberFormat="1" applyFont="1" applyFill="1" applyBorder="1" applyAlignment="1">
      <alignment horizontal="left"/>
    </xf>
    <xf numFmtId="0" fontId="0" fillId="0" borderId="75" xfId="0" applyBorder="1"/>
    <xf numFmtId="0" fontId="0" fillId="0" borderId="77" xfId="0" applyBorder="1"/>
    <xf numFmtId="255" fontId="261" fillId="0" borderId="75" xfId="0" applyNumberFormat="1" applyFont="1" applyBorder="1"/>
    <xf numFmtId="255" fontId="0" fillId="0" borderId="75" xfId="0" applyNumberFormat="1" applyBorder="1"/>
    <xf numFmtId="37" fontId="0" fillId="0" borderId="75" xfId="0" applyNumberFormat="1" applyBorder="1"/>
    <xf numFmtId="173" fontId="21" fillId="0" borderId="75" xfId="0" applyNumberFormat="1" applyFont="1" applyBorder="1"/>
    <xf numFmtId="172" fontId="0" fillId="0" borderId="75" xfId="0" applyNumberFormat="1" applyBorder="1"/>
    <xf numFmtId="0" fontId="21" fillId="8" borderId="65" xfId="0" applyFont="1" applyFill="1" applyBorder="1" applyAlignment="1">
      <alignment horizontal="center"/>
    </xf>
    <xf numFmtId="10" fontId="297" fillId="0" borderId="90" xfId="0" applyNumberFormat="1" applyFont="1" applyBorder="1"/>
    <xf numFmtId="10" fontId="0" fillId="8" borderId="65" xfId="0" applyNumberFormat="1" applyFill="1" applyBorder="1"/>
    <xf numFmtId="329" fontId="297" fillId="0" borderId="91" xfId="0" applyNumberFormat="1" applyFont="1" applyBorder="1" applyAlignment="1">
      <alignment horizontal="center"/>
    </xf>
    <xf numFmtId="329" fontId="0" fillId="8" borderId="65" xfId="0" applyNumberFormat="1" applyFill="1" applyBorder="1" applyAlignment="1">
      <alignment horizontal="center"/>
    </xf>
    <xf numFmtId="37" fontId="0" fillId="0" borderId="76" xfId="0" applyNumberFormat="1" applyBorder="1" applyAlignment="1">
      <alignment horizontal="center"/>
    </xf>
    <xf numFmtId="37" fontId="0" fillId="0" borderId="75" xfId="0" applyNumberFormat="1" applyBorder="1" applyAlignment="1">
      <alignment horizontal="center"/>
    </xf>
    <xf numFmtId="37" fontId="0" fillId="0" borderId="77" xfId="0" applyNumberFormat="1" applyBorder="1" applyAlignment="1">
      <alignment horizontal="center"/>
    </xf>
    <xf numFmtId="37" fontId="0" fillId="0" borderId="65" xfId="0" applyNumberFormat="1" applyBorder="1" applyAlignment="1">
      <alignment horizontal="center"/>
    </xf>
    <xf numFmtId="173" fontId="297" fillId="0" borderId="92" xfId="0" applyNumberFormat="1" applyFont="1" applyBorder="1"/>
    <xf numFmtId="37" fontId="0" fillId="0" borderId="64" xfId="0" applyNumberFormat="1" applyBorder="1" applyAlignment="1">
      <alignment horizontal="center"/>
    </xf>
    <xf numFmtId="10" fontId="297" fillId="0" borderId="90" xfId="0" applyNumberFormat="1" applyFont="1" applyBorder="1" applyAlignment="1">
      <alignment horizontal="center"/>
    </xf>
    <xf numFmtId="10" fontId="0" fillId="8" borderId="65" xfId="0" applyNumberFormat="1" applyFill="1" applyBorder="1" applyAlignment="1">
      <alignment horizontal="center"/>
    </xf>
    <xf numFmtId="329" fontId="297" fillId="0" borderId="90" xfId="0" applyNumberFormat="1" applyFont="1" applyBorder="1"/>
    <xf numFmtId="329" fontId="0" fillId="8" borderId="65" xfId="0" applyNumberFormat="1" applyFill="1" applyBorder="1"/>
    <xf numFmtId="255" fontId="0" fillId="0" borderId="76" xfId="0" applyNumberFormat="1" applyBorder="1" applyAlignment="1">
      <alignment horizontal="center"/>
    </xf>
    <xf numFmtId="255" fontId="0" fillId="0" borderId="75" xfId="0" applyNumberFormat="1" applyBorder="1" applyAlignment="1">
      <alignment horizontal="center"/>
    </xf>
    <xf numFmtId="255" fontId="0" fillId="0" borderId="77" xfId="0" applyNumberFormat="1" applyBorder="1" applyAlignment="1">
      <alignment horizontal="center"/>
    </xf>
    <xf numFmtId="37" fontId="0" fillId="0" borderId="76" xfId="0" applyNumberFormat="1" applyBorder="1"/>
    <xf numFmtId="37" fontId="0" fillId="0" borderId="77" xfId="0" applyNumberFormat="1" applyBorder="1"/>
    <xf numFmtId="255" fontId="0" fillId="0" borderId="65" xfId="0" applyNumberFormat="1" applyBorder="1" applyAlignment="1">
      <alignment horizontal="center"/>
    </xf>
    <xf numFmtId="37" fontId="0" fillId="0" borderId="65" xfId="0" applyNumberFormat="1" applyBorder="1"/>
    <xf numFmtId="255" fontId="0" fillId="0" borderId="64" xfId="0" applyNumberFormat="1" applyBorder="1" applyAlignment="1">
      <alignment horizontal="center"/>
    </xf>
    <xf numFmtId="37" fontId="0" fillId="0" borderId="64" xfId="0" applyNumberFormat="1" applyBorder="1"/>
    <xf numFmtId="10" fontId="16" fillId="104" borderId="1" xfId="0" applyNumberFormat="1" applyFont="1" applyFill="1" applyBorder="1"/>
    <xf numFmtId="10" fontId="8" fillId="104" borderId="1" xfId="0" applyNumberFormat="1" applyFont="1" applyFill="1" applyBorder="1"/>
    <xf numFmtId="329" fontId="16" fillId="104" borderId="1" xfId="0" applyNumberFormat="1" applyFont="1" applyFill="1" applyBorder="1"/>
    <xf numFmtId="173" fontId="16" fillId="0" borderId="1" xfId="0" applyNumberFormat="1" applyFont="1" applyBorder="1"/>
    <xf numFmtId="4" fontId="264" fillId="7" borderId="14" xfId="0" applyNumberFormat="1" applyFont="1" applyFill="1" applyBorder="1" applyAlignment="1">
      <alignment horizontal="left" vertical="center"/>
    </xf>
    <xf numFmtId="4" fontId="18" fillId="7" borderId="0" xfId="0" applyNumberFormat="1" applyFont="1" applyFill="1" applyAlignment="1">
      <alignment horizontal="left" vertical="center"/>
    </xf>
    <xf numFmtId="4" fontId="18" fillId="7" borderId="14" xfId="0" applyNumberFormat="1" applyFont="1" applyFill="1" applyBorder="1" applyAlignment="1">
      <alignment horizontal="left" vertical="center"/>
    </xf>
    <xf numFmtId="0" fontId="26" fillId="0" borderId="20" xfId="0" applyFont="1" applyBorder="1" applyAlignment="1">
      <alignment horizontal="center" textRotation="90"/>
    </xf>
    <xf numFmtId="0" fontId="0" fillId="10" borderId="10" xfId="0" applyFill="1" applyBorder="1" applyAlignment="1">
      <alignment horizontal="center"/>
    </xf>
    <xf numFmtId="0" fontId="261" fillId="60" borderId="0" xfId="3623" applyFont="1" applyFill="1" applyAlignment="1">
      <alignment horizontal="left" vertical="center" readingOrder="1"/>
    </xf>
    <xf numFmtId="0" fontId="261" fillId="60" borderId="82" xfId="3623" applyFont="1" applyFill="1" applyBorder="1" applyAlignment="1">
      <alignment horizontal="left" vertical="center" readingOrder="1"/>
    </xf>
    <xf numFmtId="0" fontId="262" fillId="60" borderId="0" xfId="3623" applyFont="1" applyFill="1" applyAlignment="1">
      <alignment horizontal="center" vertical="center" textRotation="90" wrapText="1" readingOrder="1"/>
    </xf>
    <xf numFmtId="0" fontId="262" fillId="60" borderId="10" xfId="3623" applyFont="1" applyFill="1" applyBorder="1" applyAlignment="1">
      <alignment horizontal="center" vertical="center" textRotation="90" wrapText="1" readingOrder="1"/>
    </xf>
    <xf numFmtId="15" fontId="262" fillId="60" borderId="0" xfId="3623" applyNumberFormat="1" applyFont="1" applyFill="1" applyAlignment="1">
      <alignment horizontal="center" vertical="center" wrapText="1" readingOrder="1"/>
    </xf>
  </cellXfs>
  <cellStyles count="3810">
    <cellStyle name="_x0010_" xfId="3627" xr:uid="{00000000-0005-0000-0000-000000000000}"/>
    <cellStyle name="-" xfId="9" xr:uid="{00000000-0005-0000-0000-000001000000}"/>
    <cellStyle name="#" xfId="10" xr:uid="{00000000-0005-0000-0000-000002000000}"/>
    <cellStyle name="#_Feeder" xfId="11" xr:uid="{00000000-0005-0000-0000-000003000000}"/>
    <cellStyle name="#_Feeder_Ratings Adj._FLAMINGO" xfId="1749" xr:uid="{00000000-0005-0000-0000-000004000000}"/>
    <cellStyle name="#_Gerresheimer_Bank_model_021205_final" xfId="12" xr:uid="{00000000-0005-0000-0000-000005000000}"/>
    <cellStyle name="#_M&amp;A Model" xfId="13" xr:uid="{00000000-0005-0000-0000-000006000000}"/>
    <cellStyle name="#_M&amp;A Model_Ratings Adj._FLAMINGO" xfId="1750" xr:uid="{00000000-0005-0000-0000-000007000000}"/>
    <cellStyle name="#_M&amp;A projections" xfId="14" xr:uid="{00000000-0005-0000-0000-000008000000}"/>
    <cellStyle name="#_M&amp;A projections_Ratings Adj._FLAMINGO" xfId="1751" xr:uid="{00000000-0005-0000-0000-000009000000}"/>
    <cellStyle name="#_Ratings Adj._FLAMINGO" xfId="1752" xr:uid="{00000000-0005-0000-0000-00000A000000}"/>
    <cellStyle name="$" xfId="15" xr:uid="{00000000-0005-0000-0000-00000B000000}"/>
    <cellStyle name="$ &amp; ¢" xfId="1753" xr:uid="{00000000-0005-0000-0000-00000C000000}"/>
    <cellStyle name="$ Currency" xfId="16" xr:uid="{00000000-0005-0000-0000-00000D000000}"/>
    <cellStyle name="$_Ipsen Act" xfId="1754" xr:uid="{00000000-0005-0000-0000-00000E000000}"/>
    <cellStyle name="$0" xfId="17" xr:uid="{00000000-0005-0000-0000-00000F000000}"/>
    <cellStyle name="$1" xfId="18" xr:uid="{00000000-0005-0000-0000-000010000000}"/>
    <cellStyle name="$2" xfId="19" xr:uid="{00000000-0005-0000-0000-000011000000}"/>
    <cellStyle name="$m" xfId="20" xr:uid="{00000000-0005-0000-0000-000012000000}"/>
    <cellStyle name="%" xfId="21" xr:uid="{00000000-0005-0000-0000-000013000000}"/>
    <cellStyle name="% [2]" xfId="22" xr:uid="{00000000-0005-0000-0000-000014000000}"/>
    <cellStyle name="%.00" xfId="23" xr:uid="{00000000-0005-0000-0000-000015000000}"/>
    <cellStyle name="%_Blank LBO Model v15" xfId="24" xr:uid="{00000000-0005-0000-0000-000016000000}"/>
    <cellStyle name="%_Crib sheet" xfId="1755" xr:uid="{00000000-0005-0000-0000-000017000000}"/>
    <cellStyle name="%_Crib sheet_Covenants_draft_260412" xfId="1756" xr:uid="{00000000-0005-0000-0000-000018000000}"/>
    <cellStyle name="%_Feeder" xfId="25" xr:uid="{00000000-0005-0000-0000-000019000000}"/>
    <cellStyle name="%_George - LBO Model 3.1" xfId="26" xr:uid="{00000000-0005-0000-0000-00001A000000}"/>
    <cellStyle name="%_Head Office Pack - Draft 4" xfId="1757" xr:uid="{00000000-0005-0000-0000-00001B000000}"/>
    <cellStyle name="%_Head Office Pack - Draft 4_Covenants_draft_260412" xfId="1758" xr:uid="{00000000-0005-0000-0000-00001C000000}"/>
    <cellStyle name="%_Internal" xfId="1759" xr:uid="{00000000-0005-0000-0000-00001D000000}"/>
    <cellStyle name="%_Internal 1" xfId="1760" xr:uid="{00000000-0005-0000-0000-00001E000000}"/>
    <cellStyle name="%_Internal 1_Projections Pack" xfId="1761" xr:uid="{00000000-0005-0000-0000-00001F000000}"/>
    <cellStyle name="%_Internal 1_Projections Pack (TM)" xfId="1762" xr:uid="{00000000-0005-0000-0000-000020000000}"/>
    <cellStyle name="%_Internal 1_Quasi Rent Illustration" xfId="1763" xr:uid="{00000000-0005-0000-0000-000021000000}"/>
    <cellStyle name="%_Internal_Projections Pack" xfId="1764" xr:uid="{00000000-0005-0000-0000-000022000000}"/>
    <cellStyle name="%_Internal_Projections Pack (TM)" xfId="1765" xr:uid="{00000000-0005-0000-0000-000023000000}"/>
    <cellStyle name="%_Internal_Quasi Rent Illustration" xfId="1766" xr:uid="{00000000-0005-0000-0000-000024000000}"/>
    <cellStyle name="%_IT Budget 2011" xfId="1767" xr:uid="{00000000-0005-0000-0000-000025000000}"/>
    <cellStyle name="%_IT Budget Master 2011 - Draft V2 1 (2)" xfId="1768" xr:uid="{00000000-0005-0000-0000-000026000000}"/>
    <cellStyle name="%_Labour Benchmark - 17th Sept" xfId="1769" xr:uid="{00000000-0005-0000-0000-000027000000}"/>
    <cellStyle name="%_Labour Benchmark - 17th Sept_Covenants_draft_260412" xfId="1770" xr:uid="{00000000-0005-0000-0000-000028000000}"/>
    <cellStyle name="%_Labour Top Down vs Bottom Up" xfId="1771" xr:uid="{00000000-0005-0000-0000-000029000000}"/>
    <cellStyle name="%_Labour Top Down vs Bottom Up_Covenants_draft_260412" xfId="1772" xr:uid="{00000000-0005-0000-0000-00002A000000}"/>
    <cellStyle name="%_M&amp;A Model" xfId="27" xr:uid="{00000000-0005-0000-0000-00002B000000}"/>
    <cellStyle name="%_M&amp;A projections" xfId="28" xr:uid="{00000000-0005-0000-0000-00002C000000}"/>
    <cellStyle name="%_Marketing &amp; Product" xfId="1773" xr:uid="{00000000-0005-0000-0000-00002D000000}"/>
    <cellStyle name="%_Marketing Bridge" xfId="1774" xr:uid="{00000000-0005-0000-0000-00002E000000}"/>
    <cellStyle name="%_Marketing Bridge_Covenants_draft_260412" xfId="1775" xr:uid="{00000000-0005-0000-0000-00002F000000}"/>
    <cellStyle name="%_Marketing Bridge_Marketing &amp; Product" xfId="1776" xr:uid="{00000000-0005-0000-0000-000030000000}"/>
    <cellStyle name="%_Net Gain Review Pack - 28th Sept" xfId="1777" xr:uid="{00000000-0005-0000-0000-000031000000}"/>
    <cellStyle name="%_Page for Exec Pack" xfId="1778" xr:uid="{00000000-0005-0000-0000-000032000000}"/>
    <cellStyle name="%_PAR overlay" xfId="1779" xr:uid="{00000000-0005-0000-0000-000033000000}"/>
    <cellStyle name="%_PAR overlay_Projections Pack" xfId="1780" xr:uid="{00000000-0005-0000-0000-000034000000}"/>
    <cellStyle name="%_PAR overlay_Projections Pack (TM)" xfId="1781" xr:uid="{00000000-0005-0000-0000-000035000000}"/>
    <cellStyle name="%_PAR overlay_Quasi Rent Illustration" xfId="1782" xr:uid="{00000000-0005-0000-0000-000036000000}"/>
    <cellStyle name="%_Sceanrio 2 Update - Dec 2nd" xfId="1783" xr:uid="{00000000-0005-0000-0000-000037000000}"/>
    <cellStyle name="%_Sceanrio 2 Update - Dec 2nd_Projections Pack" xfId="1784" xr:uid="{00000000-0005-0000-0000-000038000000}"/>
    <cellStyle name="%_Sceanrio 2 Update - Dec 2nd_Projections Pack (TM)" xfId="1785" xr:uid="{00000000-0005-0000-0000-000039000000}"/>
    <cellStyle name="%_Sceanrio 2 Update - Dec 2nd_Quasi Rent Illustration" xfId="1786" xr:uid="{00000000-0005-0000-0000-00003A000000}"/>
    <cellStyle name="%_Sheet1" xfId="1787" xr:uid="{00000000-0005-0000-0000-00003B000000}"/>
    <cellStyle name="%0" xfId="29" xr:uid="{00000000-0005-0000-0000-00003C000000}"/>
    <cellStyle name="%1" xfId="30" xr:uid="{00000000-0005-0000-0000-00003D000000}"/>
    <cellStyle name="%2" xfId="31" xr:uid="{00000000-0005-0000-0000-00003E000000}"/>
    <cellStyle name="%input" xfId="3629" xr:uid="{00000000-0005-0000-0000-00003F000000}"/>
    <cellStyle name="******************************************" xfId="32" xr:uid="{00000000-0005-0000-0000-000040000000}"/>
    <cellStyle name="*TD" xfId="33" xr:uid="{00000000-0005-0000-0000-000041000000}"/>
    <cellStyle name="." xfId="34" xr:uid="{00000000-0005-0000-0000-000042000000}"/>
    <cellStyle name=".1" xfId="35" xr:uid="{00000000-0005-0000-0000-000043000000}"/>
    <cellStyle name=";;;" xfId="36" xr:uid="{00000000-0005-0000-0000-000044000000}"/>
    <cellStyle name="?? [0]_??" xfId="37" xr:uid="{00000000-0005-0000-0000-000045000000}"/>
    <cellStyle name="??_?.????" xfId="38" xr:uid="{00000000-0005-0000-0000-000046000000}"/>
    <cellStyle name="\" xfId="39" xr:uid="{00000000-0005-0000-0000-000047000000}"/>
    <cellStyle name="\_bluebirdacdil13" xfId="40" xr:uid="{00000000-0005-0000-0000-000048000000}"/>
    <cellStyle name="\_ecomps7w" xfId="41" xr:uid="{00000000-0005-0000-0000-000049000000}"/>
    <cellStyle name="\_equitycomps9" xfId="42" xr:uid="{00000000-0005-0000-0000-00004A000000}"/>
    <cellStyle name="\_houston Isabel" xfId="43" xr:uid="{00000000-0005-0000-0000-00004B000000}"/>
    <cellStyle name="\_hybrid2" xfId="44" xr:uid="{00000000-0005-0000-0000-00004C000000}"/>
    <cellStyle name="\_ITXCcomps" xfId="45" xr:uid="{00000000-0005-0000-0000-00004D000000}"/>
    <cellStyle name="\_newcomps16" xfId="46" xr:uid="{00000000-0005-0000-0000-00004E000000}"/>
    <cellStyle name="\_ravenpitch3" xfId="47" xr:uid="{00000000-0005-0000-0000-00004F000000}"/>
    <cellStyle name="_%(SignOnly)" xfId="48" xr:uid="{00000000-0005-0000-0000-000050000000}"/>
    <cellStyle name="_%(SignOnly)_EXPN" xfId="49" xr:uid="{00000000-0005-0000-0000-000051000000}"/>
    <cellStyle name="_%(SignSpaceOnly)" xfId="50" xr:uid="{00000000-0005-0000-0000-000052000000}"/>
    <cellStyle name="_%(SignSpaceOnly)_EXPN" xfId="51" xr:uid="{00000000-0005-0000-0000-000053000000}"/>
    <cellStyle name="_2009 04 Capex reporting Exec pack draft" xfId="1788" xr:uid="{00000000-0005-0000-0000-000054000000}"/>
    <cellStyle name="_2009 04 Capex reporting Exec pack draft_Covenants_draft_260412" xfId="1789" xr:uid="{00000000-0005-0000-0000-000055000000}"/>
    <cellStyle name="_2009 04 Capex reporting Exec pack draft_Head Office Pack - Draft 1" xfId="1790" xr:uid="{00000000-0005-0000-0000-000056000000}"/>
    <cellStyle name="_2009 04 Capex reporting Exec pack draft_Head Office Pack - Draft 4" xfId="1791" xr:uid="{00000000-0005-0000-0000-000057000000}"/>
    <cellStyle name="_2009 04 Capex reporting Exec pack draft_Property Budget 2011" xfId="1792" xr:uid="{00000000-0005-0000-0000-000058000000}"/>
    <cellStyle name="_2009 04 Capex reporting Exec pack draft_Property Budget 2011_Covenants_draft_260412" xfId="1793" xr:uid="{00000000-0005-0000-0000-000059000000}"/>
    <cellStyle name="_2009 04 Capex reporting Exec pack draft_Property Budget 2011_Marketing &amp; Product" xfId="1794" xr:uid="{00000000-0005-0000-0000-00005A000000}"/>
    <cellStyle name="_2009 04 Capex reporting Exec pack draft_Sheet1" xfId="1795" xr:uid="{00000000-0005-0000-0000-00005B000000}"/>
    <cellStyle name="_2009 05 Capex reporting EXEC PACK draft v2" xfId="1796" xr:uid="{00000000-0005-0000-0000-00005C000000}"/>
    <cellStyle name="_2009 05 Capex reporting EXEC PACK draft v2_Covenants_draft_260412" xfId="1797" xr:uid="{00000000-0005-0000-0000-00005D000000}"/>
    <cellStyle name="_2009 05 Capex reporting EXEC PACK draft v2_Head Office Pack - Draft 1" xfId="1798" xr:uid="{00000000-0005-0000-0000-00005E000000}"/>
    <cellStyle name="_2009 05 Capex reporting EXEC PACK draft v2_Head Office Pack - Draft 4" xfId="1799" xr:uid="{00000000-0005-0000-0000-00005F000000}"/>
    <cellStyle name="_2009 05 Capex reporting EXEC PACK draft v2_Property Budget 2011" xfId="1800" xr:uid="{00000000-0005-0000-0000-000060000000}"/>
    <cellStyle name="_2009 05 Capex reporting EXEC PACK draft v2_Property Budget 2011_Covenants_draft_260412" xfId="1801" xr:uid="{00000000-0005-0000-0000-000061000000}"/>
    <cellStyle name="_2009 05 Capex reporting EXEC PACK draft v2_Property Budget 2011_Marketing &amp; Product" xfId="1802" xr:uid="{00000000-0005-0000-0000-000062000000}"/>
    <cellStyle name="_2009 05 Capex reporting EXEC PACK draft v2_Sheet1" xfId="1803" xr:uid="{00000000-0005-0000-0000-000063000000}"/>
    <cellStyle name="_2009 P3 Capex report v1" xfId="1804" xr:uid="{00000000-0005-0000-0000-000064000000}"/>
    <cellStyle name="_2009 P3 Capex report v1_Covenants_draft_260412" xfId="1805" xr:uid="{00000000-0005-0000-0000-000065000000}"/>
    <cellStyle name="_2009 P3 Capex report v1_Head Office Pack - Draft 1" xfId="1806" xr:uid="{00000000-0005-0000-0000-000066000000}"/>
    <cellStyle name="_2009 P3 Capex report v1_Head Office Pack - Draft 4" xfId="1807" xr:uid="{00000000-0005-0000-0000-000067000000}"/>
    <cellStyle name="_2009 P3 Capex report v1_Property Budget 2011" xfId="1808" xr:uid="{00000000-0005-0000-0000-000068000000}"/>
    <cellStyle name="_2009 P3 Capex report v1_Property Budget 2011_Covenants_draft_260412" xfId="1809" xr:uid="{00000000-0005-0000-0000-000069000000}"/>
    <cellStyle name="_2009 P3 Capex report v1_Property Budget 2011_Marketing &amp; Product" xfId="1810" xr:uid="{00000000-0005-0000-0000-00006A000000}"/>
    <cellStyle name="_2009 P3 Capex report v1_Sheet1" xfId="1811" xr:uid="{00000000-0005-0000-0000-00006B000000}"/>
    <cellStyle name="_2010 Budget - Property PPM" xfId="1812" xr:uid="{00000000-0005-0000-0000-00006C000000}"/>
    <cellStyle name="_2010 Budget - Property PPM_Covenants_draft_260412" xfId="1813" xr:uid="{00000000-0005-0000-0000-00006D000000}"/>
    <cellStyle name="_2010 Budget - Property PPM_Head Office Pack - Draft 1" xfId="1814" xr:uid="{00000000-0005-0000-0000-00006E000000}"/>
    <cellStyle name="_2010 Budget - Property PPM_Head Office Pack - Draft 4" xfId="1815" xr:uid="{00000000-0005-0000-0000-00006F000000}"/>
    <cellStyle name="_2010 Budget - Property PPM_Sheet1" xfId="1816" xr:uid="{00000000-0005-0000-0000-000070000000}"/>
    <cellStyle name="_2010 Rent Budget" xfId="1817" xr:uid="{00000000-0005-0000-0000-000071000000}"/>
    <cellStyle name="_2010 Rent Budget_Covenants_draft_260412" xfId="1818" xr:uid="{00000000-0005-0000-0000-000072000000}"/>
    <cellStyle name="_2010 Rent Budget_Head Office Pack - Draft 1" xfId="1819" xr:uid="{00000000-0005-0000-0000-000073000000}"/>
    <cellStyle name="_2010 Rent Budget_Head Office Pack - Draft 4" xfId="1820" xr:uid="{00000000-0005-0000-0000-000074000000}"/>
    <cellStyle name="_2010 Rent Budget_Sheet1" xfId="1821" xr:uid="{00000000-0005-0000-0000-000075000000}"/>
    <cellStyle name="_57 Project Fly (2)" xfId="52" xr:uid="{00000000-0005-0000-0000-000076000000}"/>
    <cellStyle name="_Aberdeen" xfId="1822" xr:uid="{00000000-0005-0000-0000-000077000000}"/>
    <cellStyle name="_Accruals" xfId="1823" xr:uid="{00000000-0005-0000-0000-000078000000}"/>
    <cellStyle name="_Accruals_Covenants_draft_260412" xfId="1824" xr:uid="{00000000-0005-0000-0000-000079000000}"/>
    <cellStyle name="_Accruals_Head Office Pack - Draft 1" xfId="1825" xr:uid="{00000000-0005-0000-0000-00007A000000}"/>
    <cellStyle name="_Accruals_Head Office Pack - Draft 4" xfId="1826" xr:uid="{00000000-0005-0000-0000-00007B000000}"/>
    <cellStyle name="_Accruals_Property Budget 2011" xfId="1827" xr:uid="{00000000-0005-0000-0000-00007C000000}"/>
    <cellStyle name="_Accruals_Property Budget 2011_Covenants_draft_260412" xfId="1828" xr:uid="{00000000-0005-0000-0000-00007D000000}"/>
    <cellStyle name="_Accruals_Property Budget 2011_Marketing &amp; Product" xfId="1829" xr:uid="{00000000-0005-0000-0000-00007E000000}"/>
    <cellStyle name="_Accruals_Sheet1" xfId="1830" xr:uid="{00000000-0005-0000-0000-00007F000000}"/>
    <cellStyle name="_Benchmarking - generic sheet" xfId="1831" xr:uid="{00000000-0005-0000-0000-000080000000}"/>
    <cellStyle name="_Benchmarking - generic sheet_Covenants_draft_260412" xfId="1832" xr:uid="{00000000-0005-0000-0000-000081000000}"/>
    <cellStyle name="_Benchmarking - generic sheet_Head Office Pack - Draft 1" xfId="1833" xr:uid="{00000000-0005-0000-0000-000082000000}"/>
    <cellStyle name="_Benchmarking - generic sheet_Head Office Pack - Draft 4" xfId="1834" xr:uid="{00000000-0005-0000-0000-000083000000}"/>
    <cellStyle name="_Benchmarking - generic sheet_Property Budget 2011" xfId="1835" xr:uid="{00000000-0005-0000-0000-000084000000}"/>
    <cellStyle name="_Benchmarking - generic sheet_Property Budget 2011_Covenants_draft_260412" xfId="1836" xr:uid="{00000000-0005-0000-0000-000085000000}"/>
    <cellStyle name="_Benchmarking - generic sheet_Property Budget 2011_Marketing &amp; Product" xfId="1837" xr:uid="{00000000-0005-0000-0000-000086000000}"/>
    <cellStyle name="_Benchmarking - generic sheet_Sheet1" xfId="1838" xr:uid="{00000000-0005-0000-0000-000087000000}"/>
    <cellStyle name="_Blank LBO Model v15" xfId="53" xr:uid="{00000000-0005-0000-0000-000088000000}"/>
    <cellStyle name="_Book2" xfId="54" xr:uid="{00000000-0005-0000-0000-000089000000}"/>
    <cellStyle name="_Book2_Covenants_draft_260412" xfId="1839" xr:uid="{00000000-0005-0000-0000-00008A000000}"/>
    <cellStyle name="_Book2_Head Office Pack - Draft 1" xfId="1840" xr:uid="{00000000-0005-0000-0000-00008B000000}"/>
    <cellStyle name="_Book2_Head Office Pack - Draft 4" xfId="1841" xr:uid="{00000000-0005-0000-0000-00008C000000}"/>
    <cellStyle name="_Book2_Property Budget 2011" xfId="1842" xr:uid="{00000000-0005-0000-0000-00008D000000}"/>
    <cellStyle name="_Book2_Property Budget 2011_Covenants_draft_260412" xfId="1843" xr:uid="{00000000-0005-0000-0000-00008E000000}"/>
    <cellStyle name="_Book2_Property Budget 2011_Marketing &amp; Product" xfId="1844" xr:uid="{00000000-0005-0000-0000-00008F000000}"/>
    <cellStyle name="_Book2_Sheet1" xfId="1845" xr:uid="{00000000-0005-0000-0000-000090000000}"/>
    <cellStyle name="_Book3" xfId="55" xr:uid="{00000000-0005-0000-0000-000091000000}"/>
    <cellStyle name="_BTI Financial forecasts" xfId="56" xr:uid="{00000000-0005-0000-0000-000092000000}"/>
    <cellStyle name="_Cairo LBO model - Sept 06" xfId="57" xr:uid="{00000000-0005-0000-0000-000093000000}"/>
    <cellStyle name="_Capex" xfId="1846" xr:uid="{00000000-0005-0000-0000-000094000000}"/>
    <cellStyle name="_Capex_Book2" xfId="1847" xr:uid="{00000000-0005-0000-0000-000095000000}"/>
    <cellStyle name="_Capex_Covenants_draft_260412" xfId="1848" xr:uid="{00000000-0005-0000-0000-000096000000}"/>
    <cellStyle name="_Capex_DRAFT 11" xfId="1849" xr:uid="{00000000-0005-0000-0000-000097000000}"/>
    <cellStyle name="_Capex_DRAFT 11_Covenants_draft_260412" xfId="1850" xr:uid="{00000000-0005-0000-0000-000098000000}"/>
    <cellStyle name="_Capex_DRAFT 11_Marketing &amp; Product" xfId="1851" xr:uid="{00000000-0005-0000-0000-000099000000}"/>
    <cellStyle name="_Capex_Head Office Pack - Draft 1" xfId="1852" xr:uid="{00000000-0005-0000-0000-00009A000000}"/>
    <cellStyle name="_Capex_Head Office Pack - Draft 4" xfId="1853" xr:uid="{00000000-0005-0000-0000-00009B000000}"/>
    <cellStyle name="_Capex_Internal" xfId="1854" xr:uid="{00000000-0005-0000-0000-00009C000000}"/>
    <cellStyle name="_Capex_Internal 1" xfId="1855" xr:uid="{00000000-0005-0000-0000-00009D000000}"/>
    <cellStyle name="_Capex_Internal 1_Projections Pack" xfId="1856" xr:uid="{00000000-0005-0000-0000-00009E000000}"/>
    <cellStyle name="_Capex_Internal 1_Projections Pack (TM)" xfId="1857" xr:uid="{00000000-0005-0000-0000-00009F000000}"/>
    <cellStyle name="_Capex_Internal 1_Quasi Rent Illustration" xfId="1858" xr:uid="{00000000-0005-0000-0000-0000A0000000}"/>
    <cellStyle name="_Capex_Internal_Projections Pack" xfId="1859" xr:uid="{00000000-0005-0000-0000-0000A1000000}"/>
    <cellStyle name="_Capex_Internal_Projections Pack (TM)" xfId="1860" xr:uid="{00000000-0005-0000-0000-0000A2000000}"/>
    <cellStyle name="_Capex_Internal_Quasi Rent Illustration" xfId="1861" xr:uid="{00000000-0005-0000-0000-0000A3000000}"/>
    <cellStyle name="_Capex_IT Budget 2011" xfId="1862" xr:uid="{00000000-0005-0000-0000-0000A4000000}"/>
    <cellStyle name="_Capex_IT Budget Master 2011 - Draft V2 1 (2)" xfId="1863" xr:uid="{00000000-0005-0000-0000-0000A5000000}"/>
    <cellStyle name="_Capex_Net Gain Review Pack - 28th Sept" xfId="1864" xr:uid="{00000000-0005-0000-0000-0000A6000000}"/>
    <cellStyle name="_Capex_PAR overlay" xfId="1865" xr:uid="{00000000-0005-0000-0000-0000A7000000}"/>
    <cellStyle name="_Capex_PAR overlay_Projections Pack" xfId="1866" xr:uid="{00000000-0005-0000-0000-0000A8000000}"/>
    <cellStyle name="_Capex_PAR overlay_Projections Pack (TM)" xfId="1867" xr:uid="{00000000-0005-0000-0000-0000A9000000}"/>
    <cellStyle name="_Capex_PAR overlay_Quasi Rent Illustration" xfId="1868" xr:uid="{00000000-0005-0000-0000-0000AA000000}"/>
    <cellStyle name="_Capex_Property Budget 2011" xfId="1869" xr:uid="{00000000-0005-0000-0000-0000AB000000}"/>
    <cellStyle name="_Capex_Property Budget 2011_Covenants_draft_260412" xfId="1870" xr:uid="{00000000-0005-0000-0000-0000AC000000}"/>
    <cellStyle name="_Capex_Property Budget 2011_Marketing &amp; Product" xfId="1871" xr:uid="{00000000-0005-0000-0000-0000AD000000}"/>
    <cellStyle name="_Capex_Sceanrio 2 Update - Dec 2nd" xfId="1872" xr:uid="{00000000-0005-0000-0000-0000AE000000}"/>
    <cellStyle name="_Capex_Sceanrio 2 Update - Dec 2nd_Projections Pack" xfId="1873" xr:uid="{00000000-0005-0000-0000-0000AF000000}"/>
    <cellStyle name="_Capex_Sceanrio 2 Update - Dec 2nd_Projections Pack (TM)" xfId="1874" xr:uid="{00000000-0005-0000-0000-0000B0000000}"/>
    <cellStyle name="_Capex_Sceanrio 2 Update - Dec 2nd_Quasi Rent Illustration" xfId="1875" xr:uid="{00000000-0005-0000-0000-0000B1000000}"/>
    <cellStyle name="_Capex_Sheet1" xfId="1876" xr:uid="{00000000-0005-0000-0000-0000B2000000}"/>
    <cellStyle name="_Capex_YLC" xfId="1877" xr:uid="{00000000-0005-0000-0000-0000B3000000}"/>
    <cellStyle name="_Causal" xfId="1878" xr:uid="{00000000-0005-0000-0000-0000B4000000}"/>
    <cellStyle name="_Causal_Book2" xfId="1879" xr:uid="{00000000-0005-0000-0000-0000B5000000}"/>
    <cellStyle name="_Causal_Covenants_draft_260412" xfId="1880" xr:uid="{00000000-0005-0000-0000-0000B6000000}"/>
    <cellStyle name="_Causal_Internal" xfId="1881" xr:uid="{00000000-0005-0000-0000-0000B7000000}"/>
    <cellStyle name="_Causal_Internal 1" xfId="1882" xr:uid="{00000000-0005-0000-0000-0000B8000000}"/>
    <cellStyle name="_Causal_Internal 1_Projections Pack" xfId="1883" xr:uid="{00000000-0005-0000-0000-0000B9000000}"/>
    <cellStyle name="_Causal_Internal 1_Projections Pack (TM)" xfId="1884" xr:uid="{00000000-0005-0000-0000-0000BA000000}"/>
    <cellStyle name="_Causal_Internal 1_Quasi Rent Illustration" xfId="1885" xr:uid="{00000000-0005-0000-0000-0000BB000000}"/>
    <cellStyle name="_Causal_Internal_Projections Pack" xfId="1886" xr:uid="{00000000-0005-0000-0000-0000BC000000}"/>
    <cellStyle name="_Causal_Internal_Projections Pack (TM)" xfId="1887" xr:uid="{00000000-0005-0000-0000-0000BD000000}"/>
    <cellStyle name="_Causal_Internal_Quasi Rent Illustration" xfId="1888" xr:uid="{00000000-0005-0000-0000-0000BE000000}"/>
    <cellStyle name="_Causal_Marketing &amp; Product" xfId="1889" xr:uid="{00000000-0005-0000-0000-0000BF000000}"/>
    <cellStyle name="_Causal_Net Gain Review Pack - 28th Sept" xfId="1890" xr:uid="{00000000-0005-0000-0000-0000C0000000}"/>
    <cellStyle name="_Causal_PAR overlay" xfId="1891" xr:uid="{00000000-0005-0000-0000-0000C1000000}"/>
    <cellStyle name="_Causal_PAR overlay_Projections Pack" xfId="1892" xr:uid="{00000000-0005-0000-0000-0000C2000000}"/>
    <cellStyle name="_Causal_PAR overlay_Projections Pack (TM)" xfId="1893" xr:uid="{00000000-0005-0000-0000-0000C3000000}"/>
    <cellStyle name="_Causal_PAR overlay_Quasi Rent Illustration" xfId="1894" xr:uid="{00000000-0005-0000-0000-0000C4000000}"/>
    <cellStyle name="_Causal_Sceanrio 2 Update - Dec 2nd" xfId="1895" xr:uid="{00000000-0005-0000-0000-0000C5000000}"/>
    <cellStyle name="_Causal_Sceanrio 2 Update - Dec 2nd_Projections Pack" xfId="1896" xr:uid="{00000000-0005-0000-0000-0000C6000000}"/>
    <cellStyle name="_Causal_Sceanrio 2 Update - Dec 2nd_Projections Pack (TM)" xfId="1897" xr:uid="{00000000-0005-0000-0000-0000C7000000}"/>
    <cellStyle name="_Causal_Sceanrio 2 Update - Dec 2nd_Quasi Rent Illustration" xfId="1898" xr:uid="{00000000-0005-0000-0000-0000C8000000}"/>
    <cellStyle name="_Causal_Sheet1" xfId="1899" xr:uid="{00000000-0005-0000-0000-0000C9000000}"/>
    <cellStyle name="_Causal_YLC" xfId="1900" xr:uid="{00000000-0005-0000-0000-0000CA000000}"/>
    <cellStyle name="_ClearFormat 4" xfId="3626" xr:uid="{00000000-0005-0000-0000-0000CB000000}"/>
    <cellStyle name="_Club summary_v06_140507" xfId="1901" xr:uid="{00000000-0005-0000-0000-0000CC000000}"/>
    <cellStyle name="_Club summary_v06_140507_Book2" xfId="1902" xr:uid="{00000000-0005-0000-0000-0000CD000000}"/>
    <cellStyle name="_Club summary_v06_140507_Covenants_draft_260412" xfId="1903" xr:uid="{00000000-0005-0000-0000-0000CE000000}"/>
    <cellStyle name="_Club summary_v06_140507_DRAFT 11" xfId="1904" xr:uid="{00000000-0005-0000-0000-0000CF000000}"/>
    <cellStyle name="_Club summary_v06_140507_DRAFT 11_Covenants_draft_260412" xfId="1905" xr:uid="{00000000-0005-0000-0000-0000D0000000}"/>
    <cellStyle name="_Club summary_v06_140507_DRAFT 11_Marketing &amp; Product" xfId="1906" xr:uid="{00000000-0005-0000-0000-0000D1000000}"/>
    <cellStyle name="_Club summary_v06_140507_Head Office Pack - Draft 1" xfId="1907" xr:uid="{00000000-0005-0000-0000-0000D2000000}"/>
    <cellStyle name="_Club summary_v06_140507_Head Office Pack - Draft 4" xfId="1908" xr:uid="{00000000-0005-0000-0000-0000D3000000}"/>
    <cellStyle name="_Club summary_v06_140507_Internal" xfId="1909" xr:uid="{00000000-0005-0000-0000-0000D4000000}"/>
    <cellStyle name="_Club summary_v06_140507_Internal 1" xfId="1910" xr:uid="{00000000-0005-0000-0000-0000D5000000}"/>
    <cellStyle name="_Club summary_v06_140507_Internal 1_Projections Pack" xfId="1911" xr:uid="{00000000-0005-0000-0000-0000D6000000}"/>
    <cellStyle name="_Club summary_v06_140507_Internal 1_Projections Pack (TM)" xfId="1912" xr:uid="{00000000-0005-0000-0000-0000D7000000}"/>
    <cellStyle name="_Club summary_v06_140507_Internal 1_Quasi Rent Illustration" xfId="1913" xr:uid="{00000000-0005-0000-0000-0000D8000000}"/>
    <cellStyle name="_Club summary_v06_140507_Internal_Projections Pack" xfId="1914" xr:uid="{00000000-0005-0000-0000-0000D9000000}"/>
    <cellStyle name="_Club summary_v06_140507_Internal_Projections Pack (TM)" xfId="1915" xr:uid="{00000000-0005-0000-0000-0000DA000000}"/>
    <cellStyle name="_Club summary_v06_140507_Internal_Quasi Rent Illustration" xfId="1916" xr:uid="{00000000-0005-0000-0000-0000DB000000}"/>
    <cellStyle name="_Club summary_v06_140507_IT Budget 2011" xfId="1917" xr:uid="{00000000-0005-0000-0000-0000DC000000}"/>
    <cellStyle name="_Club summary_v06_140507_IT Budget Master 2011 - Draft V2 1 (2)" xfId="1918" xr:uid="{00000000-0005-0000-0000-0000DD000000}"/>
    <cellStyle name="_Club summary_v06_140507_Net Gain Review Pack - 28th Sept" xfId="1919" xr:uid="{00000000-0005-0000-0000-0000DE000000}"/>
    <cellStyle name="_Club summary_v06_140507_PAR overlay" xfId="1920" xr:uid="{00000000-0005-0000-0000-0000DF000000}"/>
    <cellStyle name="_Club summary_v06_140507_PAR overlay_Projections Pack" xfId="1921" xr:uid="{00000000-0005-0000-0000-0000E0000000}"/>
    <cellStyle name="_Club summary_v06_140507_PAR overlay_Projections Pack (TM)" xfId="1922" xr:uid="{00000000-0005-0000-0000-0000E1000000}"/>
    <cellStyle name="_Club summary_v06_140507_PAR overlay_Quasi Rent Illustration" xfId="1923" xr:uid="{00000000-0005-0000-0000-0000E2000000}"/>
    <cellStyle name="_Club summary_v06_140507_Property Budget 2011" xfId="1924" xr:uid="{00000000-0005-0000-0000-0000E3000000}"/>
    <cellStyle name="_Club summary_v06_140507_Property Budget 2011_Covenants_draft_260412" xfId="1925" xr:uid="{00000000-0005-0000-0000-0000E4000000}"/>
    <cellStyle name="_Club summary_v06_140507_Property Budget 2011_Marketing &amp; Product" xfId="1926" xr:uid="{00000000-0005-0000-0000-0000E5000000}"/>
    <cellStyle name="_Club summary_v06_140507_Sceanrio 2 Update - Dec 2nd" xfId="1927" xr:uid="{00000000-0005-0000-0000-0000E6000000}"/>
    <cellStyle name="_Club summary_v06_140507_Sceanrio 2 Update - Dec 2nd_Projections Pack" xfId="1928" xr:uid="{00000000-0005-0000-0000-0000E7000000}"/>
    <cellStyle name="_Club summary_v06_140507_Sceanrio 2 Update - Dec 2nd_Projections Pack (TM)" xfId="1929" xr:uid="{00000000-0005-0000-0000-0000E8000000}"/>
    <cellStyle name="_Club summary_v06_140507_Sceanrio 2 Update - Dec 2nd_Quasi Rent Illustration" xfId="1930" xr:uid="{00000000-0005-0000-0000-0000E9000000}"/>
    <cellStyle name="_Club summary_v06_140507_Sheet1" xfId="1931" xr:uid="{00000000-0005-0000-0000-0000EA000000}"/>
    <cellStyle name="_Club summary_v06_140507_YLC" xfId="1932" xr:uid="{00000000-0005-0000-0000-0000EB000000}"/>
    <cellStyle name="_Column1" xfId="58" xr:uid="{00000000-0005-0000-0000-0000EC000000}"/>
    <cellStyle name="_Column1_Balance Sheet_restl. Eurowährungsl._Gruppe" xfId="59" xr:uid="{00000000-0005-0000-0000-0000ED000000}"/>
    <cellStyle name="_Column1_Bank case Viking (sent to JPM 10 Nov 05)" xfId="60" xr:uid="{00000000-0005-0000-0000-0000EE000000}"/>
    <cellStyle name="_Column1_Banks (2)" xfId="61" xr:uid="{00000000-0005-0000-0000-0000EF000000}"/>
    <cellStyle name="_Column1_Book2" xfId="1933" xr:uid="{00000000-0005-0000-0000-0000F0000000}"/>
    <cellStyle name="_Column1_Covenants_draft_260412" xfId="1934" xr:uid="{00000000-0005-0000-0000-0000F1000000}"/>
    <cellStyle name="_Column1_DRAFT 11" xfId="1935" xr:uid="{00000000-0005-0000-0000-0000F2000000}"/>
    <cellStyle name="_Column1_DRAFT 11_Covenants_draft_260412" xfId="1936" xr:uid="{00000000-0005-0000-0000-0000F3000000}"/>
    <cellStyle name="_Column1_DRAFT 11_Marketing &amp; Product" xfId="1937" xr:uid="{00000000-0005-0000-0000-0000F4000000}"/>
    <cellStyle name="_Column1_EBITDA-Recon P&amp;L OPSP04-08_GX" xfId="62" xr:uid="{00000000-0005-0000-0000-0000F5000000}"/>
    <cellStyle name="_Column1_Feeder" xfId="63" xr:uid="{00000000-0005-0000-0000-0000F6000000}"/>
    <cellStyle name="_Column1_Financial ratios_Euroland" xfId="64" xr:uid="{00000000-0005-0000-0000-0000F7000000}"/>
    <cellStyle name="_Column1_GX evaluation without pensions" xfId="65" xr:uid="{00000000-0005-0000-0000-0000F8000000}"/>
    <cellStyle name="_Column1_GX OPSP0509 incl. Zurückdrehen Subsidies NVM" xfId="66" xr:uid="{00000000-0005-0000-0000-0000F9000000}"/>
    <cellStyle name="_Column1_GX Plan" xfId="67" xr:uid="{00000000-0005-0000-0000-0000FA000000}"/>
    <cellStyle name="_Column1_Head Office Pack - Draft 1" xfId="1938" xr:uid="{00000000-0005-0000-0000-0000FB000000}"/>
    <cellStyle name="_Column1_Head Office Pack - Draft 4" xfId="1939" xr:uid="{00000000-0005-0000-0000-0000FC000000}"/>
    <cellStyle name="_Column1_Headcount" xfId="68" xr:uid="{00000000-0005-0000-0000-0000FD000000}"/>
    <cellStyle name="_Column1_Headcount_Monthly report" xfId="69" xr:uid="{00000000-0005-0000-0000-0000FE000000}"/>
    <cellStyle name="_Column1_Internal" xfId="1940" xr:uid="{00000000-0005-0000-0000-0000FF000000}"/>
    <cellStyle name="_Column1_Internal 1" xfId="1941" xr:uid="{00000000-0005-0000-0000-000000010000}"/>
    <cellStyle name="_Column1_Internal 1_Projections Pack" xfId="1942" xr:uid="{00000000-0005-0000-0000-000001010000}"/>
    <cellStyle name="_Column1_Internal 1_Projections Pack (TM)" xfId="1943" xr:uid="{00000000-0005-0000-0000-000002010000}"/>
    <cellStyle name="_Column1_Internal 1_Quasi Rent Illustration" xfId="1944" xr:uid="{00000000-0005-0000-0000-000003010000}"/>
    <cellStyle name="_Column1_Internal_Projections Pack" xfId="1945" xr:uid="{00000000-0005-0000-0000-000004010000}"/>
    <cellStyle name="_Column1_Internal_Projections Pack (TM)" xfId="1946" xr:uid="{00000000-0005-0000-0000-000005010000}"/>
    <cellStyle name="_Column1_Internal_Quasi Rent Illustration" xfId="1947" xr:uid="{00000000-0005-0000-0000-000006010000}"/>
    <cellStyle name="_Column1_IT Budget 2011" xfId="1948" xr:uid="{00000000-0005-0000-0000-000007010000}"/>
    <cellStyle name="_Column1_IT Budget Master 2011 - Draft V2 1 (2)" xfId="1949" xr:uid="{00000000-0005-0000-0000-000008010000}"/>
    <cellStyle name="_Column1_LTMJUN02" xfId="70" xr:uid="{00000000-0005-0000-0000-000009010000}"/>
    <cellStyle name="_Column1_M&amp;A Model" xfId="71" xr:uid="{00000000-0005-0000-0000-00000A010000}"/>
    <cellStyle name="_Column1_M&amp;A projections" xfId="72" xr:uid="{00000000-0005-0000-0000-00000B010000}"/>
    <cellStyle name="_Column1_MIS Reporting_Budget_JD" xfId="73" xr:uid="{00000000-0005-0000-0000-00000C010000}"/>
    <cellStyle name="_Column1_Net Gain Review Pack - 28th Sept" xfId="1950" xr:uid="{00000000-0005-0000-0000-00000D010000}"/>
    <cellStyle name="_Column1_New Gerresheimer bank plan (sent to JPM 26 Nov 05)" xfId="74" xr:uid="{00000000-0005-0000-0000-00000E010000}"/>
    <cellStyle name="_Column1_P&amp;L bank model - received from Gerresheimer 1 12 05" xfId="75" xr:uid="{00000000-0005-0000-0000-00000F010000}"/>
    <cellStyle name="_Column1_PAR overlay" xfId="1951" xr:uid="{00000000-0005-0000-0000-000010010000}"/>
    <cellStyle name="_Column1_PAR overlay_Projections Pack" xfId="1952" xr:uid="{00000000-0005-0000-0000-000011010000}"/>
    <cellStyle name="_Column1_PAR overlay_Projections Pack (TM)" xfId="1953" xr:uid="{00000000-0005-0000-0000-000012010000}"/>
    <cellStyle name="_Column1_PAR overlay_Quasi Rent Illustration" xfId="1954" xr:uid="{00000000-0005-0000-0000-000013010000}"/>
    <cellStyle name="_Column1_Plan model" xfId="76" xr:uid="{00000000-0005-0000-0000-000014010000}"/>
    <cellStyle name="_Column1_Property Budget 2011" xfId="1955" xr:uid="{00000000-0005-0000-0000-000015010000}"/>
    <cellStyle name="_Column1_Property Budget 2011_Covenants_draft_260412" xfId="1956" xr:uid="{00000000-0005-0000-0000-000016010000}"/>
    <cellStyle name="_Column1_Property Budget 2011_Marketing &amp; Product" xfId="1957" xr:uid="{00000000-0005-0000-0000-000017010000}"/>
    <cellStyle name="_Column1_Quarterly" xfId="77" xr:uid="{00000000-0005-0000-0000-000018010000}"/>
    <cellStyle name="_Column1_Sceanrio 2 Update - Dec 2nd" xfId="1958" xr:uid="{00000000-0005-0000-0000-000019010000}"/>
    <cellStyle name="_Column1_Sceanrio 2 Update - Dec 2nd_Projections Pack" xfId="1959" xr:uid="{00000000-0005-0000-0000-00001A010000}"/>
    <cellStyle name="_Column1_Sceanrio 2 Update - Dec 2nd_Projections Pack (TM)" xfId="1960" xr:uid="{00000000-0005-0000-0000-00001B010000}"/>
    <cellStyle name="_Column1_Sceanrio 2 Update - Dec 2nd_Quasi Rent Illustration" xfId="1961" xr:uid="{00000000-0005-0000-0000-00001C010000}"/>
    <cellStyle name="_Column1_Sheet1" xfId="1962" xr:uid="{00000000-0005-0000-0000-00001D010000}"/>
    <cellStyle name="_Column1_Tabelle1" xfId="78" xr:uid="{00000000-0005-0000-0000-00001E010000}"/>
    <cellStyle name="_Column1_TSG2" xfId="79" xr:uid="{00000000-0005-0000-0000-00001F010000}"/>
    <cellStyle name="_Column1_Update 2004 Figures v2 (sent to banks)" xfId="80" xr:uid="{00000000-0005-0000-0000-000020010000}"/>
    <cellStyle name="_Column1_WC benchmark Calc" xfId="81" xr:uid="{00000000-0005-0000-0000-000021010000}"/>
    <cellStyle name="_Column1_YLC" xfId="1963" xr:uid="{00000000-0005-0000-0000-000022010000}"/>
    <cellStyle name="_Column1_Zins und Bankschuldenberechnung_03_07" xfId="82" xr:uid="{00000000-0005-0000-0000-000023010000}"/>
    <cellStyle name="_Column2" xfId="83" xr:uid="{00000000-0005-0000-0000-000024010000}"/>
    <cellStyle name="_Column2_051003 Viking Business plan" xfId="84" xr:uid="{00000000-0005-0000-0000-000025010000}"/>
    <cellStyle name="_Column2_051004 Viking Business plan10" xfId="85" xr:uid="{00000000-0005-0000-0000-000026010000}"/>
    <cellStyle name="_Column2_Bank case Viking (sent to JPM 10 Nov 05)" xfId="86" xr:uid="{00000000-0005-0000-0000-000027010000}"/>
    <cellStyle name="_Column2_Cost Price Assumptions OPSP0509 vs OPSP0610" xfId="87" xr:uid="{00000000-0005-0000-0000-000028010000}"/>
    <cellStyle name="_Column2_Feeder" xfId="88" xr:uid="{00000000-0005-0000-0000-000029010000}"/>
    <cellStyle name="_Column2_FY 2005-2009 OP-SP Update (11-Oct-04)" xfId="89" xr:uid="{00000000-0005-0000-0000-00002A010000}"/>
    <cellStyle name="_Column2_Key assumptions GX companies" xfId="90" xr:uid="{00000000-0005-0000-0000-00002B010000}"/>
    <cellStyle name="_Column2_M&amp;A Model" xfId="91" xr:uid="{00000000-0005-0000-0000-00002C010000}"/>
    <cellStyle name="_Column2_M&amp;A projections" xfId="92" xr:uid="{00000000-0005-0000-0000-00002D010000}"/>
    <cellStyle name="_Column2_Mappe2" xfId="93" xr:uid="{00000000-0005-0000-0000-00002E010000}"/>
    <cellStyle name="_Column2_MIS Reporting_Budget_OPSP 06-10" xfId="94" xr:uid="{00000000-0005-0000-0000-00002F010000}"/>
    <cellStyle name="_Column2_TSG2" xfId="95" xr:uid="{00000000-0005-0000-0000-000030010000}"/>
    <cellStyle name="_Column3" xfId="96" xr:uid="{00000000-0005-0000-0000-000031010000}"/>
    <cellStyle name="_Column3_051003 Viking Business plan" xfId="97" xr:uid="{00000000-0005-0000-0000-000032010000}"/>
    <cellStyle name="_Column3_051004 Viking Business plan10" xfId="98" xr:uid="{00000000-0005-0000-0000-000033010000}"/>
    <cellStyle name="_Column3_Bank case Viking (sent to JPM 10 Nov 05)" xfId="99" xr:uid="{00000000-0005-0000-0000-000034010000}"/>
    <cellStyle name="_Column3_Cost Price Assumptions OPSP0509 vs OPSP0610" xfId="100" xr:uid="{00000000-0005-0000-0000-000035010000}"/>
    <cellStyle name="_Column3_Feeder" xfId="101" xr:uid="{00000000-0005-0000-0000-000036010000}"/>
    <cellStyle name="_Column3_FY 2005-2009 OP-SP Update (11-Oct-04)" xfId="102" xr:uid="{00000000-0005-0000-0000-000037010000}"/>
    <cellStyle name="_Column3_Key assumptions GX companies" xfId="103" xr:uid="{00000000-0005-0000-0000-000038010000}"/>
    <cellStyle name="_Column3_M&amp;A Model" xfId="104" xr:uid="{00000000-0005-0000-0000-000039010000}"/>
    <cellStyle name="_Column3_M&amp;A projections" xfId="105" xr:uid="{00000000-0005-0000-0000-00003A010000}"/>
    <cellStyle name="_Column3_Mappe2" xfId="106" xr:uid="{00000000-0005-0000-0000-00003B010000}"/>
    <cellStyle name="_Column3_MIS Reporting_Budget_OPSP 06-10" xfId="107" xr:uid="{00000000-0005-0000-0000-00003C010000}"/>
    <cellStyle name="_Column3_TSG2" xfId="108" xr:uid="{00000000-0005-0000-0000-00003D010000}"/>
    <cellStyle name="_Column4" xfId="109" xr:uid="{00000000-0005-0000-0000-00003E010000}"/>
    <cellStyle name="_Column4_051003 Viking Business plan" xfId="110" xr:uid="{00000000-0005-0000-0000-00003F010000}"/>
    <cellStyle name="_Column4_051004 Viking Business plan10" xfId="111" xr:uid="{00000000-0005-0000-0000-000040010000}"/>
    <cellStyle name="_Column4_3.P&amp;L" xfId="1964" xr:uid="{00000000-0005-0000-0000-000041010000}"/>
    <cellStyle name="_Column4_Balance Sheet_restl. Eurowährungsl._Gruppe" xfId="112" xr:uid="{00000000-0005-0000-0000-000042010000}"/>
    <cellStyle name="_Column4_Bank case Viking (sent to JPM 10 Nov 05)" xfId="113" xr:uid="{00000000-0005-0000-0000-000043010000}"/>
    <cellStyle name="_Column4_Book2" xfId="1965" xr:uid="{00000000-0005-0000-0000-000044010000}"/>
    <cellStyle name="_Column4_Cost Price Assumptions OPSP0509 vs OPSP0610" xfId="114" xr:uid="{00000000-0005-0000-0000-000045010000}"/>
    <cellStyle name="_Column4_Covenants_draft_260412" xfId="1966" xr:uid="{00000000-0005-0000-0000-000046010000}"/>
    <cellStyle name="_Column4_DRAFT 11" xfId="1967" xr:uid="{00000000-0005-0000-0000-000047010000}"/>
    <cellStyle name="_Column4_DRAFT 11_Covenants_draft_260412" xfId="1968" xr:uid="{00000000-0005-0000-0000-000048010000}"/>
    <cellStyle name="_Column4_DRAFT 11_Marketing &amp; Product" xfId="1969" xr:uid="{00000000-0005-0000-0000-000049010000}"/>
    <cellStyle name="_Column4_Feeder" xfId="115" xr:uid="{00000000-0005-0000-0000-00004A010000}"/>
    <cellStyle name="_Column4_FY 2005-2009 OP-SP Update (11-Oct-04)" xfId="116" xr:uid="{00000000-0005-0000-0000-00004B010000}"/>
    <cellStyle name="_Column4_Head Office Pack - Draft 1" xfId="1970" xr:uid="{00000000-0005-0000-0000-00004C010000}"/>
    <cellStyle name="_Column4_Head Office Pack - Draft 4" xfId="1971" xr:uid="{00000000-0005-0000-0000-00004D010000}"/>
    <cellStyle name="_Column4_Key assumptions GX companies" xfId="117" xr:uid="{00000000-0005-0000-0000-00004E010000}"/>
    <cellStyle name="_Column4_Konsolidierungsbeträge" xfId="118" xr:uid="{00000000-0005-0000-0000-00004F010000}"/>
    <cellStyle name="_Column4_M&amp;A Model" xfId="119" xr:uid="{00000000-0005-0000-0000-000050010000}"/>
    <cellStyle name="_Column4_M&amp;A projections" xfId="120" xr:uid="{00000000-0005-0000-0000-000051010000}"/>
    <cellStyle name="_Column4_Mappe2" xfId="121" xr:uid="{00000000-0005-0000-0000-000052010000}"/>
    <cellStyle name="_Column4_MIS Reporting_Budget_OPSP 06-10" xfId="122" xr:uid="{00000000-0005-0000-0000-000053010000}"/>
    <cellStyle name="_Column4_PAR overlay" xfId="1972" xr:uid="{00000000-0005-0000-0000-000054010000}"/>
    <cellStyle name="_Column4_PAR overlay_Projections Pack" xfId="1973" xr:uid="{00000000-0005-0000-0000-000055010000}"/>
    <cellStyle name="_Column4_PAR overlay_Projections Pack (TM)" xfId="1974" xr:uid="{00000000-0005-0000-0000-000056010000}"/>
    <cellStyle name="_Column4_PAR overlay_Quasi Rent Illustration" xfId="1975" xr:uid="{00000000-0005-0000-0000-000057010000}"/>
    <cellStyle name="_Column4_Property Budget 2011" xfId="1976" xr:uid="{00000000-0005-0000-0000-000058010000}"/>
    <cellStyle name="_Column4_Property Budget 2011_Covenants_draft_260412" xfId="1977" xr:uid="{00000000-0005-0000-0000-000059010000}"/>
    <cellStyle name="_Column4_Property Budget 2011_Marketing &amp; Product" xfId="1978" xr:uid="{00000000-0005-0000-0000-00005A010000}"/>
    <cellStyle name="_Column4_Sheet1" xfId="1979" xr:uid="{00000000-0005-0000-0000-00005B010000}"/>
    <cellStyle name="_Column4_TSG2" xfId="123" xr:uid="{00000000-0005-0000-0000-00005C010000}"/>
    <cellStyle name="_Column4_YLC" xfId="1980" xr:uid="{00000000-0005-0000-0000-00005D010000}"/>
    <cellStyle name="_Column5" xfId="124" xr:uid="{00000000-0005-0000-0000-00005E010000}"/>
    <cellStyle name="_Column5_051003 Viking Business plan" xfId="125" xr:uid="{00000000-0005-0000-0000-00005F010000}"/>
    <cellStyle name="_Column5_051004 Viking Business plan10" xfId="126" xr:uid="{00000000-0005-0000-0000-000060010000}"/>
    <cellStyle name="_Column5_Bank case Viking (sent to JPM 10 Nov 05)" xfId="127" xr:uid="{00000000-0005-0000-0000-000061010000}"/>
    <cellStyle name="_Column5_Cost Price Assumptions OPSP0509 vs OPSP0610" xfId="128" xr:uid="{00000000-0005-0000-0000-000062010000}"/>
    <cellStyle name="_Column5_Feeder" xfId="129" xr:uid="{00000000-0005-0000-0000-000063010000}"/>
    <cellStyle name="_Column5_FY 2005-2009 OP-SP Update (11-Oct-04)" xfId="130" xr:uid="{00000000-0005-0000-0000-000064010000}"/>
    <cellStyle name="_Column5_Key assumptions GX companies" xfId="131" xr:uid="{00000000-0005-0000-0000-000065010000}"/>
    <cellStyle name="_Column5_Konsolidierungsbeträge" xfId="132" xr:uid="{00000000-0005-0000-0000-000066010000}"/>
    <cellStyle name="_Column5_M&amp;A Model" xfId="133" xr:uid="{00000000-0005-0000-0000-000067010000}"/>
    <cellStyle name="_Column5_M&amp;A projections" xfId="134" xr:uid="{00000000-0005-0000-0000-000068010000}"/>
    <cellStyle name="_Column5_Mappe2" xfId="135" xr:uid="{00000000-0005-0000-0000-000069010000}"/>
    <cellStyle name="_Column5_MIS Reporting_Budget_OPSP 06-10" xfId="136" xr:uid="{00000000-0005-0000-0000-00006A010000}"/>
    <cellStyle name="_Column5_TSG2" xfId="137" xr:uid="{00000000-0005-0000-0000-00006B010000}"/>
    <cellStyle name="_Column6" xfId="138" xr:uid="{00000000-0005-0000-0000-00006C010000}"/>
    <cellStyle name="_Column6_051003 Viking Business plan" xfId="139" xr:uid="{00000000-0005-0000-0000-00006D010000}"/>
    <cellStyle name="_Column6_051004 Viking Business plan10" xfId="140" xr:uid="{00000000-0005-0000-0000-00006E010000}"/>
    <cellStyle name="_Column6_Bank case Viking (sent to JPM 10 Nov 05)" xfId="141" xr:uid="{00000000-0005-0000-0000-00006F010000}"/>
    <cellStyle name="_Column6_Cost Price Assumptions OPSP0509 vs OPSP0610" xfId="142" xr:uid="{00000000-0005-0000-0000-000070010000}"/>
    <cellStyle name="_Column6_Feeder" xfId="143" xr:uid="{00000000-0005-0000-0000-000071010000}"/>
    <cellStyle name="_Column6_FY 2005-2009 OP-SP Update (11-Oct-04)" xfId="144" xr:uid="{00000000-0005-0000-0000-000072010000}"/>
    <cellStyle name="_Column6_Key assumptions GX companies" xfId="145" xr:uid="{00000000-0005-0000-0000-000073010000}"/>
    <cellStyle name="_Column6_M&amp;A Model" xfId="146" xr:uid="{00000000-0005-0000-0000-000074010000}"/>
    <cellStyle name="_Column6_M&amp;A projections" xfId="147" xr:uid="{00000000-0005-0000-0000-000075010000}"/>
    <cellStyle name="_Column6_Mappe2" xfId="148" xr:uid="{00000000-0005-0000-0000-000076010000}"/>
    <cellStyle name="_Column6_MIS Reporting_Budget_OPSP 06-10" xfId="149" xr:uid="{00000000-0005-0000-0000-000077010000}"/>
    <cellStyle name="_Column6_TSG2" xfId="150" xr:uid="{00000000-0005-0000-0000-000078010000}"/>
    <cellStyle name="_Column7" xfId="151" xr:uid="{00000000-0005-0000-0000-000079010000}"/>
    <cellStyle name="_Column7_051003 Viking Business plan" xfId="152" xr:uid="{00000000-0005-0000-0000-00007A010000}"/>
    <cellStyle name="_Column7_051004 Viking Business plan10" xfId="153" xr:uid="{00000000-0005-0000-0000-00007B010000}"/>
    <cellStyle name="_Column7_3. Version 4 Bank" xfId="1981" xr:uid="{00000000-0005-0000-0000-00007C010000}"/>
    <cellStyle name="_Column7_3. Version 4 Bank new segments" xfId="1982" xr:uid="{00000000-0005-0000-0000-00007D010000}"/>
    <cellStyle name="_Column7_4. Version 4 Bank new segments with rollout" xfId="1983" xr:uid="{00000000-0005-0000-0000-00007E010000}"/>
    <cellStyle name="_Column7_4. Version 4 Bank with Rollout" xfId="1984" xr:uid="{00000000-0005-0000-0000-00007F010000}"/>
    <cellStyle name="_Column7_Balance Sheet_restl. Eurowährungsl._Gruppe" xfId="154" xr:uid="{00000000-0005-0000-0000-000080010000}"/>
    <cellStyle name="_Column7_Bank case Viking (sent to JPM 10 Nov 05)" xfId="155" xr:uid="{00000000-0005-0000-0000-000081010000}"/>
    <cellStyle name="_Column7_Cost Price Assumptions OPSP0509 vs OPSP0610" xfId="156" xr:uid="{00000000-0005-0000-0000-000082010000}"/>
    <cellStyle name="_Column7_Feeder" xfId="157" xr:uid="{00000000-0005-0000-0000-000083010000}"/>
    <cellStyle name="_Column7_FY 2005-2009 OP-SP Update (11-Oct-04)" xfId="158" xr:uid="{00000000-0005-0000-0000-000084010000}"/>
    <cellStyle name="_Column7_Key assumptions GX companies" xfId="159" xr:uid="{00000000-0005-0000-0000-000085010000}"/>
    <cellStyle name="_Column7_M&amp;A Model" xfId="160" xr:uid="{00000000-0005-0000-0000-000086010000}"/>
    <cellStyle name="_Column7_M&amp;A projections" xfId="161" xr:uid="{00000000-0005-0000-0000-000087010000}"/>
    <cellStyle name="_Column7_Mappe2" xfId="162" xr:uid="{00000000-0005-0000-0000-000088010000}"/>
    <cellStyle name="_Column7_MIS Reporting_Budget_OPSP 06-10" xfId="163" xr:uid="{00000000-0005-0000-0000-000089010000}"/>
    <cellStyle name="_Column7_PAR overlay" xfId="1985" xr:uid="{00000000-0005-0000-0000-00008A010000}"/>
    <cellStyle name="_Column7_TSG2" xfId="164" xr:uid="{00000000-0005-0000-0000-00008B010000}"/>
    <cellStyle name="_Column7_UBS Model" xfId="1986" xr:uid="{00000000-0005-0000-0000-00008C010000}"/>
    <cellStyle name="_Column7_UBS Model - upside model" xfId="1987" xr:uid="{00000000-0005-0000-0000-00008D010000}"/>
    <cellStyle name="_Column8" xfId="165" xr:uid="{00000000-0005-0000-0000-00008E010000}"/>
    <cellStyle name="_Column8_021202External Sales 2000_2001_DA_feste Werte" xfId="166" xr:uid="{00000000-0005-0000-0000-00008F010000}"/>
    <cellStyle name="_Column8_Balance Sheet_restl. Eurowährungsl._Gruppe" xfId="167" xr:uid="{00000000-0005-0000-0000-000090010000}"/>
    <cellStyle name="_Column8_Konsolidierungsbeträge" xfId="168" xr:uid="{00000000-0005-0000-0000-000091010000}"/>
    <cellStyle name="_Comma" xfId="169" xr:uid="{00000000-0005-0000-0000-000092010000}"/>
    <cellStyle name="_Comma 2 3" xfId="3624" xr:uid="{00000000-0005-0000-0000-000093010000}"/>
    <cellStyle name="_Comma_Betas" xfId="170" xr:uid="{00000000-0005-0000-0000-000094010000}"/>
    <cellStyle name="_Comma_Betas as of 18-Apr-20022" xfId="171" xr:uid="{00000000-0005-0000-0000-000095010000}"/>
    <cellStyle name="_Comma_Draft funds flow - 7 June 2005" xfId="2312" xr:uid="{00000000-0005-0000-0000-000096010000}"/>
    <cellStyle name="_Comma_EXPN" xfId="172" xr:uid="{00000000-0005-0000-0000-000097010000}"/>
    <cellStyle name="_Comma_MD 1 model_blank_Augustin" xfId="173" xr:uid="{00000000-0005-0000-0000-000098010000}"/>
    <cellStyle name="_Comma_Offering Breakdown - 09-Jun -2005" xfId="2313" xr:uid="{00000000-0005-0000-0000-000099010000}"/>
    <cellStyle name="_Comma_Offering Breakdown - 09-Jun -2005 updated" xfId="2314" xr:uid="{00000000-0005-0000-0000-00009A010000}"/>
    <cellStyle name="_Comma_Offering Breakdown - 19-Jun -2005 updated" xfId="2315" xr:uid="{00000000-0005-0000-0000-00009B010000}"/>
    <cellStyle name="_Crown Holdings  - LBO Model 1.8 covenants_3 Aug" xfId="174" xr:uid="{00000000-0005-0000-0000-00009C010000}"/>
    <cellStyle name="_Currency" xfId="175" xr:uid="{00000000-0005-0000-0000-00009D010000}"/>
    <cellStyle name="_Currency 4" xfId="3630" xr:uid="{00000000-0005-0000-0000-00009E010000}"/>
    <cellStyle name="_Currency_Betas" xfId="176" xr:uid="{00000000-0005-0000-0000-00009F010000}"/>
    <cellStyle name="_Currency_Betas as of 18-Apr-20022" xfId="177" xr:uid="{00000000-0005-0000-0000-0000A0010000}"/>
    <cellStyle name="_Currency_Draft funds flow - 7 June 2005" xfId="2316" xr:uid="{00000000-0005-0000-0000-0000A1010000}"/>
    <cellStyle name="_Currency_EXPN" xfId="178" xr:uid="{00000000-0005-0000-0000-0000A2010000}"/>
    <cellStyle name="_Currency_MD 1 model_blank_Augustin" xfId="179" xr:uid="{00000000-0005-0000-0000-0000A3010000}"/>
    <cellStyle name="_Currency_Offering Breakdown - 09-Jun -2005" xfId="2317" xr:uid="{00000000-0005-0000-0000-0000A4010000}"/>
    <cellStyle name="_Currency_Offering Breakdown - 09-Jun -2005 updated" xfId="2318" xr:uid="{00000000-0005-0000-0000-0000A5010000}"/>
    <cellStyle name="_Currency_Offering Breakdown - 19-Jun -2005 updated" xfId="2319" xr:uid="{00000000-0005-0000-0000-0000A6010000}"/>
    <cellStyle name="_Currency_pi5" xfId="2320" xr:uid="{00000000-0005-0000-0000-0000A7010000}"/>
    <cellStyle name="_Currency_surbid4 cloture" xfId="2321" xr:uid="{00000000-0005-0000-0000-0000A8010000}"/>
    <cellStyle name="_Currency_surbid4 cloture_1" xfId="2322" xr:uid="{00000000-0005-0000-0000-0000A9010000}"/>
    <cellStyle name="_Currency_temp templates2" xfId="180" xr:uid="{00000000-0005-0000-0000-0000AA010000}"/>
    <cellStyle name="_Currency_tropicos5" xfId="2323" xr:uid="{00000000-0005-0000-0000-0000AB010000}"/>
    <cellStyle name="_Currency_tropicos5_victoria 6nov01" xfId="2324" xr:uid="{00000000-0005-0000-0000-0000AC010000}"/>
    <cellStyle name="_Currency_voice1.xls Chart 1" xfId="2325" xr:uid="{00000000-0005-0000-0000-0000AD010000}"/>
    <cellStyle name="_Currency_voice1.xls Chart 1_victoria 6nov01" xfId="2326" xr:uid="{00000000-0005-0000-0000-0000AE010000}"/>
    <cellStyle name="_Currency_wacc" xfId="2327" xr:uid="{00000000-0005-0000-0000-0000AF010000}"/>
    <cellStyle name="_Currency_wacc bb final" xfId="181" xr:uid="{00000000-0005-0000-0000-0000B0010000}"/>
    <cellStyle name="_CurrencySpace" xfId="182" xr:uid="{00000000-0005-0000-0000-0000B1010000}"/>
    <cellStyle name="_CurrencySpace_Betas" xfId="183" xr:uid="{00000000-0005-0000-0000-0000B2010000}"/>
    <cellStyle name="_CurrencySpace_Betas as of 18-Apr-20022" xfId="184" xr:uid="{00000000-0005-0000-0000-0000B3010000}"/>
    <cellStyle name="_CurrencySpace_Draft funds flow - 7 June 2005" xfId="2328" xr:uid="{00000000-0005-0000-0000-0000B4010000}"/>
    <cellStyle name="_CurrencySpace_EXPN" xfId="185" xr:uid="{00000000-0005-0000-0000-0000B5010000}"/>
    <cellStyle name="_CurrencySpace_MD 1 model_blank_Augustin" xfId="186" xr:uid="{00000000-0005-0000-0000-0000B6010000}"/>
    <cellStyle name="_CurrencySpace_Offering Breakdown - 09-Jun -2005" xfId="2329" xr:uid="{00000000-0005-0000-0000-0000B7010000}"/>
    <cellStyle name="_CurrencySpace_Offering Breakdown - 09-Jun -2005 updated" xfId="2330" xr:uid="{00000000-0005-0000-0000-0000B8010000}"/>
    <cellStyle name="_CurrencySpace_Offering Breakdown - 19-Jun -2005 updated" xfId="2331" xr:uid="{00000000-0005-0000-0000-0000B9010000}"/>
    <cellStyle name="_CurrencySpace_sonera - 26july2001" xfId="2332" xr:uid="{00000000-0005-0000-0000-0000BA010000}"/>
    <cellStyle name="_CurrencySpace_Sonera - april01" xfId="2333" xr:uid="{00000000-0005-0000-0000-0000BB010000}"/>
    <cellStyle name="_CurrencySpace_stahl_dcf+lbo_FINAL MODEL USED FOR FAIRNESS MEETING 5 Dec 2001" xfId="2334" xr:uid="{00000000-0005-0000-0000-0000BC010000}"/>
    <cellStyle name="_CurrencySpace_stahl_dcf+lbo_revised fins" xfId="2335" xr:uid="{00000000-0005-0000-0000-0000BD010000}"/>
    <cellStyle name="_CurrencySpace_VMS Breakdown" xfId="2336" xr:uid="{00000000-0005-0000-0000-0000BE010000}"/>
    <cellStyle name="_CurrencySpace_WACC Page" xfId="2337" xr:uid="{00000000-0005-0000-0000-0000BF010000}"/>
    <cellStyle name="_CurrencySpace_Wacc V2" xfId="2338" xr:uid="{00000000-0005-0000-0000-0000C0010000}"/>
    <cellStyle name="_Data" xfId="187" xr:uid="{00000000-0005-0000-0000-0000C1010000}"/>
    <cellStyle name="_Data_Aurora LBO v25" xfId="188" xr:uid="{00000000-0005-0000-0000-0000C2010000}"/>
    <cellStyle name="_Data_Balance Sheet_restl. Eurowährungsl._Gruppe" xfId="189" xr:uid="{00000000-0005-0000-0000-0000C3010000}"/>
    <cellStyle name="_Data_Bank case Viking (sent to JPM 10 Nov 05)" xfId="190" xr:uid="{00000000-0005-0000-0000-0000C4010000}"/>
    <cellStyle name="_Data_Banks (2)" xfId="191" xr:uid="{00000000-0005-0000-0000-0000C5010000}"/>
    <cellStyle name="_Data_EBITDA-Recon P&amp;L OPSP04-08_GX" xfId="192" xr:uid="{00000000-0005-0000-0000-0000C6010000}"/>
    <cellStyle name="_Data_Feeder" xfId="193" xr:uid="{00000000-0005-0000-0000-0000C7010000}"/>
    <cellStyle name="_Data_Financial ratios_Euroland" xfId="194" xr:uid="{00000000-0005-0000-0000-0000C8010000}"/>
    <cellStyle name="_Data_GX evaluation without pensions" xfId="195" xr:uid="{00000000-0005-0000-0000-0000C9010000}"/>
    <cellStyle name="_Data_GX OPSP0509 incl. Zurückdrehen Subsidies NVM" xfId="196" xr:uid="{00000000-0005-0000-0000-0000CA010000}"/>
    <cellStyle name="_Data_GX Plan" xfId="197" xr:uid="{00000000-0005-0000-0000-0000CB010000}"/>
    <cellStyle name="_Data_Headcount" xfId="198" xr:uid="{00000000-0005-0000-0000-0000CC010000}"/>
    <cellStyle name="_Data_Headcount_Monthly report" xfId="199" xr:uid="{00000000-0005-0000-0000-0000CD010000}"/>
    <cellStyle name="_Data_LTMJUN02" xfId="200" xr:uid="{00000000-0005-0000-0000-0000CE010000}"/>
    <cellStyle name="_Data_M&amp;A Model" xfId="201" xr:uid="{00000000-0005-0000-0000-0000CF010000}"/>
    <cellStyle name="_Data_M&amp;A projections" xfId="202" xr:uid="{00000000-0005-0000-0000-0000D0010000}"/>
    <cellStyle name="_Data_MIS Reporting_Budget_JD" xfId="203" xr:uid="{00000000-0005-0000-0000-0000D1010000}"/>
    <cellStyle name="_Data_New Gerresheimer bank plan (sent to JPM 26 Nov 05)" xfId="204" xr:uid="{00000000-0005-0000-0000-0000D2010000}"/>
    <cellStyle name="_Data_P&amp;L bank model - received from Gerresheimer 1 12 05" xfId="205" xr:uid="{00000000-0005-0000-0000-0000D3010000}"/>
    <cellStyle name="_Data_Plan model" xfId="206" xr:uid="{00000000-0005-0000-0000-0000D4010000}"/>
    <cellStyle name="_Data_Quarterly" xfId="207" xr:uid="{00000000-0005-0000-0000-0000D5010000}"/>
    <cellStyle name="_Data_Tabelle1" xfId="208" xr:uid="{00000000-0005-0000-0000-0000D6010000}"/>
    <cellStyle name="_Data_TSG2" xfId="209" xr:uid="{00000000-0005-0000-0000-0000D7010000}"/>
    <cellStyle name="_Data_Update 2004 Figures v2 (sent to banks)" xfId="210" xr:uid="{00000000-0005-0000-0000-0000D8010000}"/>
    <cellStyle name="_Data_WC benchmark Calc" xfId="211" xr:uid="{00000000-0005-0000-0000-0000D9010000}"/>
    <cellStyle name="_Data_Zins und Bankschuldenberechnung_03_07" xfId="212" xr:uid="{00000000-0005-0000-0000-0000DA010000}"/>
    <cellStyle name="_Dec Exec Pack" xfId="1988" xr:uid="{00000000-0005-0000-0000-0000DB010000}"/>
    <cellStyle name="_Dec Exec Pack_Covenants_draft_260412" xfId="1989" xr:uid="{00000000-0005-0000-0000-0000DC010000}"/>
    <cellStyle name="_Dec Exec Pack_Head Office Pack - Draft 1" xfId="1990" xr:uid="{00000000-0005-0000-0000-0000DD010000}"/>
    <cellStyle name="_Dec Exec Pack_Head Office Pack - Draft 4" xfId="1991" xr:uid="{00000000-0005-0000-0000-0000DE010000}"/>
    <cellStyle name="_Dec Exec Pack_Property Budget 2011" xfId="1992" xr:uid="{00000000-0005-0000-0000-0000DF010000}"/>
    <cellStyle name="_Dec Exec Pack_Property Budget 2011_Covenants_draft_260412" xfId="1993" xr:uid="{00000000-0005-0000-0000-0000E0010000}"/>
    <cellStyle name="_Dec Exec Pack_Property Budget 2011_Marketing &amp; Product" xfId="1994" xr:uid="{00000000-0005-0000-0000-0000E1010000}"/>
    <cellStyle name="_Dec Exec Pack_Sheet1" xfId="1995" xr:uid="{00000000-0005-0000-0000-0000E2010000}"/>
    <cellStyle name="_Detailed Analysis" xfId="1996" xr:uid="{00000000-0005-0000-0000-0000E3010000}"/>
    <cellStyle name="_Detailed P&amp;L's" xfId="1997" xr:uid="{00000000-0005-0000-0000-0000E4010000}"/>
    <cellStyle name="_Dollar" xfId="2339" xr:uid="{00000000-0005-0000-0000-0000E5010000}"/>
    <cellStyle name="_Dollar_AVP Lucia excl. Assoc" xfId="2340" xr:uid="{00000000-0005-0000-0000-0000E6010000}"/>
    <cellStyle name="_Dollar_Benchmarking analysis" xfId="2341" xr:uid="{00000000-0005-0000-0000-0000E7010000}"/>
    <cellStyle name="_Dollar_Clementine revenue model-v10" xfId="2342" xr:uid="{00000000-0005-0000-0000-0000E8010000}"/>
    <cellStyle name="_Dollar_Clementine revenue model-v5" xfId="2343" xr:uid="{00000000-0005-0000-0000-0000E9010000}"/>
    <cellStyle name="_Dollar_liberate fact sheet" xfId="2344" xr:uid="{00000000-0005-0000-0000-0000EA010000}"/>
    <cellStyle name="_Dollar_New Sonera 4" xfId="2345" xr:uid="{00000000-0005-0000-0000-0000EB010000}"/>
    <cellStyle name="_Dollar_Pro-forma financials &amp; merger plan - 5 march 02" xfId="2346" xr:uid="{00000000-0005-0000-0000-0000EC010000}"/>
    <cellStyle name="_Dollar_sonera - 26july2001" xfId="2347" xr:uid="{00000000-0005-0000-0000-0000ED010000}"/>
    <cellStyle name="_Dollar_Sonera - april01" xfId="2348" xr:uid="{00000000-0005-0000-0000-0000EE010000}"/>
    <cellStyle name="_Dollar_T_MOBIL2" xfId="2349" xr:uid="{00000000-0005-0000-0000-0000EF010000}"/>
    <cellStyle name="_Dollar_Turkcell6" xfId="2350" xr:uid="{00000000-0005-0000-0000-0000F0010000}"/>
    <cellStyle name="_Dollar_Value Creation Analysis" xfId="2351" xr:uid="{00000000-0005-0000-0000-0000F1010000}"/>
    <cellStyle name="_Dollar_Versatel1" xfId="2352" xr:uid="{00000000-0005-0000-0000-0000F2010000}"/>
    <cellStyle name="_Draft 1 - 26th November" xfId="1998" xr:uid="{00000000-0005-0000-0000-0000F3010000}"/>
    <cellStyle name="_Draft 1 - 29th September rv" xfId="1999" xr:uid="{00000000-0005-0000-0000-0000F4010000}"/>
    <cellStyle name="—_EM-HTI" xfId="2353" xr:uid="{00000000-0005-0000-0000-0000F5010000}"/>
    <cellStyle name="—_EM-HTI_CSC May 20" xfId="2354" xr:uid="{00000000-0005-0000-0000-0000F6010000}"/>
    <cellStyle name="—_EM-KT" xfId="2355" xr:uid="{00000000-0005-0000-0000-0000F7010000}"/>
    <cellStyle name="—_EM-KT_03 CSC May 20" xfId="2356" xr:uid="{00000000-0005-0000-0000-0000F8010000}"/>
    <cellStyle name="—_EM-KT_CSC May 20" xfId="2357" xr:uid="{00000000-0005-0000-0000-0000F9010000}"/>
    <cellStyle name="—_EM-KT_Global Wireless1" xfId="2358" xr:uid="{00000000-0005-0000-0000-0000FA010000}"/>
    <cellStyle name="—_EM-SKTelecom_old" xfId="2359" xr:uid="{00000000-0005-0000-0000-0000FB010000}"/>
    <cellStyle name="—_EM-SKTelecom_old_03 CSC May 20" xfId="2360" xr:uid="{00000000-0005-0000-0000-0000FC010000}"/>
    <cellStyle name="—_EM-SKTelecom_old_CSC May 20" xfId="2361" xr:uid="{00000000-0005-0000-0000-0000FD010000}"/>
    <cellStyle name="—_EM-SKTelecom_old_EM-HTI" xfId="2362" xr:uid="{00000000-0005-0000-0000-0000FE010000}"/>
    <cellStyle name="—_EM-SKTelecom_old_EM-HTI_CSC May 20" xfId="2363" xr:uid="{00000000-0005-0000-0000-0000FF010000}"/>
    <cellStyle name="—_EM-SKTelecom_old_Global Wireless1" xfId="2364" xr:uid="{00000000-0005-0000-0000-000000020000}"/>
    <cellStyle name="_Entry Point" xfId="2000" xr:uid="{00000000-0005-0000-0000-000001020000}"/>
    <cellStyle name="_e-plus debt - Machado1" xfId="2365" xr:uid="{00000000-0005-0000-0000-000002020000}"/>
    <cellStyle name="_Euro" xfId="213" xr:uid="{00000000-0005-0000-0000-000003020000}"/>
    <cellStyle name="_Euro Pack" xfId="2001" xr:uid="{00000000-0005-0000-0000-000004020000}"/>
    <cellStyle name="_Euro Pack_Covenants_draft_260412" xfId="2002" xr:uid="{00000000-0005-0000-0000-000005020000}"/>
    <cellStyle name="_Euro Pack_Head Office Pack - Draft 1" xfId="2003" xr:uid="{00000000-0005-0000-0000-000006020000}"/>
    <cellStyle name="_Euro Pack_Head Office Pack - Draft 4" xfId="2004" xr:uid="{00000000-0005-0000-0000-000007020000}"/>
    <cellStyle name="_Euro Pack_Property Budget 2011" xfId="2005" xr:uid="{00000000-0005-0000-0000-000008020000}"/>
    <cellStyle name="_Euro Pack_Property Budget 2011_Covenants_draft_260412" xfId="2006" xr:uid="{00000000-0005-0000-0000-000009020000}"/>
    <cellStyle name="_Euro Pack_Property Budget 2011_Marketing &amp; Product" xfId="2007" xr:uid="{00000000-0005-0000-0000-00000A020000}"/>
    <cellStyle name="_Euro Pack_Sheet1" xfId="2008" xr:uid="{00000000-0005-0000-0000-00000B020000}"/>
    <cellStyle name="_Euro_01research_benchmark" xfId="2366" xr:uid="{00000000-0005-0000-0000-00000C020000}"/>
    <cellStyle name="_Euro_02 CSC Thomson - 26 may" xfId="2367" xr:uid="{00000000-0005-0000-0000-00000D020000}"/>
    <cellStyle name="_Euro_03 CSC 28-Oct-02" xfId="2368" xr:uid="{00000000-0005-0000-0000-00000E020000}"/>
    <cellStyle name="_Euro_CSC July 24" xfId="2369" xr:uid="{00000000-0005-0000-0000-00000F020000}"/>
    <cellStyle name="_Euro_EXPN" xfId="214" xr:uid="{00000000-0005-0000-0000-000010020000}"/>
    <cellStyle name="_Euro_Wacc V2" xfId="2370" xr:uid="{00000000-0005-0000-0000-000011020000}"/>
    <cellStyle name="_Europe RD Pack P3" xfId="2009" xr:uid="{00000000-0005-0000-0000-000012020000}"/>
    <cellStyle name="_Exec Overview" xfId="2010" xr:uid="{00000000-0005-0000-0000-000013020000}"/>
    <cellStyle name="_Exec Overview_Book2" xfId="2011" xr:uid="{00000000-0005-0000-0000-000014020000}"/>
    <cellStyle name="_Exec Overview_Covenants_draft_260412" xfId="2012" xr:uid="{00000000-0005-0000-0000-000015020000}"/>
    <cellStyle name="_Exec Overview_Internal" xfId="2013" xr:uid="{00000000-0005-0000-0000-000016020000}"/>
    <cellStyle name="_Exec Overview_Internal 1" xfId="2014" xr:uid="{00000000-0005-0000-0000-000017020000}"/>
    <cellStyle name="_Exec Overview_Internal 1_Projections Pack" xfId="2015" xr:uid="{00000000-0005-0000-0000-000018020000}"/>
    <cellStyle name="_Exec Overview_Internal 1_Projections Pack (TM)" xfId="2016" xr:uid="{00000000-0005-0000-0000-000019020000}"/>
    <cellStyle name="_Exec Overview_Internal 1_Quasi Rent Illustration" xfId="2017" xr:uid="{00000000-0005-0000-0000-00001A020000}"/>
    <cellStyle name="_Exec Overview_Internal_Projections Pack" xfId="2018" xr:uid="{00000000-0005-0000-0000-00001B020000}"/>
    <cellStyle name="_Exec Overview_Internal_Projections Pack (TM)" xfId="2019" xr:uid="{00000000-0005-0000-0000-00001C020000}"/>
    <cellStyle name="_Exec Overview_Internal_Quasi Rent Illustration" xfId="2020" xr:uid="{00000000-0005-0000-0000-00001D020000}"/>
    <cellStyle name="_Exec Overview_Marketing &amp; Product" xfId="2021" xr:uid="{00000000-0005-0000-0000-00001E020000}"/>
    <cellStyle name="_Exec Overview_Net Gain Review Pack - 28th Sept" xfId="2022" xr:uid="{00000000-0005-0000-0000-00001F020000}"/>
    <cellStyle name="_Exec Overview_PAR overlay" xfId="2023" xr:uid="{00000000-0005-0000-0000-000020020000}"/>
    <cellStyle name="_Exec Overview_PAR overlay_Projections Pack" xfId="2024" xr:uid="{00000000-0005-0000-0000-000021020000}"/>
    <cellStyle name="_Exec Overview_PAR overlay_Projections Pack (TM)" xfId="2025" xr:uid="{00000000-0005-0000-0000-000022020000}"/>
    <cellStyle name="_Exec Overview_PAR overlay_Quasi Rent Illustration" xfId="2026" xr:uid="{00000000-0005-0000-0000-000023020000}"/>
    <cellStyle name="_Exec Overview_Sceanrio 2 Update - Dec 2nd" xfId="2027" xr:uid="{00000000-0005-0000-0000-000024020000}"/>
    <cellStyle name="_Exec Overview_Sceanrio 2 Update - Dec 2nd_Projections Pack" xfId="2028" xr:uid="{00000000-0005-0000-0000-000025020000}"/>
    <cellStyle name="_Exec Overview_Sceanrio 2 Update - Dec 2nd_Projections Pack (TM)" xfId="2029" xr:uid="{00000000-0005-0000-0000-000026020000}"/>
    <cellStyle name="_Exec Overview_Sceanrio 2 Update - Dec 2nd_Quasi Rent Illustration" xfId="2030" xr:uid="{00000000-0005-0000-0000-000027020000}"/>
    <cellStyle name="_Exec Overview_Sheet1" xfId="2031" xr:uid="{00000000-0005-0000-0000-000028020000}"/>
    <cellStyle name="_Exec Overview_YLC" xfId="2032" xr:uid="{00000000-0005-0000-0000-000029020000}"/>
    <cellStyle name="_Exec pack post Jason Smith Changes" xfId="2033" xr:uid="{00000000-0005-0000-0000-00002A020000}"/>
    <cellStyle name="_Exec pack post Jason Smith Changes_Covenants_draft_260412" xfId="2034" xr:uid="{00000000-0005-0000-0000-00002B020000}"/>
    <cellStyle name="_Exec pack post Jason Smith Changes_Head Office Pack - Draft 1" xfId="2035" xr:uid="{00000000-0005-0000-0000-00002C020000}"/>
    <cellStyle name="_Exec pack post Jason Smith Changes_Head Office Pack - Draft 4" xfId="2036" xr:uid="{00000000-0005-0000-0000-00002D020000}"/>
    <cellStyle name="_Exec pack post Jason Smith Changes_Property Budget 2011" xfId="2037" xr:uid="{00000000-0005-0000-0000-00002E020000}"/>
    <cellStyle name="_Exec pack post Jason Smith Changes_Property Budget 2011_Covenants_draft_260412" xfId="2038" xr:uid="{00000000-0005-0000-0000-00002F020000}"/>
    <cellStyle name="_Exec pack post Jason Smith Changes_Property Budget 2011_Marketing &amp; Product" xfId="2039" xr:uid="{00000000-0005-0000-0000-000030020000}"/>
    <cellStyle name="_Exec pack post Jason Smith Changes_Sheet1" xfId="2040" xr:uid="{00000000-0005-0000-0000-000031020000}"/>
    <cellStyle name="_Exec Performance Pack" xfId="2041" xr:uid="{00000000-0005-0000-0000-000032020000}"/>
    <cellStyle name="_EXPN" xfId="215" xr:uid="{00000000-0005-0000-0000-000033020000}"/>
    <cellStyle name="_final pricing DLLNG Dec 14 2007" xfId="2042" xr:uid="{00000000-0005-0000-0000-000034020000}"/>
    <cellStyle name="_FINAL RISKS AND OPS" xfId="2043" xr:uid="{00000000-0005-0000-0000-000035020000}"/>
    <cellStyle name="_FINAL RISKS AND OPS_Book2" xfId="2044" xr:uid="{00000000-0005-0000-0000-000036020000}"/>
    <cellStyle name="_FINAL RISKS AND OPS_Covenants_draft_260412" xfId="2045" xr:uid="{00000000-0005-0000-0000-000037020000}"/>
    <cellStyle name="_FINAL RISKS AND OPS_Internal" xfId="2046" xr:uid="{00000000-0005-0000-0000-000038020000}"/>
    <cellStyle name="_FINAL RISKS AND OPS_Internal 1" xfId="2047" xr:uid="{00000000-0005-0000-0000-000039020000}"/>
    <cellStyle name="_FINAL RISKS AND OPS_Internal 1_Projections Pack" xfId="2048" xr:uid="{00000000-0005-0000-0000-00003A020000}"/>
    <cellStyle name="_FINAL RISKS AND OPS_Internal 1_Projections Pack (TM)" xfId="2049" xr:uid="{00000000-0005-0000-0000-00003B020000}"/>
    <cellStyle name="_FINAL RISKS AND OPS_Internal 1_Quasi Rent Illustration" xfId="2050" xr:uid="{00000000-0005-0000-0000-00003C020000}"/>
    <cellStyle name="_FINAL RISKS AND OPS_Internal_Projections Pack" xfId="2051" xr:uid="{00000000-0005-0000-0000-00003D020000}"/>
    <cellStyle name="_FINAL RISKS AND OPS_Internal_Projections Pack (TM)" xfId="2052" xr:uid="{00000000-0005-0000-0000-00003E020000}"/>
    <cellStyle name="_FINAL RISKS AND OPS_Internal_Quasi Rent Illustration" xfId="2053" xr:uid="{00000000-0005-0000-0000-00003F020000}"/>
    <cellStyle name="_FINAL RISKS AND OPS_Marketing &amp; Product" xfId="2054" xr:uid="{00000000-0005-0000-0000-000040020000}"/>
    <cellStyle name="_FINAL RISKS AND OPS_Net Gain Review Pack - 28th Sept" xfId="2055" xr:uid="{00000000-0005-0000-0000-000041020000}"/>
    <cellStyle name="_FINAL RISKS AND OPS_PAR overlay" xfId="2056" xr:uid="{00000000-0005-0000-0000-000042020000}"/>
    <cellStyle name="_FINAL RISKS AND OPS_PAR overlay_Projections Pack" xfId="2057" xr:uid="{00000000-0005-0000-0000-000043020000}"/>
    <cellStyle name="_FINAL RISKS AND OPS_PAR overlay_Projections Pack (TM)" xfId="2058" xr:uid="{00000000-0005-0000-0000-000044020000}"/>
    <cellStyle name="_FINAL RISKS AND OPS_PAR overlay_Quasi Rent Illustration" xfId="2059" xr:uid="{00000000-0005-0000-0000-000045020000}"/>
    <cellStyle name="_FINAL RISKS AND OPS_Sceanrio 2 Update - Dec 2nd" xfId="2060" xr:uid="{00000000-0005-0000-0000-000046020000}"/>
    <cellStyle name="_FINAL RISKS AND OPS_Sceanrio 2 Update - Dec 2nd_Projections Pack" xfId="2061" xr:uid="{00000000-0005-0000-0000-000047020000}"/>
    <cellStyle name="_FINAL RISKS AND OPS_Sceanrio 2 Update - Dec 2nd_Projections Pack (TM)" xfId="2062" xr:uid="{00000000-0005-0000-0000-000048020000}"/>
    <cellStyle name="_FINAL RISKS AND OPS_Sceanrio 2 Update - Dec 2nd_Quasi Rent Illustration" xfId="2063" xr:uid="{00000000-0005-0000-0000-000049020000}"/>
    <cellStyle name="_FINAL RISKS AND OPS_Sheet1" xfId="2064" xr:uid="{00000000-0005-0000-0000-00004A020000}"/>
    <cellStyle name="_FINAL RISKS AND OPS_YLC" xfId="2065" xr:uid="{00000000-0005-0000-0000-00004B020000}"/>
    <cellStyle name="_Fosters_fins" xfId="216" xr:uid="{00000000-0005-0000-0000-00004C020000}"/>
    <cellStyle name="_George - LBO Model 3.1" xfId="217" xr:uid="{00000000-0005-0000-0000-00004D020000}"/>
    <cellStyle name="_gerresheimer_currentv5" xfId="218" xr:uid="{00000000-0005-0000-0000-00004E020000}"/>
    <cellStyle name="—_Global Wireless1" xfId="2371" xr:uid="{00000000-0005-0000-0000-00004F020000}"/>
    <cellStyle name="—_Global Wireless1_03 CSC May 20" xfId="2372" xr:uid="{00000000-0005-0000-0000-000050020000}"/>
    <cellStyle name="—_Global Wireless1_03 CSC May 20_03_ Clean LBO Model" xfId="2373" xr:uid="{00000000-0005-0000-0000-000051020000}"/>
    <cellStyle name="—_Global Wireless1_03 CSC May 20_05_ Clean LBO Model" xfId="2374" xr:uid="{00000000-0005-0000-0000-000052020000}"/>
    <cellStyle name="—_Global Wireless1_03 CSC May 20_08 Valuation Model incl. new BP" xfId="2375" xr:uid="{00000000-0005-0000-0000-000053020000}"/>
    <cellStyle name="—_Global Wireless1_03 CSC May 20_09 Valuation Model incl. new BP" xfId="2376" xr:uid="{00000000-0005-0000-0000-000054020000}"/>
    <cellStyle name="—_Global Wireless1_03 CSC May 20_13 Valuation Model incl. new BP" xfId="2377" xr:uid="{00000000-0005-0000-0000-000055020000}"/>
    <cellStyle name="—_Global Wireless1_03 CSC May 20_14 Valuation Model incl. new BP" xfId="2378" xr:uid="{00000000-0005-0000-0000-000056020000}"/>
    <cellStyle name="—_Global Wireless1_03 CSC May 20_15_ Clean LBO Model" xfId="2379" xr:uid="{00000000-0005-0000-0000-000057020000}"/>
    <cellStyle name="—_Global Wireless1_03 CSC May 20_20 Valuation Model incl. new BP" xfId="2380" xr:uid="{00000000-0005-0000-0000-000058020000}"/>
    <cellStyle name="—_Global Wireless1_03 CSC May 20_25 Valuation Model incl. new BP" xfId="2381" xr:uid="{00000000-0005-0000-0000-000059020000}"/>
    <cellStyle name="—_Global Wireless1_03 CSC May 20_33 Valuation Model incl. new BP" xfId="2382" xr:uid="{00000000-0005-0000-0000-00005A020000}"/>
    <cellStyle name="—_Global Wireless1_03 CSC May 20_34 Valuation Model incl. new BP" xfId="2383" xr:uid="{00000000-0005-0000-0000-00005B020000}"/>
    <cellStyle name="—_Global Wireless1_03 CSC May 20_37 Valuation Model incl. new BP" xfId="2384" xr:uid="{00000000-0005-0000-0000-00005C020000}"/>
    <cellStyle name="—_Global Wireless1_03 CSC May 20_38 Valuation Model incl. new BP" xfId="2385" xr:uid="{00000000-0005-0000-0000-00005D020000}"/>
    <cellStyle name="—_Global Wireless1_03 CSC May 20_39 Valuation Model incl. new BP" xfId="2386" xr:uid="{00000000-0005-0000-0000-00005E020000}"/>
    <cellStyle name="—_Global Wireless1_03 CSC May 20_40 Valuation Model incl. new BP" xfId="2387" xr:uid="{00000000-0005-0000-0000-00005F020000}"/>
    <cellStyle name="—_Global Wireless1_03 CSC May 20_44 Valuation Model incl. new BP" xfId="2388" xr:uid="{00000000-0005-0000-0000-000060020000}"/>
    <cellStyle name="—_Global Wireless1_03_ Clean LBO Model" xfId="2389" xr:uid="{00000000-0005-0000-0000-000061020000}"/>
    <cellStyle name="—_Global Wireless1_05_ Clean LBO Model" xfId="2390" xr:uid="{00000000-0005-0000-0000-000062020000}"/>
    <cellStyle name="—_Global Wireless1_08 Valuation Model incl. new BP" xfId="2391" xr:uid="{00000000-0005-0000-0000-000063020000}"/>
    <cellStyle name="—_Global Wireless1_09 Valuation Model incl. new BP" xfId="2392" xr:uid="{00000000-0005-0000-0000-000064020000}"/>
    <cellStyle name="—_Global Wireless1_13 Valuation Model incl. new BP" xfId="2393" xr:uid="{00000000-0005-0000-0000-000065020000}"/>
    <cellStyle name="—_Global Wireless1_14 Valuation Model incl. new BP" xfId="2394" xr:uid="{00000000-0005-0000-0000-000066020000}"/>
    <cellStyle name="—_Global Wireless1_15_ Clean LBO Model" xfId="2395" xr:uid="{00000000-0005-0000-0000-000067020000}"/>
    <cellStyle name="—_Global Wireless1_20 Valuation Model incl. new BP" xfId="2396" xr:uid="{00000000-0005-0000-0000-000068020000}"/>
    <cellStyle name="—_Global Wireless1_25 Valuation Model incl. new BP" xfId="2397" xr:uid="{00000000-0005-0000-0000-000069020000}"/>
    <cellStyle name="—_Global Wireless1_33 Valuation Model incl. new BP" xfId="2398" xr:uid="{00000000-0005-0000-0000-00006A020000}"/>
    <cellStyle name="—_Global Wireless1_34 Valuation Model incl. new BP" xfId="2399" xr:uid="{00000000-0005-0000-0000-00006B020000}"/>
    <cellStyle name="—_Global Wireless1_37 Valuation Model incl. new BP" xfId="2400" xr:uid="{00000000-0005-0000-0000-00006C020000}"/>
    <cellStyle name="—_Global Wireless1_38 Valuation Model incl. new BP" xfId="2401" xr:uid="{00000000-0005-0000-0000-00006D020000}"/>
    <cellStyle name="—_Global Wireless1_39 Valuation Model incl. new BP" xfId="2402" xr:uid="{00000000-0005-0000-0000-00006E020000}"/>
    <cellStyle name="—_Global Wireless1_40 Valuation Model incl. new BP" xfId="2403" xr:uid="{00000000-0005-0000-0000-00006F020000}"/>
    <cellStyle name="—_Global Wireless1_44 Valuation Model incl. new BP" xfId="2404" xr:uid="{00000000-0005-0000-0000-000070020000}"/>
    <cellStyle name="—_Global Wireless1_CSC May 20" xfId="2405" xr:uid="{00000000-0005-0000-0000-000071020000}"/>
    <cellStyle name="—_Global Wireless1_CSC May 20_03_ Clean LBO Model" xfId="2406" xr:uid="{00000000-0005-0000-0000-000072020000}"/>
    <cellStyle name="—_Global Wireless1_CSC May 20_05_ Clean LBO Model" xfId="2407" xr:uid="{00000000-0005-0000-0000-000073020000}"/>
    <cellStyle name="—_Global Wireless1_CSC May 20_08 Valuation Model incl. new BP" xfId="2408" xr:uid="{00000000-0005-0000-0000-000074020000}"/>
    <cellStyle name="—_Global Wireless1_CSC May 20_09 Valuation Model incl. new BP" xfId="2409" xr:uid="{00000000-0005-0000-0000-000075020000}"/>
    <cellStyle name="—_Global Wireless1_CSC May 20_13 Valuation Model incl. new BP" xfId="2410" xr:uid="{00000000-0005-0000-0000-000076020000}"/>
    <cellStyle name="—_Global Wireless1_CSC May 20_14 Valuation Model incl. new BP" xfId="2411" xr:uid="{00000000-0005-0000-0000-000077020000}"/>
    <cellStyle name="—_Global Wireless1_CSC May 20_15_ Clean LBO Model" xfId="2412" xr:uid="{00000000-0005-0000-0000-000078020000}"/>
    <cellStyle name="—_Global Wireless1_CSC May 20_20 Valuation Model incl. new BP" xfId="2413" xr:uid="{00000000-0005-0000-0000-000079020000}"/>
    <cellStyle name="—_Global Wireless1_CSC May 20_25 Valuation Model incl. new BP" xfId="2414" xr:uid="{00000000-0005-0000-0000-00007A020000}"/>
    <cellStyle name="—_Global Wireless1_CSC May 20_33 Valuation Model incl. new BP" xfId="2415" xr:uid="{00000000-0005-0000-0000-00007B020000}"/>
    <cellStyle name="—_Global Wireless1_CSC May 20_34 Valuation Model incl. new BP" xfId="2416" xr:uid="{00000000-0005-0000-0000-00007C020000}"/>
    <cellStyle name="—_Global Wireless1_CSC May 20_37 Valuation Model incl. new BP" xfId="2417" xr:uid="{00000000-0005-0000-0000-00007D020000}"/>
    <cellStyle name="—_Global Wireless1_CSC May 20_38 Valuation Model incl. new BP" xfId="2418" xr:uid="{00000000-0005-0000-0000-00007E020000}"/>
    <cellStyle name="—_Global Wireless1_CSC May 20_39 Valuation Model incl. new BP" xfId="2419" xr:uid="{00000000-0005-0000-0000-00007F020000}"/>
    <cellStyle name="—_Global Wireless1_CSC May 20_40 Valuation Model incl. new BP" xfId="2420" xr:uid="{00000000-0005-0000-0000-000080020000}"/>
    <cellStyle name="—_Global Wireless1_CSC May 20_44 Valuation Model incl. new BP" xfId="2421" xr:uid="{00000000-0005-0000-0000-000081020000}"/>
    <cellStyle name="—_GS Assumptions-F" xfId="2422" xr:uid="{00000000-0005-0000-0000-000082020000}"/>
    <cellStyle name="—_GS Assumptions-F_03_ Clean LBO Model" xfId="2423" xr:uid="{00000000-0005-0000-0000-000083020000}"/>
    <cellStyle name="—_GS Assumptions-F_05_ Clean LBO Model" xfId="2424" xr:uid="{00000000-0005-0000-0000-000084020000}"/>
    <cellStyle name="—_GS Assumptions-F_08 Valuation Model incl. new BP" xfId="2425" xr:uid="{00000000-0005-0000-0000-000085020000}"/>
    <cellStyle name="—_GS Assumptions-F_09 Valuation Model incl. new BP" xfId="2426" xr:uid="{00000000-0005-0000-0000-000086020000}"/>
    <cellStyle name="—_GS Assumptions-F_13 Valuation Model incl. new BP" xfId="2427" xr:uid="{00000000-0005-0000-0000-000087020000}"/>
    <cellStyle name="—_GS Assumptions-F_14 Valuation Model incl. new BP" xfId="2428" xr:uid="{00000000-0005-0000-0000-000088020000}"/>
    <cellStyle name="—_GS Assumptions-F_15_ Clean LBO Model" xfId="2429" xr:uid="{00000000-0005-0000-0000-000089020000}"/>
    <cellStyle name="—_GS Assumptions-F_20 Valuation Model incl. new BP" xfId="2430" xr:uid="{00000000-0005-0000-0000-00008A020000}"/>
    <cellStyle name="—_GS Assumptions-F_25 Valuation Model incl. new BP" xfId="2431" xr:uid="{00000000-0005-0000-0000-00008B020000}"/>
    <cellStyle name="—_GS Assumptions-F_33 Valuation Model incl. new BP" xfId="2432" xr:uid="{00000000-0005-0000-0000-00008C020000}"/>
    <cellStyle name="—_GS Assumptions-F_34 Valuation Model incl. new BP" xfId="2433" xr:uid="{00000000-0005-0000-0000-00008D020000}"/>
    <cellStyle name="—_GS Assumptions-F_37 Valuation Model incl. new BP" xfId="2434" xr:uid="{00000000-0005-0000-0000-00008E020000}"/>
    <cellStyle name="—_GS Assumptions-F_38 Valuation Model incl. new BP" xfId="2435" xr:uid="{00000000-0005-0000-0000-00008F020000}"/>
    <cellStyle name="—_GS Assumptions-F_39 Valuation Model incl. new BP" xfId="2436" xr:uid="{00000000-0005-0000-0000-000090020000}"/>
    <cellStyle name="—_GS Assumptions-F_40 Valuation Model incl. new BP" xfId="2437" xr:uid="{00000000-0005-0000-0000-000091020000}"/>
    <cellStyle name="—_GS Assumptions-F_44 Valuation Model incl. new BP" xfId="2438" xr:uid="{00000000-0005-0000-0000-000092020000}"/>
    <cellStyle name="—_GS Assumptions-F_Global Wireless1" xfId="2439" xr:uid="{00000000-0005-0000-0000-000093020000}"/>
    <cellStyle name="—_GS Assumptions-F_Global Wireless1_03 CSC May 20" xfId="2440" xr:uid="{00000000-0005-0000-0000-000094020000}"/>
    <cellStyle name="—_GS Assumptions-F_Global Wireless1_03 CSC May 20_03_ Clean LBO Model" xfId="2441" xr:uid="{00000000-0005-0000-0000-000095020000}"/>
    <cellStyle name="—_GS Assumptions-F_Global Wireless1_03 CSC May 20_05_ Clean LBO Model" xfId="2442" xr:uid="{00000000-0005-0000-0000-000096020000}"/>
    <cellStyle name="—_GS Assumptions-F_Global Wireless1_03 CSC May 20_08 Valuation Model incl. new BP" xfId="2443" xr:uid="{00000000-0005-0000-0000-000097020000}"/>
    <cellStyle name="—_GS Assumptions-F_Global Wireless1_03 CSC May 20_09 Valuation Model incl. new BP" xfId="2444" xr:uid="{00000000-0005-0000-0000-000098020000}"/>
    <cellStyle name="—_GS Assumptions-F_Global Wireless1_03 CSC May 20_13 Valuation Model incl. new BP" xfId="2445" xr:uid="{00000000-0005-0000-0000-000099020000}"/>
    <cellStyle name="—_GS Assumptions-F_Global Wireless1_03 CSC May 20_14 Valuation Model incl. new BP" xfId="2446" xr:uid="{00000000-0005-0000-0000-00009A020000}"/>
    <cellStyle name="—_GS Assumptions-F_Global Wireless1_03 CSC May 20_15_ Clean LBO Model" xfId="2447" xr:uid="{00000000-0005-0000-0000-00009B020000}"/>
    <cellStyle name="—_GS Assumptions-F_Global Wireless1_03 CSC May 20_20 Valuation Model incl. new BP" xfId="2448" xr:uid="{00000000-0005-0000-0000-00009C020000}"/>
    <cellStyle name="—_GS Assumptions-F_Global Wireless1_03 CSC May 20_25 Valuation Model incl. new BP" xfId="2449" xr:uid="{00000000-0005-0000-0000-00009D020000}"/>
    <cellStyle name="—_GS Assumptions-F_Global Wireless1_03 CSC May 20_33 Valuation Model incl. new BP" xfId="2450" xr:uid="{00000000-0005-0000-0000-00009E020000}"/>
    <cellStyle name="—_GS Assumptions-F_Global Wireless1_03 CSC May 20_34 Valuation Model incl. new BP" xfId="2451" xr:uid="{00000000-0005-0000-0000-00009F020000}"/>
    <cellStyle name="—_GS Assumptions-F_Global Wireless1_03 CSC May 20_37 Valuation Model incl. new BP" xfId="2452" xr:uid="{00000000-0005-0000-0000-0000A0020000}"/>
    <cellStyle name="—_GS Assumptions-F_Global Wireless1_03 CSC May 20_38 Valuation Model incl. new BP" xfId="2453" xr:uid="{00000000-0005-0000-0000-0000A1020000}"/>
    <cellStyle name="—_GS Assumptions-F_Global Wireless1_03 CSC May 20_39 Valuation Model incl. new BP" xfId="2454" xr:uid="{00000000-0005-0000-0000-0000A2020000}"/>
    <cellStyle name="—_GS Assumptions-F_Global Wireless1_03 CSC May 20_40 Valuation Model incl. new BP" xfId="2455" xr:uid="{00000000-0005-0000-0000-0000A3020000}"/>
    <cellStyle name="—_GS Assumptions-F_Global Wireless1_03 CSC May 20_44 Valuation Model incl. new BP" xfId="2456" xr:uid="{00000000-0005-0000-0000-0000A4020000}"/>
    <cellStyle name="—_GS Assumptions-F_Global Wireless1_03_ Clean LBO Model" xfId="2457" xr:uid="{00000000-0005-0000-0000-0000A5020000}"/>
    <cellStyle name="—_GS Assumptions-F_Global Wireless1_05_ Clean LBO Model" xfId="2458" xr:uid="{00000000-0005-0000-0000-0000A6020000}"/>
    <cellStyle name="—_GS Assumptions-F_Global Wireless1_08 Valuation Model incl. new BP" xfId="2459" xr:uid="{00000000-0005-0000-0000-0000A7020000}"/>
    <cellStyle name="—_GS Assumptions-F_Global Wireless1_09 Valuation Model incl. new BP" xfId="2460" xr:uid="{00000000-0005-0000-0000-0000A8020000}"/>
    <cellStyle name="—_GS Assumptions-F_Global Wireless1_13 Valuation Model incl. new BP" xfId="2461" xr:uid="{00000000-0005-0000-0000-0000A9020000}"/>
    <cellStyle name="—_GS Assumptions-F_Global Wireless1_14 Valuation Model incl. new BP" xfId="2462" xr:uid="{00000000-0005-0000-0000-0000AA020000}"/>
    <cellStyle name="—_GS Assumptions-F_Global Wireless1_15_ Clean LBO Model" xfId="2463" xr:uid="{00000000-0005-0000-0000-0000AB020000}"/>
    <cellStyle name="—_GS Assumptions-F_Global Wireless1_20 Valuation Model incl. new BP" xfId="2464" xr:uid="{00000000-0005-0000-0000-0000AC020000}"/>
    <cellStyle name="—_GS Assumptions-F_Global Wireless1_25 Valuation Model incl. new BP" xfId="2465" xr:uid="{00000000-0005-0000-0000-0000AD020000}"/>
    <cellStyle name="—_GS Assumptions-F_Global Wireless1_33 Valuation Model incl. new BP" xfId="2466" xr:uid="{00000000-0005-0000-0000-0000AE020000}"/>
    <cellStyle name="—_GS Assumptions-F_Global Wireless1_34 Valuation Model incl. new BP" xfId="2467" xr:uid="{00000000-0005-0000-0000-0000AF020000}"/>
    <cellStyle name="—_GS Assumptions-F_Global Wireless1_37 Valuation Model incl. new BP" xfId="2468" xr:uid="{00000000-0005-0000-0000-0000B0020000}"/>
    <cellStyle name="—_GS Assumptions-F_Global Wireless1_38 Valuation Model incl. new BP" xfId="2469" xr:uid="{00000000-0005-0000-0000-0000B1020000}"/>
    <cellStyle name="—_GS Assumptions-F_Global Wireless1_39 Valuation Model incl. new BP" xfId="2470" xr:uid="{00000000-0005-0000-0000-0000B2020000}"/>
    <cellStyle name="—_GS Assumptions-F_Global Wireless1_40 Valuation Model incl. new BP" xfId="2471" xr:uid="{00000000-0005-0000-0000-0000B3020000}"/>
    <cellStyle name="—_GS Assumptions-F_Global Wireless1_44 Valuation Model incl. new BP" xfId="2472" xr:uid="{00000000-0005-0000-0000-0000B4020000}"/>
    <cellStyle name="—_GS Assumptions-F_Global Wireless1_CSC May 20" xfId="2473" xr:uid="{00000000-0005-0000-0000-0000B5020000}"/>
    <cellStyle name="—_GS Assumptions-F_Global Wireless1_CSC May 20_03_ Clean LBO Model" xfId="2474" xr:uid="{00000000-0005-0000-0000-0000B6020000}"/>
    <cellStyle name="—_GS Assumptions-F_Global Wireless1_CSC May 20_05_ Clean LBO Model" xfId="2475" xr:uid="{00000000-0005-0000-0000-0000B7020000}"/>
    <cellStyle name="—_GS Assumptions-F_Global Wireless1_CSC May 20_08 Valuation Model incl. new BP" xfId="2476" xr:uid="{00000000-0005-0000-0000-0000B8020000}"/>
    <cellStyle name="—_GS Assumptions-F_Global Wireless1_CSC May 20_09 Valuation Model incl. new BP" xfId="2477" xr:uid="{00000000-0005-0000-0000-0000B9020000}"/>
    <cellStyle name="—_GS Assumptions-F_Global Wireless1_CSC May 20_13 Valuation Model incl. new BP" xfId="2478" xr:uid="{00000000-0005-0000-0000-0000BA020000}"/>
    <cellStyle name="—_GS Assumptions-F_Global Wireless1_CSC May 20_14 Valuation Model incl. new BP" xfId="2479" xr:uid="{00000000-0005-0000-0000-0000BB020000}"/>
    <cellStyle name="—_GS Assumptions-F_Global Wireless1_CSC May 20_15_ Clean LBO Model" xfId="2480" xr:uid="{00000000-0005-0000-0000-0000BC020000}"/>
    <cellStyle name="—_GS Assumptions-F_Global Wireless1_CSC May 20_20 Valuation Model incl. new BP" xfId="2481" xr:uid="{00000000-0005-0000-0000-0000BD020000}"/>
    <cellStyle name="—_GS Assumptions-F_Global Wireless1_CSC May 20_25 Valuation Model incl. new BP" xfId="2482" xr:uid="{00000000-0005-0000-0000-0000BE020000}"/>
    <cellStyle name="—_GS Assumptions-F_Global Wireless1_CSC May 20_33 Valuation Model incl. new BP" xfId="2483" xr:uid="{00000000-0005-0000-0000-0000BF020000}"/>
    <cellStyle name="—_GS Assumptions-F_Global Wireless1_CSC May 20_34 Valuation Model incl. new BP" xfId="2484" xr:uid="{00000000-0005-0000-0000-0000C0020000}"/>
    <cellStyle name="—_GS Assumptions-F_Global Wireless1_CSC May 20_37 Valuation Model incl. new BP" xfId="2485" xr:uid="{00000000-0005-0000-0000-0000C1020000}"/>
    <cellStyle name="—_GS Assumptions-F_Global Wireless1_CSC May 20_38 Valuation Model incl. new BP" xfId="2486" xr:uid="{00000000-0005-0000-0000-0000C2020000}"/>
    <cellStyle name="—_GS Assumptions-F_Global Wireless1_CSC May 20_39 Valuation Model incl. new BP" xfId="2487" xr:uid="{00000000-0005-0000-0000-0000C3020000}"/>
    <cellStyle name="—_GS Assumptions-F_Global Wireless1_CSC May 20_40 Valuation Model incl. new BP" xfId="2488" xr:uid="{00000000-0005-0000-0000-0000C4020000}"/>
    <cellStyle name="—_GS Assumptions-F_Global Wireless1_CSC May 20_44 Valuation Model incl. new BP" xfId="2489" xr:uid="{00000000-0005-0000-0000-0000C5020000}"/>
    <cellStyle name="—_GS_Balance" xfId="2490" xr:uid="{00000000-0005-0000-0000-0000C6020000}"/>
    <cellStyle name="—_GS_Balance_03_ Clean LBO Model" xfId="2491" xr:uid="{00000000-0005-0000-0000-0000C7020000}"/>
    <cellStyle name="—_GS_Balance_05_ Clean LBO Model" xfId="2492" xr:uid="{00000000-0005-0000-0000-0000C8020000}"/>
    <cellStyle name="—_GS_Balance_08 Valuation Model incl. new BP" xfId="2493" xr:uid="{00000000-0005-0000-0000-0000C9020000}"/>
    <cellStyle name="—_GS_Balance_09 Valuation Model incl. new BP" xfId="2494" xr:uid="{00000000-0005-0000-0000-0000CA020000}"/>
    <cellStyle name="—_GS_Balance_13 Valuation Model incl. new BP" xfId="2495" xr:uid="{00000000-0005-0000-0000-0000CB020000}"/>
    <cellStyle name="—_GS_Balance_14 Valuation Model incl. new BP" xfId="2496" xr:uid="{00000000-0005-0000-0000-0000CC020000}"/>
    <cellStyle name="—_GS_Balance_15_ Clean LBO Model" xfId="2497" xr:uid="{00000000-0005-0000-0000-0000CD020000}"/>
    <cellStyle name="—_GS_Balance_20 Valuation Model incl. new BP" xfId="2498" xr:uid="{00000000-0005-0000-0000-0000CE020000}"/>
    <cellStyle name="—_GS_Balance_25 Valuation Model incl. new BP" xfId="2499" xr:uid="{00000000-0005-0000-0000-0000CF020000}"/>
    <cellStyle name="—_GS_Balance_33 Valuation Model incl. new BP" xfId="2500" xr:uid="{00000000-0005-0000-0000-0000D0020000}"/>
    <cellStyle name="—_GS_Balance_34 Valuation Model incl. new BP" xfId="2501" xr:uid="{00000000-0005-0000-0000-0000D1020000}"/>
    <cellStyle name="—_GS_Balance_37 Valuation Model incl. new BP" xfId="2502" xr:uid="{00000000-0005-0000-0000-0000D2020000}"/>
    <cellStyle name="—_GS_Balance_38 Valuation Model incl. new BP" xfId="2503" xr:uid="{00000000-0005-0000-0000-0000D3020000}"/>
    <cellStyle name="—_GS_Balance_39 Valuation Model incl. new BP" xfId="2504" xr:uid="{00000000-0005-0000-0000-0000D4020000}"/>
    <cellStyle name="—_GS_Balance_40 Valuation Model incl. new BP" xfId="2505" xr:uid="{00000000-0005-0000-0000-0000D5020000}"/>
    <cellStyle name="—_GS_Balance_44 Valuation Model incl. new BP" xfId="2506" xr:uid="{00000000-0005-0000-0000-0000D6020000}"/>
    <cellStyle name="—_GS_Balance_Global Wireless1" xfId="2507" xr:uid="{00000000-0005-0000-0000-0000D7020000}"/>
    <cellStyle name="—_GS_Balance_Global Wireless1_03 CSC May 20" xfId="2508" xr:uid="{00000000-0005-0000-0000-0000D8020000}"/>
    <cellStyle name="—_GS_Balance_Global Wireless1_03 CSC May 20_03_ Clean LBO Model" xfId="2509" xr:uid="{00000000-0005-0000-0000-0000D9020000}"/>
    <cellStyle name="—_GS_Balance_Global Wireless1_03 CSC May 20_05_ Clean LBO Model" xfId="2510" xr:uid="{00000000-0005-0000-0000-0000DA020000}"/>
    <cellStyle name="—_GS_Balance_Global Wireless1_03 CSC May 20_08 Valuation Model incl. new BP" xfId="2511" xr:uid="{00000000-0005-0000-0000-0000DB020000}"/>
    <cellStyle name="—_GS_Balance_Global Wireless1_03 CSC May 20_09 Valuation Model incl. new BP" xfId="2512" xr:uid="{00000000-0005-0000-0000-0000DC020000}"/>
    <cellStyle name="—_GS_Balance_Global Wireless1_03 CSC May 20_13 Valuation Model incl. new BP" xfId="2513" xr:uid="{00000000-0005-0000-0000-0000DD020000}"/>
    <cellStyle name="—_GS_Balance_Global Wireless1_03 CSC May 20_14 Valuation Model incl. new BP" xfId="2514" xr:uid="{00000000-0005-0000-0000-0000DE020000}"/>
    <cellStyle name="—_GS_Balance_Global Wireless1_03 CSC May 20_15_ Clean LBO Model" xfId="2515" xr:uid="{00000000-0005-0000-0000-0000DF020000}"/>
    <cellStyle name="—_GS_Balance_Global Wireless1_03 CSC May 20_20 Valuation Model incl. new BP" xfId="2516" xr:uid="{00000000-0005-0000-0000-0000E0020000}"/>
    <cellStyle name="—_GS_Balance_Global Wireless1_03 CSC May 20_25 Valuation Model incl. new BP" xfId="2517" xr:uid="{00000000-0005-0000-0000-0000E1020000}"/>
    <cellStyle name="—_GS_Balance_Global Wireless1_03 CSC May 20_33 Valuation Model incl. new BP" xfId="2518" xr:uid="{00000000-0005-0000-0000-0000E2020000}"/>
    <cellStyle name="—_GS_Balance_Global Wireless1_03 CSC May 20_34 Valuation Model incl. new BP" xfId="2519" xr:uid="{00000000-0005-0000-0000-0000E3020000}"/>
    <cellStyle name="—_GS_Balance_Global Wireless1_03 CSC May 20_37 Valuation Model incl. new BP" xfId="2520" xr:uid="{00000000-0005-0000-0000-0000E4020000}"/>
    <cellStyle name="—_GS_Balance_Global Wireless1_03 CSC May 20_38 Valuation Model incl. new BP" xfId="2521" xr:uid="{00000000-0005-0000-0000-0000E5020000}"/>
    <cellStyle name="—_GS_Balance_Global Wireless1_03 CSC May 20_39 Valuation Model incl. new BP" xfId="2522" xr:uid="{00000000-0005-0000-0000-0000E6020000}"/>
    <cellStyle name="—_GS_Balance_Global Wireless1_03 CSC May 20_40 Valuation Model incl. new BP" xfId="2523" xr:uid="{00000000-0005-0000-0000-0000E7020000}"/>
    <cellStyle name="—_GS_Balance_Global Wireless1_03 CSC May 20_44 Valuation Model incl. new BP" xfId="2524" xr:uid="{00000000-0005-0000-0000-0000E8020000}"/>
    <cellStyle name="—_GS_Balance_Global Wireless1_03_ Clean LBO Model" xfId="2525" xr:uid="{00000000-0005-0000-0000-0000E9020000}"/>
    <cellStyle name="—_GS_Balance_Global Wireless1_05_ Clean LBO Model" xfId="2526" xr:uid="{00000000-0005-0000-0000-0000EA020000}"/>
    <cellStyle name="—_GS_Balance_Global Wireless1_08 Valuation Model incl. new BP" xfId="2527" xr:uid="{00000000-0005-0000-0000-0000EB020000}"/>
    <cellStyle name="—_GS_Balance_Global Wireless1_09 Valuation Model incl. new BP" xfId="2528" xr:uid="{00000000-0005-0000-0000-0000EC020000}"/>
    <cellStyle name="—_GS_Balance_Global Wireless1_13 Valuation Model incl. new BP" xfId="2529" xr:uid="{00000000-0005-0000-0000-0000ED020000}"/>
    <cellStyle name="—_GS_Balance_Global Wireless1_14 Valuation Model incl. new BP" xfId="2530" xr:uid="{00000000-0005-0000-0000-0000EE020000}"/>
    <cellStyle name="—_GS_Balance_Global Wireless1_15_ Clean LBO Model" xfId="2531" xr:uid="{00000000-0005-0000-0000-0000EF020000}"/>
    <cellStyle name="—_GS_Balance_Global Wireless1_20 Valuation Model incl. new BP" xfId="2532" xr:uid="{00000000-0005-0000-0000-0000F0020000}"/>
    <cellStyle name="—_GS_Balance_Global Wireless1_25 Valuation Model incl. new BP" xfId="2533" xr:uid="{00000000-0005-0000-0000-0000F1020000}"/>
    <cellStyle name="—_GS_Balance_Global Wireless1_33 Valuation Model incl. new BP" xfId="2534" xr:uid="{00000000-0005-0000-0000-0000F2020000}"/>
    <cellStyle name="—_GS_Balance_Global Wireless1_34 Valuation Model incl. new BP" xfId="2535" xr:uid="{00000000-0005-0000-0000-0000F3020000}"/>
    <cellStyle name="—_GS_Balance_Global Wireless1_37 Valuation Model incl. new BP" xfId="2536" xr:uid="{00000000-0005-0000-0000-0000F4020000}"/>
    <cellStyle name="—_GS_Balance_Global Wireless1_38 Valuation Model incl. new BP" xfId="2537" xr:uid="{00000000-0005-0000-0000-0000F5020000}"/>
    <cellStyle name="—_GS_Balance_Global Wireless1_39 Valuation Model incl. new BP" xfId="2538" xr:uid="{00000000-0005-0000-0000-0000F6020000}"/>
    <cellStyle name="—_GS_Balance_Global Wireless1_40 Valuation Model incl. new BP" xfId="2539" xr:uid="{00000000-0005-0000-0000-0000F7020000}"/>
    <cellStyle name="—_GS_Balance_Global Wireless1_44 Valuation Model incl. new BP" xfId="2540" xr:uid="{00000000-0005-0000-0000-0000F8020000}"/>
    <cellStyle name="—_GS_Balance_Global Wireless1_CSC May 20" xfId="2541" xr:uid="{00000000-0005-0000-0000-0000F9020000}"/>
    <cellStyle name="—_GS_Balance_Global Wireless1_CSC May 20_03_ Clean LBO Model" xfId="2542" xr:uid="{00000000-0005-0000-0000-0000FA020000}"/>
    <cellStyle name="—_GS_Balance_Global Wireless1_CSC May 20_05_ Clean LBO Model" xfId="2543" xr:uid="{00000000-0005-0000-0000-0000FB020000}"/>
    <cellStyle name="—_GS_Balance_Global Wireless1_CSC May 20_08 Valuation Model incl. new BP" xfId="2544" xr:uid="{00000000-0005-0000-0000-0000FC020000}"/>
    <cellStyle name="—_GS_Balance_Global Wireless1_CSC May 20_09 Valuation Model incl. new BP" xfId="2545" xr:uid="{00000000-0005-0000-0000-0000FD020000}"/>
    <cellStyle name="—_GS_Balance_Global Wireless1_CSC May 20_13 Valuation Model incl. new BP" xfId="2546" xr:uid="{00000000-0005-0000-0000-0000FE020000}"/>
    <cellStyle name="—_GS_Balance_Global Wireless1_CSC May 20_14 Valuation Model incl. new BP" xfId="2547" xr:uid="{00000000-0005-0000-0000-0000FF020000}"/>
    <cellStyle name="—_GS_Balance_Global Wireless1_CSC May 20_15_ Clean LBO Model" xfId="2548" xr:uid="{00000000-0005-0000-0000-000000030000}"/>
    <cellStyle name="—_GS_Balance_Global Wireless1_CSC May 20_20 Valuation Model incl. new BP" xfId="2549" xr:uid="{00000000-0005-0000-0000-000001030000}"/>
    <cellStyle name="—_GS_Balance_Global Wireless1_CSC May 20_25 Valuation Model incl. new BP" xfId="2550" xr:uid="{00000000-0005-0000-0000-000002030000}"/>
    <cellStyle name="—_GS_Balance_Global Wireless1_CSC May 20_33 Valuation Model incl. new BP" xfId="2551" xr:uid="{00000000-0005-0000-0000-000003030000}"/>
    <cellStyle name="—_GS_Balance_Global Wireless1_CSC May 20_34 Valuation Model incl. new BP" xfId="2552" xr:uid="{00000000-0005-0000-0000-000004030000}"/>
    <cellStyle name="—_GS_Balance_Global Wireless1_CSC May 20_37 Valuation Model incl. new BP" xfId="2553" xr:uid="{00000000-0005-0000-0000-000005030000}"/>
    <cellStyle name="—_GS_Balance_Global Wireless1_CSC May 20_38 Valuation Model incl. new BP" xfId="2554" xr:uid="{00000000-0005-0000-0000-000006030000}"/>
    <cellStyle name="—_GS_Balance_Global Wireless1_CSC May 20_39 Valuation Model incl. new BP" xfId="2555" xr:uid="{00000000-0005-0000-0000-000007030000}"/>
    <cellStyle name="—_GS_Balance_Global Wireless1_CSC May 20_40 Valuation Model incl. new BP" xfId="2556" xr:uid="{00000000-0005-0000-0000-000008030000}"/>
    <cellStyle name="—_GS_Balance_Global Wireless1_CSC May 20_44 Valuation Model incl. new BP" xfId="2557" xr:uid="{00000000-0005-0000-0000-000009030000}"/>
    <cellStyle name="—_GS_Cash " xfId="2558" xr:uid="{00000000-0005-0000-0000-00000A030000}"/>
    <cellStyle name="—_GS_Cash  (2)" xfId="2559" xr:uid="{00000000-0005-0000-0000-00000B030000}"/>
    <cellStyle name="—_GS_Cash  (2)_03_ Clean LBO Model" xfId="2560" xr:uid="{00000000-0005-0000-0000-00000C030000}"/>
    <cellStyle name="—_GS_Cash  (2)_05_ Clean LBO Model" xfId="2561" xr:uid="{00000000-0005-0000-0000-00000D030000}"/>
    <cellStyle name="—_GS_Cash  (2)_08 Valuation Model incl. new BP" xfId="2562" xr:uid="{00000000-0005-0000-0000-00000E030000}"/>
    <cellStyle name="—_GS_Cash  (2)_09 Valuation Model incl. new BP" xfId="2563" xr:uid="{00000000-0005-0000-0000-00000F030000}"/>
    <cellStyle name="—_GS_Cash  (2)_13 Valuation Model incl. new BP" xfId="2564" xr:uid="{00000000-0005-0000-0000-000010030000}"/>
    <cellStyle name="—_GS_Cash  (2)_14 Valuation Model incl. new BP" xfId="2565" xr:uid="{00000000-0005-0000-0000-000011030000}"/>
    <cellStyle name="—_GS_Cash  (2)_15_ Clean LBO Model" xfId="2566" xr:uid="{00000000-0005-0000-0000-000012030000}"/>
    <cellStyle name="—_GS_Cash  (2)_20 Valuation Model incl. new BP" xfId="2567" xr:uid="{00000000-0005-0000-0000-000013030000}"/>
    <cellStyle name="—_GS_Cash  (2)_25 Valuation Model incl. new BP" xfId="2568" xr:uid="{00000000-0005-0000-0000-000014030000}"/>
    <cellStyle name="—_GS_Cash  (2)_33 Valuation Model incl. new BP" xfId="2569" xr:uid="{00000000-0005-0000-0000-000015030000}"/>
    <cellStyle name="—_GS_Cash  (2)_34 Valuation Model incl. new BP" xfId="2570" xr:uid="{00000000-0005-0000-0000-000016030000}"/>
    <cellStyle name="—_GS_Cash  (2)_37 Valuation Model incl. new BP" xfId="2571" xr:uid="{00000000-0005-0000-0000-000017030000}"/>
    <cellStyle name="—_GS_Cash  (2)_38 Valuation Model incl. new BP" xfId="2572" xr:uid="{00000000-0005-0000-0000-000018030000}"/>
    <cellStyle name="—_GS_Cash  (2)_39 Valuation Model incl. new BP" xfId="2573" xr:uid="{00000000-0005-0000-0000-000019030000}"/>
    <cellStyle name="—_GS_Cash  (2)_40 Valuation Model incl. new BP" xfId="2574" xr:uid="{00000000-0005-0000-0000-00001A030000}"/>
    <cellStyle name="—_GS_Cash  (2)_44 Valuation Model incl. new BP" xfId="2575" xr:uid="{00000000-0005-0000-0000-00001B030000}"/>
    <cellStyle name="—_GS_Cash  (2)_Global Wireless1" xfId="2576" xr:uid="{00000000-0005-0000-0000-00001C030000}"/>
    <cellStyle name="—_GS_Cash  (2)_Global Wireless1_03 CSC May 20" xfId="2577" xr:uid="{00000000-0005-0000-0000-00001D030000}"/>
    <cellStyle name="—_GS_Cash  (2)_Global Wireless1_03 CSC May 20_03_ Clean LBO Model" xfId="2578" xr:uid="{00000000-0005-0000-0000-00001E030000}"/>
    <cellStyle name="—_GS_Cash  (2)_Global Wireless1_03 CSC May 20_05_ Clean LBO Model" xfId="2579" xr:uid="{00000000-0005-0000-0000-00001F030000}"/>
    <cellStyle name="—_GS_Cash  (2)_Global Wireless1_03 CSC May 20_08 Valuation Model incl. new BP" xfId="2580" xr:uid="{00000000-0005-0000-0000-000020030000}"/>
    <cellStyle name="—_GS_Cash  (2)_Global Wireless1_03 CSC May 20_09 Valuation Model incl. new BP" xfId="2581" xr:uid="{00000000-0005-0000-0000-000021030000}"/>
    <cellStyle name="—_GS_Cash  (2)_Global Wireless1_03 CSC May 20_13 Valuation Model incl. new BP" xfId="2582" xr:uid="{00000000-0005-0000-0000-000022030000}"/>
    <cellStyle name="—_GS_Cash  (2)_Global Wireless1_03 CSC May 20_14 Valuation Model incl. new BP" xfId="2583" xr:uid="{00000000-0005-0000-0000-000023030000}"/>
    <cellStyle name="—_GS_Cash  (2)_Global Wireless1_03 CSC May 20_15_ Clean LBO Model" xfId="2584" xr:uid="{00000000-0005-0000-0000-000024030000}"/>
    <cellStyle name="—_GS_Cash  (2)_Global Wireless1_03 CSC May 20_20 Valuation Model incl. new BP" xfId="2585" xr:uid="{00000000-0005-0000-0000-000025030000}"/>
    <cellStyle name="—_GS_Cash  (2)_Global Wireless1_03 CSC May 20_25 Valuation Model incl. new BP" xfId="2586" xr:uid="{00000000-0005-0000-0000-000026030000}"/>
    <cellStyle name="—_GS_Cash  (2)_Global Wireless1_03 CSC May 20_33 Valuation Model incl. new BP" xfId="2587" xr:uid="{00000000-0005-0000-0000-000027030000}"/>
    <cellStyle name="—_GS_Cash  (2)_Global Wireless1_03 CSC May 20_34 Valuation Model incl. new BP" xfId="2588" xr:uid="{00000000-0005-0000-0000-000028030000}"/>
    <cellStyle name="—_GS_Cash  (2)_Global Wireless1_03 CSC May 20_37 Valuation Model incl. new BP" xfId="2589" xr:uid="{00000000-0005-0000-0000-000029030000}"/>
    <cellStyle name="—_GS_Cash  (2)_Global Wireless1_03 CSC May 20_38 Valuation Model incl. new BP" xfId="2590" xr:uid="{00000000-0005-0000-0000-00002A030000}"/>
    <cellStyle name="—_GS_Cash  (2)_Global Wireless1_03 CSC May 20_39 Valuation Model incl. new BP" xfId="2591" xr:uid="{00000000-0005-0000-0000-00002B030000}"/>
    <cellStyle name="—_GS_Cash  (2)_Global Wireless1_03 CSC May 20_40 Valuation Model incl. new BP" xfId="2592" xr:uid="{00000000-0005-0000-0000-00002C030000}"/>
    <cellStyle name="—_GS_Cash  (2)_Global Wireless1_03 CSC May 20_44 Valuation Model incl. new BP" xfId="2593" xr:uid="{00000000-0005-0000-0000-00002D030000}"/>
    <cellStyle name="—_GS_Cash  (2)_Global Wireless1_03_ Clean LBO Model" xfId="2594" xr:uid="{00000000-0005-0000-0000-00002E030000}"/>
    <cellStyle name="—_GS_Cash  (2)_Global Wireless1_05_ Clean LBO Model" xfId="2595" xr:uid="{00000000-0005-0000-0000-00002F030000}"/>
    <cellStyle name="—_GS_Cash  (2)_Global Wireless1_08 Valuation Model incl. new BP" xfId="2596" xr:uid="{00000000-0005-0000-0000-000030030000}"/>
    <cellStyle name="—_GS_Cash  (2)_Global Wireless1_09 Valuation Model incl. new BP" xfId="2597" xr:uid="{00000000-0005-0000-0000-000031030000}"/>
    <cellStyle name="—_GS_Cash  (2)_Global Wireless1_13 Valuation Model incl. new BP" xfId="2598" xr:uid="{00000000-0005-0000-0000-000032030000}"/>
    <cellStyle name="—_GS_Cash  (2)_Global Wireless1_14 Valuation Model incl. new BP" xfId="2599" xr:uid="{00000000-0005-0000-0000-000033030000}"/>
    <cellStyle name="—_GS_Cash  (2)_Global Wireless1_15_ Clean LBO Model" xfId="2600" xr:uid="{00000000-0005-0000-0000-000034030000}"/>
    <cellStyle name="—_GS_Cash  (2)_Global Wireless1_20 Valuation Model incl. new BP" xfId="2601" xr:uid="{00000000-0005-0000-0000-000035030000}"/>
    <cellStyle name="—_GS_Cash  (2)_Global Wireless1_25 Valuation Model incl. new BP" xfId="2602" xr:uid="{00000000-0005-0000-0000-000036030000}"/>
    <cellStyle name="—_GS_Cash  (2)_Global Wireless1_33 Valuation Model incl. new BP" xfId="2603" xr:uid="{00000000-0005-0000-0000-000037030000}"/>
    <cellStyle name="—_GS_Cash  (2)_Global Wireless1_34 Valuation Model incl. new BP" xfId="2604" xr:uid="{00000000-0005-0000-0000-000038030000}"/>
    <cellStyle name="—_GS_Cash  (2)_Global Wireless1_37 Valuation Model incl. new BP" xfId="2605" xr:uid="{00000000-0005-0000-0000-000039030000}"/>
    <cellStyle name="—_GS_Cash  (2)_Global Wireless1_38 Valuation Model incl. new BP" xfId="2606" xr:uid="{00000000-0005-0000-0000-00003A030000}"/>
    <cellStyle name="—_GS_Cash  (2)_Global Wireless1_39 Valuation Model incl. new BP" xfId="2607" xr:uid="{00000000-0005-0000-0000-00003B030000}"/>
    <cellStyle name="—_GS_Cash  (2)_Global Wireless1_40 Valuation Model incl. new BP" xfId="2608" xr:uid="{00000000-0005-0000-0000-00003C030000}"/>
    <cellStyle name="—_GS_Cash  (2)_Global Wireless1_44 Valuation Model incl. new BP" xfId="2609" xr:uid="{00000000-0005-0000-0000-00003D030000}"/>
    <cellStyle name="—_GS_Cash  (2)_Global Wireless1_CSC May 20" xfId="2610" xr:uid="{00000000-0005-0000-0000-00003E030000}"/>
    <cellStyle name="—_GS_Cash  (2)_Global Wireless1_CSC May 20_03_ Clean LBO Model" xfId="2611" xr:uid="{00000000-0005-0000-0000-00003F030000}"/>
    <cellStyle name="—_GS_Cash  (2)_Global Wireless1_CSC May 20_05_ Clean LBO Model" xfId="2612" xr:uid="{00000000-0005-0000-0000-000040030000}"/>
    <cellStyle name="—_GS_Cash  (2)_Global Wireless1_CSC May 20_08 Valuation Model incl. new BP" xfId="2613" xr:uid="{00000000-0005-0000-0000-000041030000}"/>
    <cellStyle name="—_GS_Cash  (2)_Global Wireless1_CSC May 20_09 Valuation Model incl. new BP" xfId="2614" xr:uid="{00000000-0005-0000-0000-000042030000}"/>
    <cellStyle name="—_GS_Cash  (2)_Global Wireless1_CSC May 20_13 Valuation Model incl. new BP" xfId="2615" xr:uid="{00000000-0005-0000-0000-000043030000}"/>
    <cellStyle name="—_GS_Cash  (2)_Global Wireless1_CSC May 20_14 Valuation Model incl. new BP" xfId="2616" xr:uid="{00000000-0005-0000-0000-000044030000}"/>
    <cellStyle name="—_GS_Cash  (2)_Global Wireless1_CSC May 20_15_ Clean LBO Model" xfId="2617" xr:uid="{00000000-0005-0000-0000-000045030000}"/>
    <cellStyle name="—_GS_Cash  (2)_Global Wireless1_CSC May 20_20 Valuation Model incl. new BP" xfId="2618" xr:uid="{00000000-0005-0000-0000-000046030000}"/>
    <cellStyle name="—_GS_Cash  (2)_Global Wireless1_CSC May 20_25 Valuation Model incl. new BP" xfId="2619" xr:uid="{00000000-0005-0000-0000-000047030000}"/>
    <cellStyle name="—_GS_Cash  (2)_Global Wireless1_CSC May 20_33 Valuation Model incl. new BP" xfId="2620" xr:uid="{00000000-0005-0000-0000-000048030000}"/>
    <cellStyle name="—_GS_Cash  (2)_Global Wireless1_CSC May 20_34 Valuation Model incl. new BP" xfId="2621" xr:uid="{00000000-0005-0000-0000-000049030000}"/>
    <cellStyle name="—_GS_Cash  (2)_Global Wireless1_CSC May 20_37 Valuation Model incl. new BP" xfId="2622" xr:uid="{00000000-0005-0000-0000-00004A030000}"/>
    <cellStyle name="—_GS_Cash  (2)_Global Wireless1_CSC May 20_38 Valuation Model incl. new BP" xfId="2623" xr:uid="{00000000-0005-0000-0000-00004B030000}"/>
    <cellStyle name="—_GS_Cash  (2)_Global Wireless1_CSC May 20_39 Valuation Model incl. new BP" xfId="2624" xr:uid="{00000000-0005-0000-0000-00004C030000}"/>
    <cellStyle name="—_GS_Cash  (2)_Global Wireless1_CSC May 20_40 Valuation Model incl. new BP" xfId="2625" xr:uid="{00000000-0005-0000-0000-00004D030000}"/>
    <cellStyle name="—_GS_Cash  (2)_Global Wireless1_CSC May 20_44 Valuation Model incl. new BP" xfId="2626" xr:uid="{00000000-0005-0000-0000-00004E030000}"/>
    <cellStyle name="—_GS_Cash _03_ Clean LBO Model" xfId="2627" xr:uid="{00000000-0005-0000-0000-00004F030000}"/>
    <cellStyle name="—_GS_Cash _05_ Clean LBO Model" xfId="2628" xr:uid="{00000000-0005-0000-0000-000050030000}"/>
    <cellStyle name="—_GS_Cash _08 Valuation Model incl. new BP" xfId="2629" xr:uid="{00000000-0005-0000-0000-000051030000}"/>
    <cellStyle name="—_GS_Cash _09 Valuation Model incl. new BP" xfId="2630" xr:uid="{00000000-0005-0000-0000-000052030000}"/>
    <cellStyle name="—_GS_Cash _13 Valuation Model incl. new BP" xfId="2631" xr:uid="{00000000-0005-0000-0000-000053030000}"/>
    <cellStyle name="—_GS_Cash _14 Valuation Model incl. new BP" xfId="2632" xr:uid="{00000000-0005-0000-0000-000054030000}"/>
    <cellStyle name="—_GS_Cash _15_ Clean LBO Model" xfId="2633" xr:uid="{00000000-0005-0000-0000-000055030000}"/>
    <cellStyle name="—_GS_Cash _20 Valuation Model incl. new BP" xfId="2634" xr:uid="{00000000-0005-0000-0000-000056030000}"/>
    <cellStyle name="—_GS_Cash _25 Valuation Model incl. new BP" xfId="2635" xr:uid="{00000000-0005-0000-0000-000057030000}"/>
    <cellStyle name="—_GS_Cash _33 Valuation Model incl. new BP" xfId="2636" xr:uid="{00000000-0005-0000-0000-000058030000}"/>
    <cellStyle name="—_GS_Cash _34 Valuation Model incl. new BP" xfId="2637" xr:uid="{00000000-0005-0000-0000-000059030000}"/>
    <cellStyle name="—_GS_Cash _37 Valuation Model incl. new BP" xfId="2638" xr:uid="{00000000-0005-0000-0000-00005A030000}"/>
    <cellStyle name="—_GS_Cash _38 Valuation Model incl. new BP" xfId="2639" xr:uid="{00000000-0005-0000-0000-00005B030000}"/>
    <cellStyle name="—_GS_Cash _39 Valuation Model incl. new BP" xfId="2640" xr:uid="{00000000-0005-0000-0000-00005C030000}"/>
    <cellStyle name="—_GS_Cash _40 Valuation Model incl. new BP" xfId="2641" xr:uid="{00000000-0005-0000-0000-00005D030000}"/>
    <cellStyle name="—_GS_Cash _44 Valuation Model incl. new BP" xfId="2642" xr:uid="{00000000-0005-0000-0000-00005E030000}"/>
    <cellStyle name="—_GS_Cash _Global Wireless1" xfId="2643" xr:uid="{00000000-0005-0000-0000-00005F030000}"/>
    <cellStyle name="—_GS_Cash _Global Wireless1_03 CSC May 20" xfId="2644" xr:uid="{00000000-0005-0000-0000-000060030000}"/>
    <cellStyle name="—_GS_Cash _Global Wireless1_03 CSC May 20_03_ Clean LBO Model" xfId="2645" xr:uid="{00000000-0005-0000-0000-000061030000}"/>
    <cellStyle name="—_GS_Cash _Global Wireless1_03 CSC May 20_05_ Clean LBO Model" xfId="2646" xr:uid="{00000000-0005-0000-0000-000062030000}"/>
    <cellStyle name="—_GS_Cash _Global Wireless1_03 CSC May 20_08 Valuation Model incl. new BP" xfId="2647" xr:uid="{00000000-0005-0000-0000-000063030000}"/>
    <cellStyle name="—_GS_Cash _Global Wireless1_03 CSC May 20_09 Valuation Model incl. new BP" xfId="2648" xr:uid="{00000000-0005-0000-0000-000064030000}"/>
    <cellStyle name="—_GS_Cash _Global Wireless1_03 CSC May 20_13 Valuation Model incl. new BP" xfId="2649" xr:uid="{00000000-0005-0000-0000-000065030000}"/>
    <cellStyle name="—_GS_Cash _Global Wireless1_03 CSC May 20_14 Valuation Model incl. new BP" xfId="2650" xr:uid="{00000000-0005-0000-0000-000066030000}"/>
    <cellStyle name="—_GS_Cash _Global Wireless1_03 CSC May 20_15_ Clean LBO Model" xfId="2651" xr:uid="{00000000-0005-0000-0000-000067030000}"/>
    <cellStyle name="—_GS_Cash _Global Wireless1_03 CSC May 20_20 Valuation Model incl. new BP" xfId="2652" xr:uid="{00000000-0005-0000-0000-000068030000}"/>
    <cellStyle name="—_GS_Cash _Global Wireless1_03 CSC May 20_25 Valuation Model incl. new BP" xfId="2653" xr:uid="{00000000-0005-0000-0000-000069030000}"/>
    <cellStyle name="—_GS_Cash _Global Wireless1_03 CSC May 20_33 Valuation Model incl. new BP" xfId="2654" xr:uid="{00000000-0005-0000-0000-00006A030000}"/>
    <cellStyle name="—_GS_Cash _Global Wireless1_03 CSC May 20_34 Valuation Model incl. new BP" xfId="2655" xr:uid="{00000000-0005-0000-0000-00006B030000}"/>
    <cellStyle name="—_GS_Cash _Global Wireless1_03 CSC May 20_37 Valuation Model incl. new BP" xfId="2656" xr:uid="{00000000-0005-0000-0000-00006C030000}"/>
    <cellStyle name="—_GS_Cash _Global Wireless1_03 CSC May 20_38 Valuation Model incl. new BP" xfId="2657" xr:uid="{00000000-0005-0000-0000-00006D030000}"/>
    <cellStyle name="—_GS_Cash _Global Wireless1_03 CSC May 20_39 Valuation Model incl. new BP" xfId="2658" xr:uid="{00000000-0005-0000-0000-00006E030000}"/>
    <cellStyle name="—_GS_Cash _Global Wireless1_03 CSC May 20_40 Valuation Model incl. new BP" xfId="2659" xr:uid="{00000000-0005-0000-0000-00006F030000}"/>
    <cellStyle name="—_GS_Cash _Global Wireless1_03 CSC May 20_44 Valuation Model incl. new BP" xfId="2660" xr:uid="{00000000-0005-0000-0000-000070030000}"/>
    <cellStyle name="—_GS_Cash _Global Wireless1_03_ Clean LBO Model" xfId="2661" xr:uid="{00000000-0005-0000-0000-000071030000}"/>
    <cellStyle name="—_GS_Cash _Global Wireless1_05_ Clean LBO Model" xfId="2662" xr:uid="{00000000-0005-0000-0000-000072030000}"/>
    <cellStyle name="—_GS_Cash _Global Wireless1_08 Valuation Model incl. new BP" xfId="2663" xr:uid="{00000000-0005-0000-0000-000073030000}"/>
    <cellStyle name="—_GS_Cash _Global Wireless1_09 Valuation Model incl. new BP" xfId="2664" xr:uid="{00000000-0005-0000-0000-000074030000}"/>
    <cellStyle name="—_GS_Cash _Global Wireless1_13 Valuation Model incl. new BP" xfId="2665" xr:uid="{00000000-0005-0000-0000-000075030000}"/>
    <cellStyle name="—_GS_Cash _Global Wireless1_14 Valuation Model incl. new BP" xfId="2666" xr:uid="{00000000-0005-0000-0000-000076030000}"/>
    <cellStyle name="—_GS_Cash _Global Wireless1_15_ Clean LBO Model" xfId="2667" xr:uid="{00000000-0005-0000-0000-000077030000}"/>
    <cellStyle name="—_GS_Cash _Global Wireless1_20 Valuation Model incl. new BP" xfId="2668" xr:uid="{00000000-0005-0000-0000-000078030000}"/>
    <cellStyle name="—_GS_Cash _Global Wireless1_25 Valuation Model incl. new BP" xfId="2669" xr:uid="{00000000-0005-0000-0000-000079030000}"/>
    <cellStyle name="—_GS_Cash _Global Wireless1_33 Valuation Model incl. new BP" xfId="2670" xr:uid="{00000000-0005-0000-0000-00007A030000}"/>
    <cellStyle name="—_GS_Cash _Global Wireless1_34 Valuation Model incl. new BP" xfId="2671" xr:uid="{00000000-0005-0000-0000-00007B030000}"/>
    <cellStyle name="—_GS_Cash _Global Wireless1_37 Valuation Model incl. new BP" xfId="2672" xr:uid="{00000000-0005-0000-0000-00007C030000}"/>
    <cellStyle name="—_GS_Cash _Global Wireless1_38 Valuation Model incl. new BP" xfId="2673" xr:uid="{00000000-0005-0000-0000-00007D030000}"/>
    <cellStyle name="—_GS_Cash _Global Wireless1_39 Valuation Model incl. new BP" xfId="2674" xr:uid="{00000000-0005-0000-0000-00007E030000}"/>
    <cellStyle name="—_GS_Cash _Global Wireless1_40 Valuation Model incl. new BP" xfId="2675" xr:uid="{00000000-0005-0000-0000-00007F030000}"/>
    <cellStyle name="—_GS_Cash _Global Wireless1_44 Valuation Model incl. new BP" xfId="2676" xr:uid="{00000000-0005-0000-0000-000080030000}"/>
    <cellStyle name="—_GS_Cash _Global Wireless1_CSC May 20" xfId="2677" xr:uid="{00000000-0005-0000-0000-000081030000}"/>
    <cellStyle name="—_GS_Cash _Global Wireless1_CSC May 20_03_ Clean LBO Model" xfId="2678" xr:uid="{00000000-0005-0000-0000-000082030000}"/>
    <cellStyle name="—_GS_Cash _Global Wireless1_CSC May 20_05_ Clean LBO Model" xfId="2679" xr:uid="{00000000-0005-0000-0000-000083030000}"/>
    <cellStyle name="—_GS_Cash _Global Wireless1_CSC May 20_08 Valuation Model incl. new BP" xfId="2680" xr:uid="{00000000-0005-0000-0000-000084030000}"/>
    <cellStyle name="—_GS_Cash _Global Wireless1_CSC May 20_09 Valuation Model incl. new BP" xfId="2681" xr:uid="{00000000-0005-0000-0000-000085030000}"/>
    <cellStyle name="—_GS_Cash _Global Wireless1_CSC May 20_13 Valuation Model incl. new BP" xfId="2682" xr:uid="{00000000-0005-0000-0000-000086030000}"/>
    <cellStyle name="—_GS_Cash _Global Wireless1_CSC May 20_14 Valuation Model incl. new BP" xfId="2683" xr:uid="{00000000-0005-0000-0000-000087030000}"/>
    <cellStyle name="—_GS_Cash _Global Wireless1_CSC May 20_15_ Clean LBO Model" xfId="2684" xr:uid="{00000000-0005-0000-0000-000088030000}"/>
    <cellStyle name="—_GS_Cash _Global Wireless1_CSC May 20_20 Valuation Model incl. new BP" xfId="2685" xr:uid="{00000000-0005-0000-0000-000089030000}"/>
    <cellStyle name="—_GS_Cash _Global Wireless1_CSC May 20_25 Valuation Model incl. new BP" xfId="2686" xr:uid="{00000000-0005-0000-0000-00008A030000}"/>
    <cellStyle name="—_GS_Cash _Global Wireless1_CSC May 20_33 Valuation Model incl. new BP" xfId="2687" xr:uid="{00000000-0005-0000-0000-00008B030000}"/>
    <cellStyle name="—_GS_Cash _Global Wireless1_CSC May 20_34 Valuation Model incl. new BP" xfId="2688" xr:uid="{00000000-0005-0000-0000-00008C030000}"/>
    <cellStyle name="—_GS_Cash _Global Wireless1_CSC May 20_37 Valuation Model incl. new BP" xfId="2689" xr:uid="{00000000-0005-0000-0000-00008D030000}"/>
    <cellStyle name="—_GS_Cash _Global Wireless1_CSC May 20_38 Valuation Model incl. new BP" xfId="2690" xr:uid="{00000000-0005-0000-0000-00008E030000}"/>
    <cellStyle name="—_GS_Cash _Global Wireless1_CSC May 20_39 Valuation Model incl. new BP" xfId="2691" xr:uid="{00000000-0005-0000-0000-00008F030000}"/>
    <cellStyle name="—_GS_Cash _Global Wireless1_CSC May 20_40 Valuation Model incl. new BP" xfId="2692" xr:uid="{00000000-0005-0000-0000-000090030000}"/>
    <cellStyle name="—_GS_Cash _Global Wireless1_CSC May 20_44 Valuation Model incl. new BP" xfId="2693" xr:uid="{00000000-0005-0000-0000-000091030000}"/>
    <cellStyle name="—_GS_DCF" xfId="2694" xr:uid="{00000000-0005-0000-0000-000092030000}"/>
    <cellStyle name="—_GS_DCF_03_ Clean LBO Model" xfId="2695" xr:uid="{00000000-0005-0000-0000-000093030000}"/>
    <cellStyle name="—_GS_DCF_05_ Clean LBO Model" xfId="2696" xr:uid="{00000000-0005-0000-0000-000094030000}"/>
    <cellStyle name="—_GS_DCF_08 Valuation Model incl. new BP" xfId="2697" xr:uid="{00000000-0005-0000-0000-000095030000}"/>
    <cellStyle name="—_GS_DCF_09 Valuation Model incl. new BP" xfId="2698" xr:uid="{00000000-0005-0000-0000-000096030000}"/>
    <cellStyle name="—_GS_DCF_13 Valuation Model incl. new BP" xfId="2699" xr:uid="{00000000-0005-0000-0000-000097030000}"/>
    <cellStyle name="—_GS_DCF_14 Valuation Model incl. new BP" xfId="2700" xr:uid="{00000000-0005-0000-0000-000098030000}"/>
    <cellStyle name="—_GS_DCF_15_ Clean LBO Model" xfId="2701" xr:uid="{00000000-0005-0000-0000-000099030000}"/>
    <cellStyle name="—_GS_DCF_20 Valuation Model incl. new BP" xfId="2702" xr:uid="{00000000-0005-0000-0000-00009A030000}"/>
    <cellStyle name="—_GS_DCF_25 Valuation Model incl. new BP" xfId="2703" xr:uid="{00000000-0005-0000-0000-00009B030000}"/>
    <cellStyle name="—_GS_DCF_33 Valuation Model incl. new BP" xfId="2704" xr:uid="{00000000-0005-0000-0000-00009C030000}"/>
    <cellStyle name="—_GS_DCF_34 Valuation Model incl. new BP" xfId="2705" xr:uid="{00000000-0005-0000-0000-00009D030000}"/>
    <cellStyle name="—_GS_DCF_37 Valuation Model incl. new BP" xfId="2706" xr:uid="{00000000-0005-0000-0000-00009E030000}"/>
    <cellStyle name="—_GS_DCF_38 Valuation Model incl. new BP" xfId="2707" xr:uid="{00000000-0005-0000-0000-00009F030000}"/>
    <cellStyle name="—_GS_DCF_39 Valuation Model incl. new BP" xfId="2708" xr:uid="{00000000-0005-0000-0000-0000A0030000}"/>
    <cellStyle name="—_GS_DCF_40 Valuation Model incl. new BP" xfId="2709" xr:uid="{00000000-0005-0000-0000-0000A1030000}"/>
    <cellStyle name="—_GS_DCF_44 Valuation Model incl. new BP" xfId="2710" xr:uid="{00000000-0005-0000-0000-0000A2030000}"/>
    <cellStyle name="—_GS_DCF_Global Wireless1" xfId="2711" xr:uid="{00000000-0005-0000-0000-0000A3030000}"/>
    <cellStyle name="—_GS_DCF_Global Wireless1_03 CSC May 20" xfId="2712" xr:uid="{00000000-0005-0000-0000-0000A4030000}"/>
    <cellStyle name="—_GS_DCF_Global Wireless1_03 CSC May 20_03_ Clean LBO Model" xfId="2713" xr:uid="{00000000-0005-0000-0000-0000A5030000}"/>
    <cellStyle name="—_GS_DCF_Global Wireless1_03 CSC May 20_05_ Clean LBO Model" xfId="2714" xr:uid="{00000000-0005-0000-0000-0000A6030000}"/>
    <cellStyle name="—_GS_DCF_Global Wireless1_03 CSC May 20_08 Valuation Model incl. new BP" xfId="2715" xr:uid="{00000000-0005-0000-0000-0000A7030000}"/>
    <cellStyle name="—_GS_DCF_Global Wireless1_03 CSC May 20_09 Valuation Model incl. new BP" xfId="2716" xr:uid="{00000000-0005-0000-0000-0000A8030000}"/>
    <cellStyle name="—_GS_DCF_Global Wireless1_03 CSC May 20_13 Valuation Model incl. new BP" xfId="2717" xr:uid="{00000000-0005-0000-0000-0000A9030000}"/>
    <cellStyle name="—_GS_DCF_Global Wireless1_03 CSC May 20_14 Valuation Model incl. new BP" xfId="2718" xr:uid="{00000000-0005-0000-0000-0000AA030000}"/>
    <cellStyle name="—_GS_DCF_Global Wireless1_03 CSC May 20_15_ Clean LBO Model" xfId="2719" xr:uid="{00000000-0005-0000-0000-0000AB030000}"/>
    <cellStyle name="—_GS_DCF_Global Wireless1_03 CSC May 20_20 Valuation Model incl. new BP" xfId="2720" xr:uid="{00000000-0005-0000-0000-0000AC030000}"/>
    <cellStyle name="—_GS_DCF_Global Wireless1_03 CSC May 20_25 Valuation Model incl. new BP" xfId="2721" xr:uid="{00000000-0005-0000-0000-0000AD030000}"/>
    <cellStyle name="—_GS_DCF_Global Wireless1_03 CSC May 20_33 Valuation Model incl. new BP" xfId="2722" xr:uid="{00000000-0005-0000-0000-0000AE030000}"/>
    <cellStyle name="—_GS_DCF_Global Wireless1_03 CSC May 20_34 Valuation Model incl. new BP" xfId="2723" xr:uid="{00000000-0005-0000-0000-0000AF030000}"/>
    <cellStyle name="—_GS_DCF_Global Wireless1_03 CSC May 20_37 Valuation Model incl. new BP" xfId="2724" xr:uid="{00000000-0005-0000-0000-0000B0030000}"/>
    <cellStyle name="—_GS_DCF_Global Wireless1_03 CSC May 20_38 Valuation Model incl. new BP" xfId="2725" xr:uid="{00000000-0005-0000-0000-0000B1030000}"/>
    <cellStyle name="—_GS_DCF_Global Wireless1_03 CSC May 20_39 Valuation Model incl. new BP" xfId="2726" xr:uid="{00000000-0005-0000-0000-0000B2030000}"/>
    <cellStyle name="—_GS_DCF_Global Wireless1_03 CSC May 20_40 Valuation Model incl. new BP" xfId="2727" xr:uid="{00000000-0005-0000-0000-0000B3030000}"/>
    <cellStyle name="—_GS_DCF_Global Wireless1_03 CSC May 20_44 Valuation Model incl. new BP" xfId="2728" xr:uid="{00000000-0005-0000-0000-0000B4030000}"/>
    <cellStyle name="—_GS_DCF_Global Wireless1_03_ Clean LBO Model" xfId="2729" xr:uid="{00000000-0005-0000-0000-0000B5030000}"/>
    <cellStyle name="—_GS_DCF_Global Wireless1_05_ Clean LBO Model" xfId="2730" xr:uid="{00000000-0005-0000-0000-0000B6030000}"/>
    <cellStyle name="—_GS_DCF_Global Wireless1_08 Valuation Model incl. new BP" xfId="2731" xr:uid="{00000000-0005-0000-0000-0000B7030000}"/>
    <cellStyle name="—_GS_DCF_Global Wireless1_09 Valuation Model incl. new BP" xfId="2732" xr:uid="{00000000-0005-0000-0000-0000B8030000}"/>
    <cellStyle name="—_GS_DCF_Global Wireless1_13 Valuation Model incl. new BP" xfId="2733" xr:uid="{00000000-0005-0000-0000-0000B9030000}"/>
    <cellStyle name="—_GS_DCF_Global Wireless1_14 Valuation Model incl. new BP" xfId="2734" xr:uid="{00000000-0005-0000-0000-0000BA030000}"/>
    <cellStyle name="—_GS_DCF_Global Wireless1_15_ Clean LBO Model" xfId="2735" xr:uid="{00000000-0005-0000-0000-0000BB030000}"/>
    <cellStyle name="—_GS_DCF_Global Wireless1_20 Valuation Model incl. new BP" xfId="2736" xr:uid="{00000000-0005-0000-0000-0000BC030000}"/>
    <cellStyle name="—_GS_DCF_Global Wireless1_25 Valuation Model incl. new BP" xfId="2737" xr:uid="{00000000-0005-0000-0000-0000BD030000}"/>
    <cellStyle name="—_GS_DCF_Global Wireless1_33 Valuation Model incl. new BP" xfId="2738" xr:uid="{00000000-0005-0000-0000-0000BE030000}"/>
    <cellStyle name="—_GS_DCF_Global Wireless1_34 Valuation Model incl. new BP" xfId="2739" xr:uid="{00000000-0005-0000-0000-0000BF030000}"/>
    <cellStyle name="—_GS_DCF_Global Wireless1_37 Valuation Model incl. new BP" xfId="2740" xr:uid="{00000000-0005-0000-0000-0000C0030000}"/>
    <cellStyle name="—_GS_DCF_Global Wireless1_38 Valuation Model incl. new BP" xfId="2741" xr:uid="{00000000-0005-0000-0000-0000C1030000}"/>
    <cellStyle name="—_GS_DCF_Global Wireless1_39 Valuation Model incl. new BP" xfId="2742" xr:uid="{00000000-0005-0000-0000-0000C2030000}"/>
    <cellStyle name="—_GS_DCF_Global Wireless1_40 Valuation Model incl. new BP" xfId="2743" xr:uid="{00000000-0005-0000-0000-0000C3030000}"/>
    <cellStyle name="—_GS_DCF_Global Wireless1_44 Valuation Model incl. new BP" xfId="2744" xr:uid="{00000000-0005-0000-0000-0000C4030000}"/>
    <cellStyle name="—_GS_DCF_Global Wireless1_CSC May 20" xfId="2745" xr:uid="{00000000-0005-0000-0000-0000C5030000}"/>
    <cellStyle name="—_GS_DCF_Global Wireless1_CSC May 20_03_ Clean LBO Model" xfId="2746" xr:uid="{00000000-0005-0000-0000-0000C6030000}"/>
    <cellStyle name="—_GS_DCF_Global Wireless1_CSC May 20_05_ Clean LBO Model" xfId="2747" xr:uid="{00000000-0005-0000-0000-0000C7030000}"/>
    <cellStyle name="—_GS_DCF_Global Wireless1_CSC May 20_08 Valuation Model incl. new BP" xfId="2748" xr:uid="{00000000-0005-0000-0000-0000C8030000}"/>
    <cellStyle name="—_GS_DCF_Global Wireless1_CSC May 20_09 Valuation Model incl. new BP" xfId="2749" xr:uid="{00000000-0005-0000-0000-0000C9030000}"/>
    <cellStyle name="—_GS_DCF_Global Wireless1_CSC May 20_13 Valuation Model incl. new BP" xfId="2750" xr:uid="{00000000-0005-0000-0000-0000CA030000}"/>
    <cellStyle name="—_GS_DCF_Global Wireless1_CSC May 20_14 Valuation Model incl. new BP" xfId="2751" xr:uid="{00000000-0005-0000-0000-0000CB030000}"/>
    <cellStyle name="—_GS_DCF_Global Wireless1_CSC May 20_15_ Clean LBO Model" xfId="2752" xr:uid="{00000000-0005-0000-0000-0000CC030000}"/>
    <cellStyle name="—_GS_DCF_Global Wireless1_CSC May 20_20 Valuation Model incl. new BP" xfId="2753" xr:uid="{00000000-0005-0000-0000-0000CD030000}"/>
    <cellStyle name="—_GS_DCF_Global Wireless1_CSC May 20_25 Valuation Model incl. new BP" xfId="2754" xr:uid="{00000000-0005-0000-0000-0000CE030000}"/>
    <cellStyle name="—_GS_DCF_Global Wireless1_CSC May 20_33 Valuation Model incl. new BP" xfId="2755" xr:uid="{00000000-0005-0000-0000-0000CF030000}"/>
    <cellStyle name="—_GS_DCF_Global Wireless1_CSC May 20_34 Valuation Model incl. new BP" xfId="2756" xr:uid="{00000000-0005-0000-0000-0000D0030000}"/>
    <cellStyle name="—_GS_DCF_Global Wireless1_CSC May 20_37 Valuation Model incl. new BP" xfId="2757" xr:uid="{00000000-0005-0000-0000-0000D1030000}"/>
    <cellStyle name="—_GS_DCF_Global Wireless1_CSC May 20_38 Valuation Model incl. new BP" xfId="2758" xr:uid="{00000000-0005-0000-0000-0000D2030000}"/>
    <cellStyle name="—_GS_DCF_Global Wireless1_CSC May 20_39 Valuation Model incl. new BP" xfId="2759" xr:uid="{00000000-0005-0000-0000-0000D3030000}"/>
    <cellStyle name="—_GS_DCF_Global Wireless1_CSC May 20_40 Valuation Model incl. new BP" xfId="2760" xr:uid="{00000000-0005-0000-0000-0000D4030000}"/>
    <cellStyle name="—_GS_DCF_Global Wireless1_CSC May 20_44 Valuation Model incl. new BP" xfId="2761" xr:uid="{00000000-0005-0000-0000-0000D5030000}"/>
    <cellStyle name="—_GS_PNL" xfId="2762" xr:uid="{00000000-0005-0000-0000-0000D6030000}"/>
    <cellStyle name="—_GS_PNL_03_ Clean LBO Model" xfId="2763" xr:uid="{00000000-0005-0000-0000-0000D7030000}"/>
    <cellStyle name="—_GS_PNL_05_ Clean LBO Model" xfId="2764" xr:uid="{00000000-0005-0000-0000-0000D8030000}"/>
    <cellStyle name="—_GS_PNL_08 Valuation Model incl. new BP" xfId="2765" xr:uid="{00000000-0005-0000-0000-0000D9030000}"/>
    <cellStyle name="—_GS_PNL_09 Valuation Model incl. new BP" xfId="2766" xr:uid="{00000000-0005-0000-0000-0000DA030000}"/>
    <cellStyle name="—_GS_PNL_13 Valuation Model incl. new BP" xfId="2767" xr:uid="{00000000-0005-0000-0000-0000DB030000}"/>
    <cellStyle name="—_GS_PNL_14 Valuation Model incl. new BP" xfId="2768" xr:uid="{00000000-0005-0000-0000-0000DC030000}"/>
    <cellStyle name="—_GS_PNL_15_ Clean LBO Model" xfId="2769" xr:uid="{00000000-0005-0000-0000-0000DD030000}"/>
    <cellStyle name="—_GS_PNL_20 Valuation Model incl. new BP" xfId="2770" xr:uid="{00000000-0005-0000-0000-0000DE030000}"/>
    <cellStyle name="—_GS_PNL_25 Valuation Model incl. new BP" xfId="2771" xr:uid="{00000000-0005-0000-0000-0000DF030000}"/>
    <cellStyle name="—_GS_PNL_33 Valuation Model incl. new BP" xfId="2772" xr:uid="{00000000-0005-0000-0000-0000E0030000}"/>
    <cellStyle name="—_GS_PNL_34 Valuation Model incl. new BP" xfId="2773" xr:uid="{00000000-0005-0000-0000-0000E1030000}"/>
    <cellStyle name="—_GS_PNL_37 Valuation Model incl. new BP" xfId="2774" xr:uid="{00000000-0005-0000-0000-0000E2030000}"/>
    <cellStyle name="—_GS_PNL_38 Valuation Model incl. new BP" xfId="2775" xr:uid="{00000000-0005-0000-0000-0000E3030000}"/>
    <cellStyle name="—_GS_PNL_39 Valuation Model incl. new BP" xfId="2776" xr:uid="{00000000-0005-0000-0000-0000E4030000}"/>
    <cellStyle name="—_GS_PNL_40 Valuation Model incl. new BP" xfId="2777" xr:uid="{00000000-0005-0000-0000-0000E5030000}"/>
    <cellStyle name="—_GS_PNL_44 Valuation Model incl. new BP" xfId="2778" xr:uid="{00000000-0005-0000-0000-0000E6030000}"/>
    <cellStyle name="—_GS_PNL_Global Wireless1" xfId="2779" xr:uid="{00000000-0005-0000-0000-0000E7030000}"/>
    <cellStyle name="—_GS_PNL_Global Wireless1_03 CSC May 20" xfId="2780" xr:uid="{00000000-0005-0000-0000-0000E8030000}"/>
    <cellStyle name="—_GS_PNL_Global Wireless1_03 CSC May 20_03_ Clean LBO Model" xfId="2781" xr:uid="{00000000-0005-0000-0000-0000E9030000}"/>
    <cellStyle name="—_GS_PNL_Global Wireless1_03 CSC May 20_05_ Clean LBO Model" xfId="2782" xr:uid="{00000000-0005-0000-0000-0000EA030000}"/>
    <cellStyle name="—_GS_PNL_Global Wireless1_03 CSC May 20_08 Valuation Model incl. new BP" xfId="2783" xr:uid="{00000000-0005-0000-0000-0000EB030000}"/>
    <cellStyle name="—_GS_PNL_Global Wireless1_03 CSC May 20_09 Valuation Model incl. new BP" xfId="2784" xr:uid="{00000000-0005-0000-0000-0000EC030000}"/>
    <cellStyle name="—_GS_PNL_Global Wireless1_03 CSC May 20_13 Valuation Model incl. new BP" xfId="2785" xr:uid="{00000000-0005-0000-0000-0000ED030000}"/>
    <cellStyle name="—_GS_PNL_Global Wireless1_03 CSC May 20_14 Valuation Model incl. new BP" xfId="2786" xr:uid="{00000000-0005-0000-0000-0000EE030000}"/>
    <cellStyle name="—_GS_PNL_Global Wireless1_03 CSC May 20_15_ Clean LBO Model" xfId="2787" xr:uid="{00000000-0005-0000-0000-0000EF030000}"/>
    <cellStyle name="—_GS_PNL_Global Wireless1_03 CSC May 20_20 Valuation Model incl. new BP" xfId="2788" xr:uid="{00000000-0005-0000-0000-0000F0030000}"/>
    <cellStyle name="—_GS_PNL_Global Wireless1_03 CSC May 20_25 Valuation Model incl. new BP" xfId="2789" xr:uid="{00000000-0005-0000-0000-0000F1030000}"/>
    <cellStyle name="—_GS_PNL_Global Wireless1_03 CSC May 20_33 Valuation Model incl. new BP" xfId="2790" xr:uid="{00000000-0005-0000-0000-0000F2030000}"/>
    <cellStyle name="—_GS_PNL_Global Wireless1_03 CSC May 20_34 Valuation Model incl. new BP" xfId="2791" xr:uid="{00000000-0005-0000-0000-0000F3030000}"/>
    <cellStyle name="—_GS_PNL_Global Wireless1_03 CSC May 20_37 Valuation Model incl. new BP" xfId="2792" xr:uid="{00000000-0005-0000-0000-0000F4030000}"/>
    <cellStyle name="—_GS_PNL_Global Wireless1_03 CSC May 20_38 Valuation Model incl. new BP" xfId="2793" xr:uid="{00000000-0005-0000-0000-0000F5030000}"/>
    <cellStyle name="—_GS_PNL_Global Wireless1_03 CSC May 20_39 Valuation Model incl. new BP" xfId="2794" xr:uid="{00000000-0005-0000-0000-0000F6030000}"/>
    <cellStyle name="—_GS_PNL_Global Wireless1_03 CSC May 20_40 Valuation Model incl. new BP" xfId="2795" xr:uid="{00000000-0005-0000-0000-0000F7030000}"/>
    <cellStyle name="—_GS_PNL_Global Wireless1_03 CSC May 20_44 Valuation Model incl. new BP" xfId="2796" xr:uid="{00000000-0005-0000-0000-0000F8030000}"/>
    <cellStyle name="—_GS_PNL_Global Wireless1_03_ Clean LBO Model" xfId="2797" xr:uid="{00000000-0005-0000-0000-0000F9030000}"/>
    <cellStyle name="—_GS_PNL_Global Wireless1_05_ Clean LBO Model" xfId="2798" xr:uid="{00000000-0005-0000-0000-0000FA030000}"/>
    <cellStyle name="—_GS_PNL_Global Wireless1_08 Valuation Model incl. new BP" xfId="2799" xr:uid="{00000000-0005-0000-0000-0000FB030000}"/>
    <cellStyle name="—_GS_PNL_Global Wireless1_09 Valuation Model incl. new BP" xfId="2800" xr:uid="{00000000-0005-0000-0000-0000FC030000}"/>
    <cellStyle name="—_GS_PNL_Global Wireless1_13 Valuation Model incl. new BP" xfId="2801" xr:uid="{00000000-0005-0000-0000-0000FD030000}"/>
    <cellStyle name="—_GS_PNL_Global Wireless1_14 Valuation Model incl. new BP" xfId="2802" xr:uid="{00000000-0005-0000-0000-0000FE030000}"/>
    <cellStyle name="—_GS_PNL_Global Wireless1_15_ Clean LBO Model" xfId="2803" xr:uid="{00000000-0005-0000-0000-0000FF030000}"/>
    <cellStyle name="—_GS_PNL_Global Wireless1_20 Valuation Model incl. new BP" xfId="2804" xr:uid="{00000000-0005-0000-0000-000000040000}"/>
    <cellStyle name="—_GS_PNL_Global Wireless1_25 Valuation Model incl. new BP" xfId="2805" xr:uid="{00000000-0005-0000-0000-000001040000}"/>
    <cellStyle name="—_GS_PNL_Global Wireless1_33 Valuation Model incl. new BP" xfId="2806" xr:uid="{00000000-0005-0000-0000-000002040000}"/>
    <cellStyle name="—_GS_PNL_Global Wireless1_34 Valuation Model incl. new BP" xfId="2807" xr:uid="{00000000-0005-0000-0000-000003040000}"/>
    <cellStyle name="—_GS_PNL_Global Wireless1_37 Valuation Model incl. new BP" xfId="2808" xr:uid="{00000000-0005-0000-0000-000004040000}"/>
    <cellStyle name="—_GS_PNL_Global Wireless1_38 Valuation Model incl. new BP" xfId="2809" xr:uid="{00000000-0005-0000-0000-000005040000}"/>
    <cellStyle name="—_GS_PNL_Global Wireless1_39 Valuation Model incl. new BP" xfId="2810" xr:uid="{00000000-0005-0000-0000-000006040000}"/>
    <cellStyle name="—_GS_PNL_Global Wireless1_40 Valuation Model incl. new BP" xfId="2811" xr:uid="{00000000-0005-0000-0000-000007040000}"/>
    <cellStyle name="—_GS_PNL_Global Wireless1_44 Valuation Model incl. new BP" xfId="2812" xr:uid="{00000000-0005-0000-0000-000008040000}"/>
    <cellStyle name="—_GS_PNL_Global Wireless1_CSC May 20" xfId="2813" xr:uid="{00000000-0005-0000-0000-000009040000}"/>
    <cellStyle name="—_GS_PNL_Global Wireless1_CSC May 20_03_ Clean LBO Model" xfId="2814" xr:uid="{00000000-0005-0000-0000-00000A040000}"/>
    <cellStyle name="—_GS_PNL_Global Wireless1_CSC May 20_05_ Clean LBO Model" xfId="2815" xr:uid="{00000000-0005-0000-0000-00000B040000}"/>
    <cellStyle name="—_GS_PNL_Global Wireless1_CSC May 20_08 Valuation Model incl. new BP" xfId="2816" xr:uid="{00000000-0005-0000-0000-00000C040000}"/>
    <cellStyle name="—_GS_PNL_Global Wireless1_CSC May 20_09 Valuation Model incl. new BP" xfId="2817" xr:uid="{00000000-0005-0000-0000-00000D040000}"/>
    <cellStyle name="—_GS_PNL_Global Wireless1_CSC May 20_13 Valuation Model incl. new BP" xfId="2818" xr:uid="{00000000-0005-0000-0000-00000E040000}"/>
    <cellStyle name="—_GS_PNL_Global Wireless1_CSC May 20_14 Valuation Model incl. new BP" xfId="2819" xr:uid="{00000000-0005-0000-0000-00000F040000}"/>
    <cellStyle name="—_GS_PNL_Global Wireless1_CSC May 20_15_ Clean LBO Model" xfId="2820" xr:uid="{00000000-0005-0000-0000-000010040000}"/>
    <cellStyle name="—_GS_PNL_Global Wireless1_CSC May 20_20 Valuation Model incl. new BP" xfId="2821" xr:uid="{00000000-0005-0000-0000-000011040000}"/>
    <cellStyle name="—_GS_PNL_Global Wireless1_CSC May 20_25 Valuation Model incl. new BP" xfId="2822" xr:uid="{00000000-0005-0000-0000-000012040000}"/>
    <cellStyle name="—_GS_PNL_Global Wireless1_CSC May 20_33 Valuation Model incl. new BP" xfId="2823" xr:uid="{00000000-0005-0000-0000-000013040000}"/>
    <cellStyle name="—_GS_PNL_Global Wireless1_CSC May 20_34 Valuation Model incl. new BP" xfId="2824" xr:uid="{00000000-0005-0000-0000-000014040000}"/>
    <cellStyle name="—_GS_PNL_Global Wireless1_CSC May 20_37 Valuation Model incl. new BP" xfId="2825" xr:uid="{00000000-0005-0000-0000-000015040000}"/>
    <cellStyle name="—_GS_PNL_Global Wireless1_CSC May 20_38 Valuation Model incl. new BP" xfId="2826" xr:uid="{00000000-0005-0000-0000-000016040000}"/>
    <cellStyle name="—_GS_PNL_Global Wireless1_CSC May 20_39 Valuation Model incl. new BP" xfId="2827" xr:uid="{00000000-0005-0000-0000-000017040000}"/>
    <cellStyle name="—_GS_PNL_Global Wireless1_CSC May 20_40 Valuation Model incl. new BP" xfId="2828" xr:uid="{00000000-0005-0000-0000-000018040000}"/>
    <cellStyle name="—_GS_PNL_Global Wireless1_CSC May 20_44 Valuation Model incl. new BP" xfId="2829" xr:uid="{00000000-0005-0000-0000-000019040000}"/>
    <cellStyle name="_H&amp;F" xfId="2066" xr:uid="{00000000-0005-0000-0000-00001A040000}"/>
    <cellStyle name="_H&amp;F_Covenants_draft_260412" xfId="2067" xr:uid="{00000000-0005-0000-0000-00001B040000}"/>
    <cellStyle name="_H&amp;F_Head Office Pack - Draft 1" xfId="2068" xr:uid="{00000000-0005-0000-0000-00001C040000}"/>
    <cellStyle name="_H&amp;F_Head Office Pack - Draft 4" xfId="2069" xr:uid="{00000000-0005-0000-0000-00001D040000}"/>
    <cellStyle name="_H&amp;F_Property Budget 2011" xfId="2070" xr:uid="{00000000-0005-0000-0000-00001E040000}"/>
    <cellStyle name="_H&amp;F_Property Budget 2011_Covenants_draft_260412" xfId="2071" xr:uid="{00000000-0005-0000-0000-00001F040000}"/>
    <cellStyle name="_H&amp;F_Property Budget 2011_Marketing &amp; Product" xfId="2072" xr:uid="{00000000-0005-0000-0000-000020040000}"/>
    <cellStyle name="_H&amp;F_Sheet1" xfId="2073" xr:uid="{00000000-0005-0000-0000-000021040000}"/>
    <cellStyle name="_Head Office Pack - Draft 1" xfId="2074" xr:uid="{00000000-0005-0000-0000-000022040000}"/>
    <cellStyle name="_Head Office Pack - Draft 1_Covenants_draft_260412" xfId="2075" xr:uid="{00000000-0005-0000-0000-000023040000}"/>
    <cellStyle name="_Header" xfId="219" xr:uid="{00000000-0005-0000-0000-000024040000}"/>
    <cellStyle name="_Header_021202External Sales 2000_2001_DA_feste Werte" xfId="220" xr:uid="{00000000-0005-0000-0000-000025040000}"/>
    <cellStyle name="_Header_Balance Sheet_restl. Eurowährungsl._Gruppe" xfId="221" xr:uid="{00000000-0005-0000-0000-000026040000}"/>
    <cellStyle name="_Header_Bank case Viking (sent to JPM 10 Nov 05)" xfId="222" xr:uid="{00000000-0005-0000-0000-000027040000}"/>
    <cellStyle name="_Header_Banks (2)" xfId="223" xr:uid="{00000000-0005-0000-0000-000028040000}"/>
    <cellStyle name="_Header_EBITDA-Recon P&amp;L OPSP04-08_GX" xfId="224" xr:uid="{00000000-0005-0000-0000-000029040000}"/>
    <cellStyle name="_Header_Feeder" xfId="225" xr:uid="{00000000-0005-0000-0000-00002A040000}"/>
    <cellStyle name="_Header_Financial ratios_Euroland" xfId="226" xr:uid="{00000000-0005-0000-0000-00002B040000}"/>
    <cellStyle name="_Header_GX OPSP0509 incl. Zurückdrehen Subsidies NVM" xfId="227" xr:uid="{00000000-0005-0000-0000-00002C040000}"/>
    <cellStyle name="_Header_GX Plan" xfId="228" xr:uid="{00000000-0005-0000-0000-00002D040000}"/>
    <cellStyle name="_Header_Headcount" xfId="229" xr:uid="{00000000-0005-0000-0000-00002E040000}"/>
    <cellStyle name="_Header_Headcount_Monthly report" xfId="230" xr:uid="{00000000-0005-0000-0000-00002F040000}"/>
    <cellStyle name="_Header_Konsolidierungsbeträge" xfId="231" xr:uid="{00000000-0005-0000-0000-000030040000}"/>
    <cellStyle name="_Header_LTMJUN02" xfId="232" xr:uid="{00000000-0005-0000-0000-000031040000}"/>
    <cellStyle name="_Header_M&amp;A Model" xfId="233" xr:uid="{00000000-0005-0000-0000-000032040000}"/>
    <cellStyle name="_Header_M&amp;A projections" xfId="234" xr:uid="{00000000-0005-0000-0000-000033040000}"/>
    <cellStyle name="_Header_MIS Reporting_Budget_JD" xfId="235" xr:uid="{00000000-0005-0000-0000-000034040000}"/>
    <cellStyle name="_Header_New Gerresheimer bank plan (sent to JPM 26 Nov 05)" xfId="236" xr:uid="{00000000-0005-0000-0000-000035040000}"/>
    <cellStyle name="_Header_P&amp;L bank model - received from Gerresheimer 1 12 05" xfId="237" xr:uid="{00000000-0005-0000-0000-000036040000}"/>
    <cellStyle name="_Header_Plan model" xfId="238" xr:uid="{00000000-0005-0000-0000-000037040000}"/>
    <cellStyle name="_Header_Quarterly" xfId="239" xr:uid="{00000000-0005-0000-0000-000038040000}"/>
    <cellStyle name="_Header_Tabelle1" xfId="240" xr:uid="{00000000-0005-0000-0000-000039040000}"/>
    <cellStyle name="_Header_TSG2" xfId="241" xr:uid="{00000000-0005-0000-0000-00003A040000}"/>
    <cellStyle name="_Header_Update 2004 Figures v2 (sent to banks)" xfId="242" xr:uid="{00000000-0005-0000-0000-00003B040000}"/>
    <cellStyle name="_Header_WC benchmark Calc" xfId="243" xr:uid="{00000000-0005-0000-0000-00003C040000}"/>
    <cellStyle name="_Header_Zins und Bankschuldenberechnung_03_07" xfId="244" xr:uid="{00000000-0005-0000-0000-00003D040000}"/>
    <cellStyle name="_Heading" xfId="245" xr:uid="{00000000-0005-0000-0000-00003E040000}"/>
    <cellStyle name="_Heading_01 Capital Structure" xfId="2830" xr:uid="{00000000-0005-0000-0000-00003F040000}"/>
    <cellStyle name="_Heading_01 Capital Structure_03_ Clean LBO Model" xfId="2831" xr:uid="{00000000-0005-0000-0000-000040040000}"/>
    <cellStyle name="_Heading_01 Capital Structure_05_ Clean LBO Model" xfId="2832" xr:uid="{00000000-0005-0000-0000-000041040000}"/>
    <cellStyle name="_Heading_01 Capital Structure_08 Valuation Model incl. new BP" xfId="2833" xr:uid="{00000000-0005-0000-0000-000042040000}"/>
    <cellStyle name="_Heading_01 Capital Structure_09 Valuation Model incl. new BP" xfId="2834" xr:uid="{00000000-0005-0000-0000-000043040000}"/>
    <cellStyle name="_Heading_01 Capital Structure_13 Valuation Model incl. new BP" xfId="2835" xr:uid="{00000000-0005-0000-0000-000044040000}"/>
    <cellStyle name="_Heading_01 Capital Structure_14 Valuation Model incl. new BP" xfId="2836" xr:uid="{00000000-0005-0000-0000-000045040000}"/>
    <cellStyle name="_Heading_01 Capital Structure_15_ Clean LBO Model" xfId="2837" xr:uid="{00000000-0005-0000-0000-000046040000}"/>
    <cellStyle name="_Heading_01 Capital Structure_20 Valuation Model incl. new BP" xfId="2838" xr:uid="{00000000-0005-0000-0000-000047040000}"/>
    <cellStyle name="_Heading_01 Capital Structure_25 Valuation Model incl. new BP" xfId="2839" xr:uid="{00000000-0005-0000-0000-000048040000}"/>
    <cellStyle name="_Heading_01 Capital Structure_33 Valuation Model incl. new BP" xfId="2840" xr:uid="{00000000-0005-0000-0000-000049040000}"/>
    <cellStyle name="_Heading_01 Capital Structure_34 Valuation Model incl. new BP" xfId="2841" xr:uid="{00000000-0005-0000-0000-00004A040000}"/>
    <cellStyle name="_Heading_01 Capital Structure_37 Valuation Model incl. new BP" xfId="2842" xr:uid="{00000000-0005-0000-0000-00004B040000}"/>
    <cellStyle name="_Heading_01 Capital Structure_38 Valuation Model incl. new BP" xfId="2843" xr:uid="{00000000-0005-0000-0000-00004C040000}"/>
    <cellStyle name="_Heading_01 Capital Structure_39 Valuation Model incl. new BP" xfId="2844" xr:uid="{00000000-0005-0000-0000-00004D040000}"/>
    <cellStyle name="_Heading_01 Capital Structure_40 Valuation Model incl. new BP" xfId="2845" xr:uid="{00000000-0005-0000-0000-00004E040000}"/>
    <cellStyle name="_Heading_01 Capital Structure_44 Valuation Model incl. new BP" xfId="2846" xr:uid="{00000000-0005-0000-0000-00004F040000}"/>
    <cellStyle name="_Heading_01 Offering Breakdown" xfId="2847" xr:uid="{00000000-0005-0000-0000-000050040000}"/>
    <cellStyle name="_Heading_02 Enersys Merger Plan" xfId="2848" xr:uid="{00000000-0005-0000-0000-000051040000}"/>
    <cellStyle name="_Heading_02 Enersys Merger Plan_03_ Clean LBO Model" xfId="2849" xr:uid="{00000000-0005-0000-0000-000052040000}"/>
    <cellStyle name="_Heading_02 Enersys Merger Plan_05_ Clean LBO Model" xfId="2850" xr:uid="{00000000-0005-0000-0000-000053040000}"/>
    <cellStyle name="_Heading_02 Enersys Merger Plan_08 Valuation Model incl. new BP" xfId="2851" xr:uid="{00000000-0005-0000-0000-000054040000}"/>
    <cellStyle name="_Heading_02 Enersys Merger Plan_09 Valuation Model incl. new BP" xfId="2852" xr:uid="{00000000-0005-0000-0000-000055040000}"/>
    <cellStyle name="_Heading_02 Enersys Merger Plan_13 Valuation Model incl. new BP" xfId="2853" xr:uid="{00000000-0005-0000-0000-000056040000}"/>
    <cellStyle name="_Heading_02 Enersys Merger Plan_14 Valuation Model incl. new BP" xfId="2854" xr:uid="{00000000-0005-0000-0000-000057040000}"/>
    <cellStyle name="_Heading_02 Enersys Merger Plan_15_ Clean LBO Model" xfId="2855" xr:uid="{00000000-0005-0000-0000-000058040000}"/>
    <cellStyle name="_Heading_02 Enersys Merger Plan_20 Valuation Model incl. new BP" xfId="2856" xr:uid="{00000000-0005-0000-0000-000059040000}"/>
    <cellStyle name="_Heading_02 Enersys Merger Plan_25 Valuation Model incl. new BP" xfId="2857" xr:uid="{00000000-0005-0000-0000-00005A040000}"/>
    <cellStyle name="_Heading_02 Enersys Merger Plan_33 Valuation Model incl. new BP" xfId="2858" xr:uid="{00000000-0005-0000-0000-00005B040000}"/>
    <cellStyle name="_Heading_02 Enersys Merger Plan_34 Valuation Model incl. new BP" xfId="2859" xr:uid="{00000000-0005-0000-0000-00005C040000}"/>
    <cellStyle name="_Heading_02 Enersys Merger Plan_37 Valuation Model incl. new BP" xfId="2860" xr:uid="{00000000-0005-0000-0000-00005D040000}"/>
    <cellStyle name="_Heading_02 Enersys Merger Plan_38 Valuation Model incl. new BP" xfId="2861" xr:uid="{00000000-0005-0000-0000-00005E040000}"/>
    <cellStyle name="_Heading_02 Enersys Merger Plan_39 Valuation Model incl. new BP" xfId="2862" xr:uid="{00000000-0005-0000-0000-00005F040000}"/>
    <cellStyle name="_Heading_02 Enersys Merger Plan_40 Valuation Model incl. new BP" xfId="2863" xr:uid="{00000000-0005-0000-0000-000060040000}"/>
    <cellStyle name="_Heading_02 Enersys Merger Plan_44 Valuation Model incl. new BP" xfId="2864" xr:uid="{00000000-0005-0000-0000-000061040000}"/>
    <cellStyle name="_Heading_02 TDC Merger Plan" xfId="2865" xr:uid="{00000000-0005-0000-0000-000062040000}"/>
    <cellStyle name="_Heading_02 TDC Merger Plan_03_ Clean LBO Model" xfId="2866" xr:uid="{00000000-0005-0000-0000-000063040000}"/>
    <cellStyle name="_Heading_02 TDC Merger Plan_05_ Clean LBO Model" xfId="2867" xr:uid="{00000000-0005-0000-0000-000064040000}"/>
    <cellStyle name="_Heading_02 TDC Merger Plan_08 Valuation Model incl. new BP" xfId="2868" xr:uid="{00000000-0005-0000-0000-000065040000}"/>
    <cellStyle name="_Heading_02 TDC Merger Plan_09 Valuation Model incl. new BP" xfId="2869" xr:uid="{00000000-0005-0000-0000-000066040000}"/>
    <cellStyle name="_Heading_02 TDC Merger Plan_13 Valuation Model incl. new BP" xfId="2870" xr:uid="{00000000-0005-0000-0000-000067040000}"/>
    <cellStyle name="_Heading_02 TDC Merger Plan_14 Valuation Model incl. new BP" xfId="2871" xr:uid="{00000000-0005-0000-0000-000068040000}"/>
    <cellStyle name="_Heading_02 TDC Merger Plan_15_ Clean LBO Model" xfId="2872" xr:uid="{00000000-0005-0000-0000-000069040000}"/>
    <cellStyle name="_Heading_02 TDC Merger Plan_20 Valuation Model incl. new BP" xfId="2873" xr:uid="{00000000-0005-0000-0000-00006A040000}"/>
    <cellStyle name="_Heading_02 TDC Merger Plan_25 Valuation Model incl. new BP" xfId="2874" xr:uid="{00000000-0005-0000-0000-00006B040000}"/>
    <cellStyle name="_Heading_02 TDC Merger Plan_33 Valuation Model incl. new BP" xfId="2875" xr:uid="{00000000-0005-0000-0000-00006C040000}"/>
    <cellStyle name="_Heading_02 TDC Merger Plan_34 Valuation Model incl. new BP" xfId="2876" xr:uid="{00000000-0005-0000-0000-00006D040000}"/>
    <cellStyle name="_Heading_02 TDC Merger Plan_37 Valuation Model incl. new BP" xfId="2877" xr:uid="{00000000-0005-0000-0000-00006E040000}"/>
    <cellStyle name="_Heading_02 TDC Merger Plan_38 Valuation Model incl. new BP" xfId="2878" xr:uid="{00000000-0005-0000-0000-00006F040000}"/>
    <cellStyle name="_Heading_02 TDC Merger Plan_39 Valuation Model incl. new BP" xfId="2879" xr:uid="{00000000-0005-0000-0000-000070040000}"/>
    <cellStyle name="_Heading_02 TDC Merger Plan_40 Valuation Model incl. new BP" xfId="2880" xr:uid="{00000000-0005-0000-0000-000071040000}"/>
    <cellStyle name="_Heading_02 TDC Merger Plan_44 Valuation Model incl. new BP" xfId="2881" xr:uid="{00000000-0005-0000-0000-000072040000}"/>
    <cellStyle name="_Heading_02 WACC Analysis" xfId="246" xr:uid="{00000000-0005-0000-0000-000073040000}"/>
    <cellStyle name="_Heading_03 Total Expenses" xfId="2882" xr:uid="{00000000-0005-0000-0000-000074040000}"/>
    <cellStyle name="_Heading_04 Volatility" xfId="2883" xr:uid="{00000000-0005-0000-0000-000075040000}"/>
    <cellStyle name="_Heading_16 Detail of Key Metrics_mario marco" xfId="2076" xr:uid="{00000000-0005-0000-0000-000076040000}"/>
    <cellStyle name="_Heading_19 Valuation of Cegetel" xfId="2884" xr:uid="{00000000-0005-0000-0000-000077040000}"/>
    <cellStyle name="_Heading_19 Valuation of Cegetel_03_ Clean LBO Model" xfId="2885" xr:uid="{00000000-0005-0000-0000-000078040000}"/>
    <cellStyle name="_Heading_19 Valuation of Cegetel_05_ Clean LBO Model" xfId="2886" xr:uid="{00000000-0005-0000-0000-000079040000}"/>
    <cellStyle name="_Heading_19 Valuation of Cegetel_08 Valuation Model incl. new BP" xfId="2887" xr:uid="{00000000-0005-0000-0000-00007A040000}"/>
    <cellStyle name="_Heading_19 Valuation of Cegetel_09 Valuation Model incl. new BP" xfId="2888" xr:uid="{00000000-0005-0000-0000-00007B040000}"/>
    <cellStyle name="_Heading_19 Valuation of Cegetel_13 Valuation Model incl. new BP" xfId="2889" xr:uid="{00000000-0005-0000-0000-00007C040000}"/>
    <cellStyle name="_Heading_19 Valuation of Cegetel_14 Valuation Model incl. new BP" xfId="2890" xr:uid="{00000000-0005-0000-0000-00007D040000}"/>
    <cellStyle name="_Heading_19 Valuation of Cegetel_15_ Clean LBO Model" xfId="2891" xr:uid="{00000000-0005-0000-0000-00007E040000}"/>
    <cellStyle name="_Heading_19 Valuation of Cegetel_20 Valuation Model incl. new BP" xfId="2892" xr:uid="{00000000-0005-0000-0000-00007F040000}"/>
    <cellStyle name="_Heading_19 Valuation of Cegetel_25 Valuation Model incl. new BP" xfId="2893" xr:uid="{00000000-0005-0000-0000-000080040000}"/>
    <cellStyle name="_Heading_19 Valuation of Cegetel_33 Valuation Model incl. new BP" xfId="2894" xr:uid="{00000000-0005-0000-0000-000081040000}"/>
    <cellStyle name="_Heading_19 Valuation of Cegetel_34 Valuation Model incl. new BP" xfId="2895" xr:uid="{00000000-0005-0000-0000-000082040000}"/>
    <cellStyle name="_Heading_19 Valuation of Cegetel_37 Valuation Model incl. new BP" xfId="2896" xr:uid="{00000000-0005-0000-0000-000083040000}"/>
    <cellStyle name="_Heading_19 Valuation of Cegetel_38 Valuation Model incl. new BP" xfId="2897" xr:uid="{00000000-0005-0000-0000-000084040000}"/>
    <cellStyle name="_Heading_19 Valuation of Cegetel_39 Valuation Model incl. new BP" xfId="2898" xr:uid="{00000000-0005-0000-0000-000085040000}"/>
    <cellStyle name="_Heading_19 Valuation of Cegetel_40 Valuation Model incl. new BP" xfId="2899" xr:uid="{00000000-0005-0000-0000-000086040000}"/>
    <cellStyle name="_Heading_19 Valuation of Cegetel_44 Valuation Model incl. new BP" xfId="2900" xr:uid="{00000000-0005-0000-0000-000087040000}"/>
    <cellStyle name="_Heading_20 Operational Model" xfId="2901" xr:uid="{00000000-0005-0000-0000-000088040000}"/>
    <cellStyle name="_Heading_44 Valuation Model incl. new BP" xfId="2902" xr:uid="{00000000-0005-0000-0000-000089040000}"/>
    <cellStyle name="_Heading_Betas" xfId="247" xr:uid="{00000000-0005-0000-0000-00008A040000}"/>
    <cellStyle name="_Heading_Cairo LBO model - Sept 06" xfId="248" xr:uid="{00000000-0005-0000-0000-00008B040000}"/>
    <cellStyle name="_Heading_Numico GS Research Model 23-Aug-2002" xfId="2903" xr:uid="{00000000-0005-0000-0000-00008C040000}"/>
    <cellStyle name="_Heading_Numico GS Research Model 23-Aug-2002_03_ Clean LBO Model" xfId="2904" xr:uid="{00000000-0005-0000-0000-00008D040000}"/>
    <cellStyle name="_Heading_Numico GS Research Model 23-Aug-2002_05_ Clean LBO Model" xfId="2905" xr:uid="{00000000-0005-0000-0000-00008E040000}"/>
    <cellStyle name="_Heading_Numico GS Research Model 23-Aug-2002_08 Valuation Model incl. new BP" xfId="2906" xr:uid="{00000000-0005-0000-0000-00008F040000}"/>
    <cellStyle name="_Heading_Numico GS Research Model 23-Aug-2002_09 Valuation Model incl. new BP" xfId="2907" xr:uid="{00000000-0005-0000-0000-000090040000}"/>
    <cellStyle name="_Heading_Numico GS Research Model 23-Aug-2002_13 Valuation Model incl. new BP" xfId="2908" xr:uid="{00000000-0005-0000-0000-000091040000}"/>
    <cellStyle name="_Heading_Numico GS Research Model 23-Aug-2002_14 Valuation Model incl. new BP" xfId="2909" xr:uid="{00000000-0005-0000-0000-000092040000}"/>
    <cellStyle name="_Heading_Numico GS Research Model 23-Aug-2002_15_ Clean LBO Model" xfId="2910" xr:uid="{00000000-0005-0000-0000-000093040000}"/>
    <cellStyle name="_Heading_Numico GS Research Model 23-Aug-2002_20 Valuation Model incl. new BP" xfId="2911" xr:uid="{00000000-0005-0000-0000-000094040000}"/>
    <cellStyle name="_Heading_Numico GS Research Model 23-Aug-2002_25 Valuation Model incl. new BP" xfId="2912" xr:uid="{00000000-0005-0000-0000-000095040000}"/>
    <cellStyle name="_Heading_Numico GS Research Model 23-Aug-2002_33 Valuation Model incl. new BP" xfId="2913" xr:uid="{00000000-0005-0000-0000-000096040000}"/>
    <cellStyle name="_Heading_Numico GS Research Model 23-Aug-2002_34 Valuation Model incl. new BP" xfId="2914" xr:uid="{00000000-0005-0000-0000-000097040000}"/>
    <cellStyle name="_Heading_Numico GS Research Model 23-Aug-2002_37 Valuation Model incl. new BP" xfId="2915" xr:uid="{00000000-0005-0000-0000-000098040000}"/>
    <cellStyle name="_Heading_Numico GS Research Model 23-Aug-2002_38 Valuation Model incl. new BP" xfId="2916" xr:uid="{00000000-0005-0000-0000-000099040000}"/>
    <cellStyle name="_Heading_Numico GS Research Model 23-Aug-2002_39 Valuation Model incl. new BP" xfId="2917" xr:uid="{00000000-0005-0000-0000-00009A040000}"/>
    <cellStyle name="_Heading_Numico GS Research Model 23-Aug-2002_40 Valuation Model incl. new BP" xfId="2918" xr:uid="{00000000-0005-0000-0000-00009B040000}"/>
    <cellStyle name="_Heading_Numico GS Research Model 23-Aug-2002_44 Valuation Model incl. new BP" xfId="2919" xr:uid="{00000000-0005-0000-0000-00009C040000}"/>
    <cellStyle name="_Heading_Numico GS Research Model 23-Aug-2002_CSC July 24" xfId="2920" xr:uid="{00000000-0005-0000-0000-00009D040000}"/>
    <cellStyle name="_Heading_Offering Breakdown - 09-Jun -2005" xfId="2921" xr:uid="{00000000-0005-0000-0000-00009E040000}"/>
    <cellStyle name="_Heading_prestemp" xfId="249" xr:uid="{00000000-0005-0000-0000-00009F040000}"/>
    <cellStyle name="_Heading_StockGroupKeyFinancials" xfId="250" xr:uid="{00000000-0005-0000-0000-0000A0040000}"/>
    <cellStyle name="_Heading_Volatility" xfId="2922" xr:uid="{00000000-0005-0000-0000-0000A1040000}"/>
    <cellStyle name="_Headline" xfId="2923" xr:uid="{00000000-0005-0000-0000-0000A2040000}"/>
    <cellStyle name="_Highlight" xfId="251" xr:uid="{00000000-0005-0000-0000-0000A3040000}"/>
    <cellStyle name="_IT Budget detail" xfId="2077" xr:uid="{00000000-0005-0000-0000-0000A4040000}"/>
    <cellStyle name="_JV Model2" xfId="252" xr:uid="{00000000-0005-0000-0000-0000A5040000}"/>
    <cellStyle name="_KPN Fixed" xfId="2924" xr:uid="{00000000-0005-0000-0000-0000A6040000}"/>
    <cellStyle name="_KPN-germany" xfId="2925" xr:uid="{00000000-0005-0000-0000-0000A7040000}"/>
    <cellStyle name="_KPN-germany_CSC July 24" xfId="2926" xr:uid="{00000000-0005-0000-0000-0000A8040000}"/>
    <cellStyle name="_KPN-germany_CSC July 24_03_ Clean LBO Model" xfId="2927" xr:uid="{00000000-0005-0000-0000-0000A9040000}"/>
    <cellStyle name="_KPN-germany_CSC July 24_05_ Clean LBO Model" xfId="2928" xr:uid="{00000000-0005-0000-0000-0000AA040000}"/>
    <cellStyle name="_KPN-germany_CSC July 24_08 Valuation Model incl. new BP" xfId="2929" xr:uid="{00000000-0005-0000-0000-0000AB040000}"/>
    <cellStyle name="_KPN-germany_CSC July 24_09 Valuation Model incl. new BP" xfId="2930" xr:uid="{00000000-0005-0000-0000-0000AC040000}"/>
    <cellStyle name="_KPN-germany_CSC July 24_13 Valuation Model incl. new BP" xfId="2931" xr:uid="{00000000-0005-0000-0000-0000AD040000}"/>
    <cellStyle name="_KPN-germany_CSC July 24_14 Valuation Model incl. new BP" xfId="2932" xr:uid="{00000000-0005-0000-0000-0000AE040000}"/>
    <cellStyle name="_KPN-germany_CSC July 24_15_ Clean LBO Model" xfId="2933" xr:uid="{00000000-0005-0000-0000-0000AF040000}"/>
    <cellStyle name="_KPN-germany_CSC July 24_20 Valuation Model incl. new BP" xfId="2934" xr:uid="{00000000-0005-0000-0000-0000B0040000}"/>
    <cellStyle name="_KPN-germany_CSC July 24_25 Valuation Model incl. new BP" xfId="2935" xr:uid="{00000000-0005-0000-0000-0000B1040000}"/>
    <cellStyle name="_KPN-germany_CSC July 24_33 Valuation Model incl. new BP" xfId="2936" xr:uid="{00000000-0005-0000-0000-0000B2040000}"/>
    <cellStyle name="_KPN-germany_CSC July 24_34 Valuation Model incl. new BP" xfId="2937" xr:uid="{00000000-0005-0000-0000-0000B3040000}"/>
    <cellStyle name="_KPN-germany_CSC July 24_37 Valuation Model incl. new BP" xfId="2938" xr:uid="{00000000-0005-0000-0000-0000B4040000}"/>
    <cellStyle name="_KPN-germany_CSC July 24_38 Valuation Model incl. new BP" xfId="2939" xr:uid="{00000000-0005-0000-0000-0000B5040000}"/>
    <cellStyle name="_KPN-germany_CSC July 24_39 Valuation Model incl. new BP" xfId="2940" xr:uid="{00000000-0005-0000-0000-0000B6040000}"/>
    <cellStyle name="_KPN-germany_CSC July 24_40 Valuation Model incl. new BP" xfId="2941" xr:uid="{00000000-0005-0000-0000-0000B7040000}"/>
    <cellStyle name="_KPN-germany_CSC July 24_44 Valuation Model incl. new BP" xfId="2942" xr:uid="{00000000-0005-0000-0000-0000B8040000}"/>
    <cellStyle name="_labour pg for 2010 club model" xfId="2078" xr:uid="{00000000-0005-0000-0000-0000B9040000}"/>
    <cellStyle name="_labour pg for 2010 club model_Covenants_draft_260412" xfId="2079" xr:uid="{00000000-0005-0000-0000-0000BA040000}"/>
    <cellStyle name="_labour pg for 2010 club model_Head Office Pack - Draft 1" xfId="2080" xr:uid="{00000000-0005-0000-0000-0000BB040000}"/>
    <cellStyle name="_labour pg for 2010 club model_Head Office Pack - Draft 4" xfId="2081" xr:uid="{00000000-0005-0000-0000-0000BC040000}"/>
    <cellStyle name="_labour pg for 2010 club model_Sheet1" xfId="2082" xr:uid="{00000000-0005-0000-0000-0000BD040000}"/>
    <cellStyle name="_LBOCombOpCo_v72_Anglo" xfId="2083" xr:uid="{00000000-0005-0000-0000-0000BE040000}"/>
    <cellStyle name="_Leeds_2010_Rates" xfId="2084" xr:uid="{00000000-0005-0000-0000-0000BF040000}"/>
    <cellStyle name="_Leeds_2010_Rates_Book2" xfId="2085" xr:uid="{00000000-0005-0000-0000-0000C0040000}"/>
    <cellStyle name="_Leeds_2010_Rates_Covenants_draft_260412" xfId="2086" xr:uid="{00000000-0005-0000-0000-0000C1040000}"/>
    <cellStyle name="_Leeds_2010_Rates_Internal" xfId="2087" xr:uid="{00000000-0005-0000-0000-0000C2040000}"/>
    <cellStyle name="_Leeds_2010_Rates_Internal 1" xfId="2088" xr:uid="{00000000-0005-0000-0000-0000C3040000}"/>
    <cellStyle name="_Leeds_2010_Rates_Internal 1_Projections Pack" xfId="2089" xr:uid="{00000000-0005-0000-0000-0000C4040000}"/>
    <cellStyle name="_Leeds_2010_Rates_Internal 1_Projections Pack (TM)" xfId="2090" xr:uid="{00000000-0005-0000-0000-0000C5040000}"/>
    <cellStyle name="_Leeds_2010_Rates_Internal 1_Quasi Rent Illustration" xfId="2091" xr:uid="{00000000-0005-0000-0000-0000C6040000}"/>
    <cellStyle name="_Leeds_2010_Rates_Internal_Projections Pack" xfId="2092" xr:uid="{00000000-0005-0000-0000-0000C7040000}"/>
    <cellStyle name="_Leeds_2010_Rates_Internal_Projections Pack (TM)" xfId="2093" xr:uid="{00000000-0005-0000-0000-0000C8040000}"/>
    <cellStyle name="_Leeds_2010_Rates_Internal_Quasi Rent Illustration" xfId="2094" xr:uid="{00000000-0005-0000-0000-0000C9040000}"/>
    <cellStyle name="_Leeds_2010_Rates_PAR overlay" xfId="2095" xr:uid="{00000000-0005-0000-0000-0000CA040000}"/>
    <cellStyle name="_Leeds_2010_Rates_PAR overlay_Projections Pack" xfId="2096" xr:uid="{00000000-0005-0000-0000-0000CB040000}"/>
    <cellStyle name="_Leeds_2010_Rates_PAR overlay_Projections Pack (TM)" xfId="2097" xr:uid="{00000000-0005-0000-0000-0000CC040000}"/>
    <cellStyle name="_Leeds_2010_Rates_PAR overlay_Quasi Rent Illustration" xfId="2098" xr:uid="{00000000-0005-0000-0000-0000CD040000}"/>
    <cellStyle name="_Leeds_2010_Rates_Sceanrio 2 Update - Dec 2nd" xfId="2099" xr:uid="{00000000-0005-0000-0000-0000CE040000}"/>
    <cellStyle name="_Leeds_2010_Rates_Sceanrio 2 Update - Dec 2nd_Projections Pack" xfId="2100" xr:uid="{00000000-0005-0000-0000-0000CF040000}"/>
    <cellStyle name="_Leeds_2010_Rates_Sceanrio 2 Update - Dec 2nd_Projections Pack (TM)" xfId="2101" xr:uid="{00000000-0005-0000-0000-0000D0040000}"/>
    <cellStyle name="_Leeds_2010_Rates_Sceanrio 2 Update - Dec 2nd_Quasi Rent Illustration" xfId="2102" xr:uid="{00000000-0005-0000-0000-0000D1040000}"/>
    <cellStyle name="_Licences" xfId="2103" xr:uid="{00000000-0005-0000-0000-0000D2040000}"/>
    <cellStyle name="_Licences_Covenants_draft_260412" xfId="2104" xr:uid="{00000000-0005-0000-0000-0000D3040000}"/>
    <cellStyle name="_Licences_Head Office Pack - Draft 1" xfId="2105" xr:uid="{00000000-0005-0000-0000-0000D4040000}"/>
    <cellStyle name="_Licences_Head Office Pack - Draft 4" xfId="2106" xr:uid="{00000000-0005-0000-0000-0000D5040000}"/>
    <cellStyle name="_Licences_Sheet1" xfId="2107" xr:uid="{00000000-0005-0000-0000-0000D6040000}"/>
    <cellStyle name="_Mal for innhenting av estimater Q4- 2002" xfId="253" xr:uid="{00000000-0005-0000-0000-0000D7040000}"/>
    <cellStyle name="_MD 1 model_blank_Augustin" xfId="254" xr:uid="{00000000-0005-0000-0000-0000D8040000}"/>
    <cellStyle name="_MTU Diesel LBO Model" xfId="255" xr:uid="{00000000-0005-0000-0000-0000D9040000}"/>
    <cellStyle name="_Multiple" xfId="256" xr:uid="{00000000-0005-0000-0000-0000DA040000}"/>
    <cellStyle name="_Multiple 5" xfId="3631" xr:uid="{00000000-0005-0000-0000-0000DB040000}"/>
    <cellStyle name="_Multiple_Betas" xfId="257" xr:uid="{00000000-0005-0000-0000-0000DC040000}"/>
    <cellStyle name="_Multiple_Betas as of 18-Apr-20022" xfId="258" xr:uid="{00000000-0005-0000-0000-0000DD040000}"/>
    <cellStyle name="_Multiple_Draft funds flow - 7 June 2005" xfId="2943" xr:uid="{00000000-0005-0000-0000-0000DE040000}"/>
    <cellStyle name="_Multiple_EXPN" xfId="259" xr:uid="{00000000-0005-0000-0000-0000DF040000}"/>
    <cellStyle name="_Multiple_MD 1 model_blank_Augustin" xfId="260" xr:uid="{00000000-0005-0000-0000-0000E0040000}"/>
    <cellStyle name="_Multiple_Offering Breakdown - 09-Jun -2005" xfId="2944" xr:uid="{00000000-0005-0000-0000-0000E1040000}"/>
    <cellStyle name="_Multiple_Offering Breakdown - 09-Jun -2005 updated" xfId="2945" xr:uid="{00000000-0005-0000-0000-0000E2040000}"/>
    <cellStyle name="_Multiple_Offering Breakdown - 19-Jun -2005 updated" xfId="2946" xr:uid="{00000000-0005-0000-0000-0000E3040000}"/>
    <cellStyle name="_Multiple_pi5" xfId="2947" xr:uid="{00000000-0005-0000-0000-0000E4040000}"/>
    <cellStyle name="_Multiple_surbid4 cloture" xfId="2948" xr:uid="{00000000-0005-0000-0000-0000E5040000}"/>
    <cellStyle name="_Multiple_surbid4 cloture_1" xfId="2949" xr:uid="{00000000-0005-0000-0000-0000E6040000}"/>
    <cellStyle name="_Multiple_surbid4 cloture_1_noos 2001 results 11jul01" xfId="2950" xr:uid="{00000000-0005-0000-0000-0000E7040000}"/>
    <cellStyle name="_Multiple_tropicos5" xfId="2951" xr:uid="{00000000-0005-0000-0000-0000E8040000}"/>
    <cellStyle name="_Multiple_voice1.xls Chart 1" xfId="2952" xr:uid="{00000000-0005-0000-0000-0000E9040000}"/>
    <cellStyle name="_Multiple_wacc" xfId="2953" xr:uid="{00000000-0005-0000-0000-0000EA040000}"/>
    <cellStyle name="_Multiple_wacc bb final" xfId="261" xr:uid="{00000000-0005-0000-0000-0000EB040000}"/>
    <cellStyle name="_Multiple_wacc bb final_Feeder" xfId="262" xr:uid="{00000000-0005-0000-0000-0000EC040000}"/>
    <cellStyle name="_Multiple_wacc bb final_M&amp;A Model" xfId="263" xr:uid="{00000000-0005-0000-0000-0000ED040000}"/>
    <cellStyle name="_MultipleSpace" xfId="264" xr:uid="{00000000-0005-0000-0000-0000EE040000}"/>
    <cellStyle name="_MultipleSpace_Betas" xfId="265" xr:uid="{00000000-0005-0000-0000-0000EF040000}"/>
    <cellStyle name="_MultipleSpace_Betas as of 18-Apr-20022" xfId="266" xr:uid="{00000000-0005-0000-0000-0000F0040000}"/>
    <cellStyle name="_MultipleSpace_Draft funds flow - 7 June 2005" xfId="2954" xr:uid="{00000000-0005-0000-0000-0000F1040000}"/>
    <cellStyle name="_MultipleSpace_EXPN" xfId="267" xr:uid="{00000000-0005-0000-0000-0000F2040000}"/>
    <cellStyle name="_MultipleSpace_George - LBO Model 3.1" xfId="268" xr:uid="{00000000-0005-0000-0000-0000F3040000}"/>
    <cellStyle name="_MultipleSpace_George - LBO Model 3.1_Feeder" xfId="269" xr:uid="{00000000-0005-0000-0000-0000F4040000}"/>
    <cellStyle name="_MultipleSpace_George - LBO Model 3.1_M&amp;A Model" xfId="270" xr:uid="{00000000-0005-0000-0000-0000F5040000}"/>
    <cellStyle name="_MultipleSpace_MD 1 model_blank_Augustin" xfId="271" xr:uid="{00000000-0005-0000-0000-0000F6040000}"/>
    <cellStyle name="_MultipleSpace_noos 2001 results 11jul01" xfId="2955" xr:uid="{00000000-0005-0000-0000-0000F7040000}"/>
    <cellStyle name="_MultipleSpace_Novartis-Roche 0805 v2" xfId="272" xr:uid="{00000000-0005-0000-0000-0000F8040000}"/>
    <cellStyle name="_MultipleSpace_Offering Breakdown - 09-Jun -2005" xfId="2956" xr:uid="{00000000-0005-0000-0000-0000F9040000}"/>
    <cellStyle name="_MultipleSpace_Offering Breakdown - 09-Jun -2005 updated" xfId="2957" xr:uid="{00000000-0005-0000-0000-0000FA040000}"/>
    <cellStyle name="_MultipleSpace_Offering Breakdown - 19-Jun -2005 updated" xfId="2958" xr:uid="{00000000-0005-0000-0000-0000FB040000}"/>
    <cellStyle name="_MultipleSpace_pi5" xfId="2959" xr:uid="{00000000-0005-0000-0000-0000FC040000}"/>
    <cellStyle name="_MultipleSpace_surbid4 cloture" xfId="2960" xr:uid="{00000000-0005-0000-0000-0000FD040000}"/>
    <cellStyle name="_MultipleSpace_surbid4 cloture_1" xfId="2961" xr:uid="{00000000-0005-0000-0000-0000FE040000}"/>
    <cellStyle name="_MultipleSpace_surbid4 cloture_1_noos 2001 results 11jul01" xfId="2962" xr:uid="{00000000-0005-0000-0000-0000FF040000}"/>
    <cellStyle name="_MultipleSpace_tropicos5" xfId="2963" xr:uid="{00000000-0005-0000-0000-000000050000}"/>
    <cellStyle name="_MultipleSpace_voice1.xls Chart 1" xfId="2964" xr:uid="{00000000-0005-0000-0000-000001050000}"/>
    <cellStyle name="_MultipleSpace_wacc" xfId="2965" xr:uid="{00000000-0005-0000-0000-000002050000}"/>
    <cellStyle name="_MultipleSpace_wacc bb final" xfId="273" xr:uid="{00000000-0005-0000-0000-000003050000}"/>
    <cellStyle name="_MultipleSpace_wacc bb final_Feeder" xfId="274" xr:uid="{00000000-0005-0000-0000-000004050000}"/>
    <cellStyle name="_MultipleSpace_wacc bb final_George - LBO Model 3.1" xfId="275" xr:uid="{00000000-0005-0000-0000-000005050000}"/>
    <cellStyle name="_MultipleSpace_wacc bb final_George - LBO Model 3.1_Feeder" xfId="276" xr:uid="{00000000-0005-0000-0000-000006050000}"/>
    <cellStyle name="_MultipleSpace_wacc bb final_George - LBO Model 3.1_M&amp;A Model" xfId="277" xr:uid="{00000000-0005-0000-0000-000007050000}"/>
    <cellStyle name="_MultipleSpace_wacc bb final_M&amp;A Model" xfId="278" xr:uid="{00000000-0005-0000-0000-000008050000}"/>
    <cellStyle name="_NoData" xfId="279" xr:uid="{00000000-0005-0000-0000-000009050000}"/>
    <cellStyle name="_North East &amp; Midlands" xfId="2108" xr:uid="{00000000-0005-0000-0000-00000A050000}"/>
    <cellStyle name="_North East &amp; Midlands_Covenants_draft_260412" xfId="2109" xr:uid="{00000000-0005-0000-0000-00000B050000}"/>
    <cellStyle name="_North East &amp; Midlands_Head Office Pack - Draft 1" xfId="2110" xr:uid="{00000000-0005-0000-0000-00000C050000}"/>
    <cellStyle name="_North East &amp; Midlands_Head Office Pack - Draft 4" xfId="2111" xr:uid="{00000000-0005-0000-0000-00000D050000}"/>
    <cellStyle name="_North East &amp; Midlands_Property Budget 2011" xfId="2112" xr:uid="{00000000-0005-0000-0000-00000E050000}"/>
    <cellStyle name="_North East &amp; Midlands_Property Budget 2011_Covenants_draft_260412" xfId="2113" xr:uid="{00000000-0005-0000-0000-00000F050000}"/>
    <cellStyle name="_North East &amp; Midlands_Property Budget 2011_Marketing &amp; Product" xfId="2114" xr:uid="{00000000-0005-0000-0000-000010050000}"/>
    <cellStyle name="_North East &amp; Midlands_Sheet1" xfId="2115" xr:uid="{00000000-0005-0000-0000-000011050000}"/>
    <cellStyle name="_October Scorecard" xfId="2116" xr:uid="{00000000-0005-0000-0000-000012050000}"/>
    <cellStyle name="_Pay as you Can logic for LBO" xfId="280" xr:uid="{00000000-0005-0000-0000-000013050000}"/>
    <cellStyle name="_Percent" xfId="281" xr:uid="{00000000-0005-0000-0000-000014050000}"/>
    <cellStyle name="_Percent_pi5" xfId="2966" xr:uid="{00000000-0005-0000-0000-000015050000}"/>
    <cellStyle name="_Percent_surbid4 cloture" xfId="2967" xr:uid="{00000000-0005-0000-0000-000016050000}"/>
    <cellStyle name="_Percent_surbid4 cloture_noos 2001 results 11jul01" xfId="2968" xr:uid="{00000000-0005-0000-0000-000017050000}"/>
    <cellStyle name="_Percent_temp templates2" xfId="282" xr:uid="{00000000-0005-0000-0000-000018050000}"/>
    <cellStyle name="_Percent_tropicos5" xfId="2969" xr:uid="{00000000-0005-0000-0000-000019050000}"/>
    <cellStyle name="_Percent_voice1.xls Chart 1" xfId="2970" xr:uid="{00000000-0005-0000-0000-00001A050000}"/>
    <cellStyle name="_Percent_wacc" xfId="2971" xr:uid="{00000000-0005-0000-0000-00001B050000}"/>
    <cellStyle name="_PercentSpace" xfId="283" xr:uid="{00000000-0005-0000-0000-00001C050000}"/>
    <cellStyle name="_PercentSpace_George - LBO Model 3.1" xfId="284" xr:uid="{00000000-0005-0000-0000-00001D050000}"/>
    <cellStyle name="_PercentSpace_pi5" xfId="2972" xr:uid="{00000000-0005-0000-0000-00001E050000}"/>
    <cellStyle name="_PercentSpace_surbid4 cloture" xfId="2973" xr:uid="{00000000-0005-0000-0000-00001F050000}"/>
    <cellStyle name="_PercentSpace_surbid4 cloture_1" xfId="2974" xr:uid="{00000000-0005-0000-0000-000020050000}"/>
    <cellStyle name="_PercentSpace_surbid4 cloture_1_noos 2001 results 11jul01" xfId="2975" xr:uid="{00000000-0005-0000-0000-000021050000}"/>
    <cellStyle name="_PercentSpace_surbid4 cloture_noos 2001 results 11jul01" xfId="2976" xr:uid="{00000000-0005-0000-0000-000022050000}"/>
    <cellStyle name="_PercentSpace_tropicos5" xfId="2977" xr:uid="{00000000-0005-0000-0000-000023050000}"/>
    <cellStyle name="_PercentSpace_voice1.xls Chart 1" xfId="2978" xr:uid="{00000000-0005-0000-0000-000024050000}"/>
    <cellStyle name="_PercentSpace_wacc" xfId="2979" xr:uid="{00000000-0005-0000-0000-000025050000}"/>
    <cellStyle name="_PercentSpace_wacc bb final" xfId="285" xr:uid="{00000000-0005-0000-0000-000026050000}"/>
    <cellStyle name="_PercentSpace_wacc bb final_Feeder" xfId="286" xr:uid="{00000000-0005-0000-0000-000027050000}"/>
    <cellStyle name="_PercentSpace_wacc bb final_George - LBO Model 3.1" xfId="287" xr:uid="{00000000-0005-0000-0000-000028050000}"/>
    <cellStyle name="_PercentSpace_wacc bb final_George - LBO Model 3.1_Feeder" xfId="288" xr:uid="{00000000-0005-0000-0000-000029050000}"/>
    <cellStyle name="_PercentSpace_wacc bb final_George - LBO Model 3.1_M&amp;A Model" xfId="289" xr:uid="{00000000-0005-0000-0000-00002A050000}"/>
    <cellStyle name="_PercentSpace_wacc bb final_M&amp;A Model" xfId="290" xr:uid="{00000000-0005-0000-0000-00002B050000}"/>
    <cellStyle name="_Property Budget 2011" xfId="2117" xr:uid="{00000000-0005-0000-0000-00002C050000}"/>
    <cellStyle name="_Property PPM Budgets - 2009" xfId="2118" xr:uid="{00000000-0005-0000-0000-00002D050000}"/>
    <cellStyle name="_Property PPM Budgets - 2009_Covenants_draft_260412" xfId="2119" xr:uid="{00000000-0005-0000-0000-00002E050000}"/>
    <cellStyle name="_Property PPM Budgets - 2009_Head Office Pack - Draft 1" xfId="2120" xr:uid="{00000000-0005-0000-0000-00002F050000}"/>
    <cellStyle name="_Property PPM Budgets - 2009_Head Office Pack - Draft 4" xfId="2121" xr:uid="{00000000-0005-0000-0000-000030050000}"/>
    <cellStyle name="_Property PPM Budgets - 2009_Sheet1" xfId="2122" xr:uid="{00000000-0005-0000-0000-000031050000}"/>
    <cellStyle name="_Repairs &amp; Maintenance" xfId="2123" xr:uid="{00000000-0005-0000-0000-000032050000}"/>
    <cellStyle name="_Repairs &amp; Maintenance_Covenants_draft_260412" xfId="2124" xr:uid="{00000000-0005-0000-0000-000033050000}"/>
    <cellStyle name="_Repairs &amp; Maintenance_Head Office Pack - Draft 1" xfId="2125" xr:uid="{00000000-0005-0000-0000-000034050000}"/>
    <cellStyle name="_Repairs &amp; Maintenance_Head Office Pack - Draft 4" xfId="2126" xr:uid="{00000000-0005-0000-0000-000035050000}"/>
    <cellStyle name="_Repairs &amp; Maintenance_Sheet1" xfId="2127" xr:uid="{00000000-0005-0000-0000-000036050000}"/>
    <cellStyle name="_Row1" xfId="291" xr:uid="{00000000-0005-0000-0000-000037050000}"/>
    <cellStyle name="_Row1_Bank case Viking (sent to JPM 10 Nov 05)" xfId="292" xr:uid="{00000000-0005-0000-0000-000038050000}"/>
    <cellStyle name="_Row1_Banks (2)" xfId="293" xr:uid="{00000000-0005-0000-0000-000039050000}"/>
    <cellStyle name="_Row1_Book2" xfId="2128" xr:uid="{00000000-0005-0000-0000-00003A050000}"/>
    <cellStyle name="_Row1_Covenants_draft_260412" xfId="2129" xr:uid="{00000000-0005-0000-0000-00003B050000}"/>
    <cellStyle name="_Row1_DRAFT 11" xfId="2130" xr:uid="{00000000-0005-0000-0000-00003C050000}"/>
    <cellStyle name="_Row1_DRAFT 11_Covenants_draft_260412" xfId="2131" xr:uid="{00000000-0005-0000-0000-00003D050000}"/>
    <cellStyle name="_Row1_DRAFT 11_Marketing &amp; Product" xfId="2132" xr:uid="{00000000-0005-0000-0000-00003E050000}"/>
    <cellStyle name="_Row1_EBITDA-Recon P&amp;L OPSP04-08_GX" xfId="294" xr:uid="{00000000-0005-0000-0000-00003F050000}"/>
    <cellStyle name="_Row1_Feeder" xfId="295" xr:uid="{00000000-0005-0000-0000-000040050000}"/>
    <cellStyle name="_Row1_Financial ratios_Euroland" xfId="296" xr:uid="{00000000-0005-0000-0000-000041050000}"/>
    <cellStyle name="_Row1_GX evaluation without pensions" xfId="297" xr:uid="{00000000-0005-0000-0000-000042050000}"/>
    <cellStyle name="_Row1_GX OPSP0509 incl. Zurückdrehen Subsidies NVM" xfId="298" xr:uid="{00000000-0005-0000-0000-000043050000}"/>
    <cellStyle name="_Row1_GX Plan" xfId="299" xr:uid="{00000000-0005-0000-0000-000044050000}"/>
    <cellStyle name="_Row1_Head Office Pack - Draft 1" xfId="2133" xr:uid="{00000000-0005-0000-0000-000045050000}"/>
    <cellStyle name="_Row1_Head Office Pack - Draft 4" xfId="2134" xr:uid="{00000000-0005-0000-0000-000046050000}"/>
    <cellStyle name="_Row1_Headcount" xfId="300" xr:uid="{00000000-0005-0000-0000-000047050000}"/>
    <cellStyle name="_Row1_Headcount_Monthly report" xfId="301" xr:uid="{00000000-0005-0000-0000-000048050000}"/>
    <cellStyle name="_Row1_Internal" xfId="2135" xr:uid="{00000000-0005-0000-0000-000049050000}"/>
    <cellStyle name="_Row1_Internal 1" xfId="2136" xr:uid="{00000000-0005-0000-0000-00004A050000}"/>
    <cellStyle name="_Row1_Internal 1_Projections Pack" xfId="2137" xr:uid="{00000000-0005-0000-0000-00004B050000}"/>
    <cellStyle name="_Row1_Internal 1_Projections Pack (TM)" xfId="2138" xr:uid="{00000000-0005-0000-0000-00004C050000}"/>
    <cellStyle name="_Row1_Internal 1_Quasi Rent Illustration" xfId="2139" xr:uid="{00000000-0005-0000-0000-00004D050000}"/>
    <cellStyle name="_Row1_Internal_Projections Pack" xfId="2140" xr:uid="{00000000-0005-0000-0000-00004E050000}"/>
    <cellStyle name="_Row1_Internal_Projections Pack (TM)" xfId="2141" xr:uid="{00000000-0005-0000-0000-00004F050000}"/>
    <cellStyle name="_Row1_Internal_Quasi Rent Illustration" xfId="2142" xr:uid="{00000000-0005-0000-0000-000050050000}"/>
    <cellStyle name="_Row1_IT Budget 2011" xfId="2143" xr:uid="{00000000-0005-0000-0000-000051050000}"/>
    <cellStyle name="_Row1_IT Budget Master 2011 - Draft V2 1 (2)" xfId="2144" xr:uid="{00000000-0005-0000-0000-000052050000}"/>
    <cellStyle name="_Row1_Konsolidierungsbeträge" xfId="302" xr:uid="{00000000-0005-0000-0000-000053050000}"/>
    <cellStyle name="_Row1_LTMJUN02" xfId="303" xr:uid="{00000000-0005-0000-0000-000054050000}"/>
    <cellStyle name="_Row1_M&amp;A Model" xfId="304" xr:uid="{00000000-0005-0000-0000-000055050000}"/>
    <cellStyle name="_Row1_M&amp;A projections" xfId="305" xr:uid="{00000000-0005-0000-0000-000056050000}"/>
    <cellStyle name="_Row1_MIS Reporting_Budget_JD" xfId="306" xr:uid="{00000000-0005-0000-0000-000057050000}"/>
    <cellStyle name="_Row1_Net Gain Review Pack - 28th Sept" xfId="2145" xr:uid="{00000000-0005-0000-0000-000058050000}"/>
    <cellStyle name="_Row1_New Gerresheimer bank plan (sent to JPM 26 Nov 05)" xfId="307" xr:uid="{00000000-0005-0000-0000-000059050000}"/>
    <cellStyle name="_Row1_P&amp;L bank model - received from Gerresheimer 1 12 05" xfId="308" xr:uid="{00000000-0005-0000-0000-00005A050000}"/>
    <cellStyle name="_Row1_PAR overlay" xfId="2146" xr:uid="{00000000-0005-0000-0000-00005B050000}"/>
    <cellStyle name="_Row1_PAR overlay_Projections Pack" xfId="2147" xr:uid="{00000000-0005-0000-0000-00005C050000}"/>
    <cellStyle name="_Row1_PAR overlay_Projections Pack (TM)" xfId="2148" xr:uid="{00000000-0005-0000-0000-00005D050000}"/>
    <cellStyle name="_Row1_PAR overlay_Quasi Rent Illustration" xfId="2149" xr:uid="{00000000-0005-0000-0000-00005E050000}"/>
    <cellStyle name="_Row1_Plan model" xfId="309" xr:uid="{00000000-0005-0000-0000-00005F050000}"/>
    <cellStyle name="_Row1_Property Budget 2011" xfId="2150" xr:uid="{00000000-0005-0000-0000-000060050000}"/>
    <cellStyle name="_Row1_Property Budget 2011_Covenants_draft_260412" xfId="2151" xr:uid="{00000000-0005-0000-0000-000061050000}"/>
    <cellStyle name="_Row1_Property Budget 2011_Marketing &amp; Product" xfId="2152" xr:uid="{00000000-0005-0000-0000-000062050000}"/>
    <cellStyle name="_Row1_Quarterly" xfId="310" xr:uid="{00000000-0005-0000-0000-000063050000}"/>
    <cellStyle name="_Row1_Sceanrio 2 Update - Dec 2nd" xfId="2153" xr:uid="{00000000-0005-0000-0000-000064050000}"/>
    <cellStyle name="_Row1_Sceanrio 2 Update - Dec 2nd_Projections Pack" xfId="2154" xr:uid="{00000000-0005-0000-0000-000065050000}"/>
    <cellStyle name="_Row1_Sceanrio 2 Update - Dec 2nd_Projections Pack (TM)" xfId="2155" xr:uid="{00000000-0005-0000-0000-000066050000}"/>
    <cellStyle name="_Row1_Sceanrio 2 Update - Dec 2nd_Quasi Rent Illustration" xfId="2156" xr:uid="{00000000-0005-0000-0000-000067050000}"/>
    <cellStyle name="_Row1_Sheet1" xfId="2157" xr:uid="{00000000-0005-0000-0000-000068050000}"/>
    <cellStyle name="_Row1_Tabelle1" xfId="311" xr:uid="{00000000-0005-0000-0000-000069050000}"/>
    <cellStyle name="_Row1_TSG2" xfId="312" xr:uid="{00000000-0005-0000-0000-00006A050000}"/>
    <cellStyle name="_Row1_Update 2004 Figures v2 (sent to banks)" xfId="313" xr:uid="{00000000-0005-0000-0000-00006B050000}"/>
    <cellStyle name="_Row1_WC benchmark Calc" xfId="314" xr:uid="{00000000-0005-0000-0000-00006C050000}"/>
    <cellStyle name="_Row1_YLC" xfId="2158" xr:uid="{00000000-0005-0000-0000-00006D050000}"/>
    <cellStyle name="_Row1_Zins und Bankschuldenberechnung_03_07" xfId="315" xr:uid="{00000000-0005-0000-0000-00006E050000}"/>
    <cellStyle name="_Row10" xfId="316" xr:uid="{00000000-0005-0000-0000-00006F050000}"/>
    <cellStyle name="_Row2" xfId="317" xr:uid="{00000000-0005-0000-0000-000070050000}"/>
    <cellStyle name="_Row2_051003 Viking Business plan" xfId="318" xr:uid="{00000000-0005-0000-0000-000071050000}"/>
    <cellStyle name="_Row2_051004 Viking Business plan10" xfId="319" xr:uid="{00000000-0005-0000-0000-000072050000}"/>
    <cellStyle name="_Row2_Aurora LBO v25" xfId="320" xr:uid="{00000000-0005-0000-0000-000073050000}"/>
    <cellStyle name="_Row2_Balance Sheet_restl. Eurowährungsl._Gruppe" xfId="321" xr:uid="{00000000-0005-0000-0000-000074050000}"/>
    <cellStyle name="_Row2_Bank case Viking (sent to JPM 10 Nov 05)" xfId="322" xr:uid="{00000000-0005-0000-0000-000075050000}"/>
    <cellStyle name="_Row2_Cost Price Assumptions OPSP0509 vs OPSP0610" xfId="323" xr:uid="{00000000-0005-0000-0000-000076050000}"/>
    <cellStyle name="_Row2_Feeder" xfId="324" xr:uid="{00000000-0005-0000-0000-000077050000}"/>
    <cellStyle name="_Row2_FY 2005-2009 OP-SP Update (11-Oct-04)" xfId="325" xr:uid="{00000000-0005-0000-0000-000078050000}"/>
    <cellStyle name="_Row2_Key assumptions GX companies" xfId="326" xr:uid="{00000000-0005-0000-0000-000079050000}"/>
    <cellStyle name="_Row2_M&amp;A Model" xfId="327" xr:uid="{00000000-0005-0000-0000-00007A050000}"/>
    <cellStyle name="_Row2_M&amp;A projections" xfId="328" xr:uid="{00000000-0005-0000-0000-00007B050000}"/>
    <cellStyle name="_Row2_Mappe2" xfId="329" xr:uid="{00000000-0005-0000-0000-00007C050000}"/>
    <cellStyle name="_Row2_MIS Reporting_Budget_OPSP 06-10" xfId="330" xr:uid="{00000000-0005-0000-0000-00007D050000}"/>
    <cellStyle name="_Row2_TSG2" xfId="331" xr:uid="{00000000-0005-0000-0000-00007E050000}"/>
    <cellStyle name="_Row3" xfId="332" xr:uid="{00000000-0005-0000-0000-00007F050000}"/>
    <cellStyle name="_Row3_051003 Viking Business plan" xfId="333" xr:uid="{00000000-0005-0000-0000-000080050000}"/>
    <cellStyle name="_Row3_051004 Viking Business plan10" xfId="334" xr:uid="{00000000-0005-0000-0000-000081050000}"/>
    <cellStyle name="_Row3_Balance Sheet_restl. Eurowährungsl._Gruppe" xfId="335" xr:uid="{00000000-0005-0000-0000-000082050000}"/>
    <cellStyle name="_Row3_Bank case Viking (sent to JPM 10 Nov 05)" xfId="336" xr:uid="{00000000-0005-0000-0000-000083050000}"/>
    <cellStyle name="_Row3_Cost Price Assumptions OPSP0509 vs OPSP0610" xfId="337" xr:uid="{00000000-0005-0000-0000-000084050000}"/>
    <cellStyle name="_Row3_Feeder" xfId="338" xr:uid="{00000000-0005-0000-0000-000085050000}"/>
    <cellStyle name="_Row3_FY 2005-2009 OP-SP Update (11-Oct-04)" xfId="339" xr:uid="{00000000-0005-0000-0000-000086050000}"/>
    <cellStyle name="_Row3_Key assumptions GX companies" xfId="340" xr:uid="{00000000-0005-0000-0000-000087050000}"/>
    <cellStyle name="_Row3_M&amp;A Model" xfId="341" xr:uid="{00000000-0005-0000-0000-000088050000}"/>
    <cellStyle name="_Row3_M&amp;A projections" xfId="342" xr:uid="{00000000-0005-0000-0000-000089050000}"/>
    <cellStyle name="_Row3_Mappe2" xfId="343" xr:uid="{00000000-0005-0000-0000-00008A050000}"/>
    <cellStyle name="_Row3_MIS Reporting_Budget_OPSP 06-10" xfId="344" xr:uid="{00000000-0005-0000-0000-00008B050000}"/>
    <cellStyle name="_Row3_TSG2" xfId="345" xr:uid="{00000000-0005-0000-0000-00008C050000}"/>
    <cellStyle name="_Row4" xfId="346" xr:uid="{00000000-0005-0000-0000-00008D050000}"/>
    <cellStyle name="_Row4_021202External Sales 2000_2001_DA_feste Werte" xfId="347" xr:uid="{00000000-0005-0000-0000-00008E050000}"/>
    <cellStyle name="_Row4_051003 Viking Business plan" xfId="348" xr:uid="{00000000-0005-0000-0000-00008F050000}"/>
    <cellStyle name="_Row4_051004 Viking Business plan10" xfId="349" xr:uid="{00000000-0005-0000-0000-000090050000}"/>
    <cellStyle name="_Row4_3. Version 4 Bank" xfId="2159" xr:uid="{00000000-0005-0000-0000-000091050000}"/>
    <cellStyle name="_Row4_3. Version 4 Bank new segments" xfId="2160" xr:uid="{00000000-0005-0000-0000-000092050000}"/>
    <cellStyle name="_Row4_4. Version 4 Bank new segments with rollout" xfId="2161" xr:uid="{00000000-0005-0000-0000-000093050000}"/>
    <cellStyle name="_Row4_4. Version 4 Bank with Rollout" xfId="2162" xr:uid="{00000000-0005-0000-0000-000094050000}"/>
    <cellStyle name="_Row4_Bank case Viking (sent to JPM 10 Nov 05)" xfId="350" xr:uid="{00000000-0005-0000-0000-000095050000}"/>
    <cellStyle name="_Row4_Cost Price Assumptions OPSP0509 vs OPSP0610" xfId="351" xr:uid="{00000000-0005-0000-0000-000096050000}"/>
    <cellStyle name="_Row4_DRAFT 11" xfId="2163" xr:uid="{00000000-0005-0000-0000-000097050000}"/>
    <cellStyle name="_Row4_Feeder" xfId="352" xr:uid="{00000000-0005-0000-0000-000098050000}"/>
    <cellStyle name="_Row4_FY 2005-2009 OP-SP Update (11-Oct-04)" xfId="353" xr:uid="{00000000-0005-0000-0000-000099050000}"/>
    <cellStyle name="_Row4_IT Budget 2011" xfId="2164" xr:uid="{00000000-0005-0000-0000-00009A050000}"/>
    <cellStyle name="_Row4_IT Budget Master 2011 - Draft V2 1 (2)" xfId="2165" xr:uid="{00000000-0005-0000-0000-00009B050000}"/>
    <cellStyle name="_Row4_Key assumptions GX companies" xfId="354" xr:uid="{00000000-0005-0000-0000-00009C050000}"/>
    <cellStyle name="_Row4_Konsolidierungsbeträge" xfId="355" xr:uid="{00000000-0005-0000-0000-00009D050000}"/>
    <cellStyle name="_Row4_M&amp;A Model" xfId="356" xr:uid="{00000000-0005-0000-0000-00009E050000}"/>
    <cellStyle name="_Row4_M&amp;A projections" xfId="357" xr:uid="{00000000-0005-0000-0000-00009F050000}"/>
    <cellStyle name="_Row4_Mappe2" xfId="358" xr:uid="{00000000-0005-0000-0000-0000A0050000}"/>
    <cellStyle name="_Row4_MIS Reporting_Budget_OPSP 06-10" xfId="359" xr:uid="{00000000-0005-0000-0000-0000A1050000}"/>
    <cellStyle name="_Row4_Net Gain Review Pack - 28th Sept" xfId="2166" xr:uid="{00000000-0005-0000-0000-0000A2050000}"/>
    <cellStyle name="_Row4_PAR overlay" xfId="2167" xr:uid="{00000000-0005-0000-0000-0000A3050000}"/>
    <cellStyle name="_Row4_TSG2" xfId="360" xr:uid="{00000000-0005-0000-0000-0000A4050000}"/>
    <cellStyle name="_Row4_UBS Model" xfId="2168" xr:uid="{00000000-0005-0000-0000-0000A5050000}"/>
    <cellStyle name="_Row4_UBS Model - upside model" xfId="2169" xr:uid="{00000000-0005-0000-0000-0000A6050000}"/>
    <cellStyle name="_Row5" xfId="361" xr:uid="{00000000-0005-0000-0000-0000A7050000}"/>
    <cellStyle name="_Row5_021202External Sales 2000_2001_DA_feste Werte" xfId="362" xr:uid="{00000000-0005-0000-0000-0000A8050000}"/>
    <cellStyle name="_Row5_051003 Viking Business plan" xfId="363" xr:uid="{00000000-0005-0000-0000-0000A9050000}"/>
    <cellStyle name="_Row5_051004 Viking Business plan10" xfId="364" xr:uid="{00000000-0005-0000-0000-0000AA050000}"/>
    <cellStyle name="_Row5_Balance Sheet_restl. Eurowährungsl._Gruppe" xfId="365" xr:uid="{00000000-0005-0000-0000-0000AB050000}"/>
    <cellStyle name="_Row5_Bank case Viking (sent to JPM 10 Nov 05)" xfId="366" xr:uid="{00000000-0005-0000-0000-0000AC050000}"/>
    <cellStyle name="_Row5_Cost Price Assumptions OPSP0509 vs OPSP0610" xfId="367" xr:uid="{00000000-0005-0000-0000-0000AD050000}"/>
    <cellStyle name="_Row5_Feeder" xfId="368" xr:uid="{00000000-0005-0000-0000-0000AE050000}"/>
    <cellStyle name="_Row5_FY 2005-2009 OP-SP Update (11-Oct-04)" xfId="369" xr:uid="{00000000-0005-0000-0000-0000AF050000}"/>
    <cellStyle name="_Row5_Key assumptions GX companies" xfId="370" xr:uid="{00000000-0005-0000-0000-0000B0050000}"/>
    <cellStyle name="_Row5_M&amp;A Model" xfId="371" xr:uid="{00000000-0005-0000-0000-0000B1050000}"/>
    <cellStyle name="_Row5_M&amp;A projections" xfId="372" xr:uid="{00000000-0005-0000-0000-0000B2050000}"/>
    <cellStyle name="_Row5_Mappe2" xfId="373" xr:uid="{00000000-0005-0000-0000-0000B3050000}"/>
    <cellStyle name="_Row5_MIS Reporting_Budget_OPSP 06-10" xfId="374" xr:uid="{00000000-0005-0000-0000-0000B4050000}"/>
    <cellStyle name="_Row5_TSG2" xfId="375" xr:uid="{00000000-0005-0000-0000-0000B5050000}"/>
    <cellStyle name="_Row6" xfId="376" xr:uid="{00000000-0005-0000-0000-0000B6050000}"/>
    <cellStyle name="_Row6_021202External Sales 2000_2001_DA_feste Werte" xfId="377" xr:uid="{00000000-0005-0000-0000-0000B7050000}"/>
    <cellStyle name="_Row6_051003 Viking Business plan" xfId="378" xr:uid="{00000000-0005-0000-0000-0000B8050000}"/>
    <cellStyle name="_Row6_051004 Viking Business plan10" xfId="379" xr:uid="{00000000-0005-0000-0000-0000B9050000}"/>
    <cellStyle name="_Row6_Balance Sheet_restl. Eurowährungsl._Gruppe" xfId="380" xr:uid="{00000000-0005-0000-0000-0000BA050000}"/>
    <cellStyle name="_Row6_Bank case Viking (sent to JPM 10 Nov 05)" xfId="381" xr:uid="{00000000-0005-0000-0000-0000BB050000}"/>
    <cellStyle name="_Row6_Cost Price Assumptions OPSP0509 vs OPSP0610" xfId="382" xr:uid="{00000000-0005-0000-0000-0000BC050000}"/>
    <cellStyle name="_Row6_Feeder" xfId="383" xr:uid="{00000000-0005-0000-0000-0000BD050000}"/>
    <cellStyle name="_Row6_FY 2005-2009 OP-SP Update (11-Oct-04)" xfId="384" xr:uid="{00000000-0005-0000-0000-0000BE050000}"/>
    <cellStyle name="_Row6_Key assumptions GX companies" xfId="385" xr:uid="{00000000-0005-0000-0000-0000BF050000}"/>
    <cellStyle name="_Row6_M&amp;A Model" xfId="386" xr:uid="{00000000-0005-0000-0000-0000C0050000}"/>
    <cellStyle name="_Row6_M&amp;A projections" xfId="387" xr:uid="{00000000-0005-0000-0000-0000C1050000}"/>
    <cellStyle name="_Row6_Mappe2" xfId="388" xr:uid="{00000000-0005-0000-0000-0000C2050000}"/>
    <cellStyle name="_Row6_MIS Reporting_Budget_OPSP 06-10" xfId="389" xr:uid="{00000000-0005-0000-0000-0000C3050000}"/>
    <cellStyle name="_Row6_TSG2" xfId="390" xr:uid="{00000000-0005-0000-0000-0000C4050000}"/>
    <cellStyle name="_Row7" xfId="391" xr:uid="{00000000-0005-0000-0000-0000C5050000}"/>
    <cellStyle name="_Row7_021202External Sales 2000_2001_DA_feste Werte" xfId="392" xr:uid="{00000000-0005-0000-0000-0000C6050000}"/>
    <cellStyle name="_Row7_051003 Viking Business plan" xfId="393" xr:uid="{00000000-0005-0000-0000-0000C7050000}"/>
    <cellStyle name="_Row7_051004 Viking Business plan10" xfId="394" xr:uid="{00000000-0005-0000-0000-0000C8050000}"/>
    <cellStyle name="_Row7_3. Version 4 Bank" xfId="2170" xr:uid="{00000000-0005-0000-0000-0000C9050000}"/>
    <cellStyle name="_Row7_3. Version 4 Bank new segments" xfId="2171" xr:uid="{00000000-0005-0000-0000-0000CA050000}"/>
    <cellStyle name="_Row7_4. Version 4 Bank new segments with rollout" xfId="2172" xr:uid="{00000000-0005-0000-0000-0000CB050000}"/>
    <cellStyle name="_Row7_4. Version 4 Bank with Rollout" xfId="2173" xr:uid="{00000000-0005-0000-0000-0000CC050000}"/>
    <cellStyle name="_Row7_Balance Sheet_restl. Eurowährungsl._Gruppe" xfId="395" xr:uid="{00000000-0005-0000-0000-0000CD050000}"/>
    <cellStyle name="_Row7_Bank case Viking (sent to JPM 10 Nov 05)" xfId="396" xr:uid="{00000000-0005-0000-0000-0000CE050000}"/>
    <cellStyle name="_Row7_Cost Price Assumptions OPSP0509 vs OPSP0610" xfId="397" xr:uid="{00000000-0005-0000-0000-0000CF050000}"/>
    <cellStyle name="_Row7_Feeder" xfId="398" xr:uid="{00000000-0005-0000-0000-0000D0050000}"/>
    <cellStyle name="_Row7_FY 2005-2009 OP-SP Update (11-Oct-04)" xfId="399" xr:uid="{00000000-0005-0000-0000-0000D1050000}"/>
    <cellStyle name="_Row7_Key assumptions GX companies" xfId="400" xr:uid="{00000000-0005-0000-0000-0000D2050000}"/>
    <cellStyle name="_Row7_Konsolidierungsbeträge" xfId="401" xr:uid="{00000000-0005-0000-0000-0000D3050000}"/>
    <cellStyle name="_Row7_M&amp;A Model" xfId="402" xr:uid="{00000000-0005-0000-0000-0000D4050000}"/>
    <cellStyle name="_Row7_M&amp;A projections" xfId="403" xr:uid="{00000000-0005-0000-0000-0000D5050000}"/>
    <cellStyle name="_Row7_Mappe2" xfId="404" xr:uid="{00000000-0005-0000-0000-0000D6050000}"/>
    <cellStyle name="_Row7_MIS Reporting_Budget_OPSP 06-10" xfId="405" xr:uid="{00000000-0005-0000-0000-0000D7050000}"/>
    <cellStyle name="_Row7_PAR overlay" xfId="2174" xr:uid="{00000000-0005-0000-0000-0000D8050000}"/>
    <cellStyle name="_Row7_TSG2" xfId="406" xr:uid="{00000000-0005-0000-0000-0000D9050000}"/>
    <cellStyle name="_Row7_UBS Model" xfId="2175" xr:uid="{00000000-0005-0000-0000-0000DA050000}"/>
    <cellStyle name="_Row7_UBS Model - upside model" xfId="2176" xr:uid="{00000000-0005-0000-0000-0000DB050000}"/>
    <cellStyle name="_Row8" xfId="407" xr:uid="{00000000-0005-0000-0000-0000DC050000}"/>
    <cellStyle name="_Row8_021202External Sales 2000_2001_DA_feste Werte" xfId="408" xr:uid="{00000000-0005-0000-0000-0000DD050000}"/>
    <cellStyle name="_Row8_Balance Sheet_restl. Eurowährungsl._Gruppe" xfId="409" xr:uid="{00000000-0005-0000-0000-0000DE050000}"/>
    <cellStyle name="_Row8_Konsolidierungsbeträge" xfId="410" xr:uid="{00000000-0005-0000-0000-0000DF050000}"/>
    <cellStyle name="_SAB_standalone" xfId="411" xr:uid="{00000000-0005-0000-0000-0000E0050000}"/>
    <cellStyle name="_Scotland &amp; North West" xfId="2177" xr:uid="{00000000-0005-0000-0000-0000E1050000}"/>
    <cellStyle name="_Scotland &amp; North West_Covenants_draft_260412" xfId="2178" xr:uid="{00000000-0005-0000-0000-0000E2050000}"/>
    <cellStyle name="_Scotland &amp; North West_Head Office Pack - Draft 1" xfId="2179" xr:uid="{00000000-0005-0000-0000-0000E3050000}"/>
    <cellStyle name="_Scotland &amp; North West_Head Office Pack - Draft 4" xfId="2180" xr:uid="{00000000-0005-0000-0000-0000E4050000}"/>
    <cellStyle name="_Scotland &amp; North West_Property Budget 2011" xfId="2181" xr:uid="{00000000-0005-0000-0000-0000E5050000}"/>
    <cellStyle name="_Scotland &amp; North West_Property Budget 2011_Covenants_draft_260412" xfId="2182" xr:uid="{00000000-0005-0000-0000-0000E6050000}"/>
    <cellStyle name="_Scotland &amp; North West_Property Budget 2011_Marketing &amp; Product" xfId="2183" xr:uid="{00000000-0005-0000-0000-0000E7050000}"/>
    <cellStyle name="_Scotland &amp; North West_Sheet1" xfId="2184" xr:uid="{00000000-0005-0000-0000-0000E8050000}"/>
    <cellStyle name="_Section 1 2009" xfId="2185" xr:uid="{00000000-0005-0000-0000-0000E9050000}"/>
    <cellStyle name="_Section 4 2009 Group 1" xfId="2186" xr:uid="{00000000-0005-0000-0000-0000EA050000}"/>
    <cellStyle name="_Section 5 2009 Group 1" xfId="2187" xr:uid="{00000000-0005-0000-0000-0000EB050000}"/>
    <cellStyle name="_Section 5 2009 Group 5" xfId="2188" xr:uid="{00000000-0005-0000-0000-0000EC050000}"/>
    <cellStyle name="_SECTION 7 - Summary P&amp;L with Graphs" xfId="2189" xr:uid="{00000000-0005-0000-0000-0000ED050000}"/>
    <cellStyle name="_SECTION 7 - Summary P&amp;L with Graphs_Book2" xfId="2190" xr:uid="{00000000-0005-0000-0000-0000EE050000}"/>
    <cellStyle name="_SECTION 7 - Summary P&amp;L with Graphs_Covenants_draft_260412" xfId="2191" xr:uid="{00000000-0005-0000-0000-0000EF050000}"/>
    <cellStyle name="_SECTION 7 - Summary P&amp;L with Graphs_DRAFT 11" xfId="2192" xr:uid="{00000000-0005-0000-0000-0000F0050000}"/>
    <cellStyle name="_SECTION 7 - Summary P&amp;L with Graphs_DRAFT 11_Covenants_draft_260412" xfId="2193" xr:uid="{00000000-0005-0000-0000-0000F1050000}"/>
    <cellStyle name="_SECTION 7 - Summary P&amp;L with Graphs_DRAFT 11_Marketing &amp; Product" xfId="2194" xr:uid="{00000000-0005-0000-0000-0000F2050000}"/>
    <cellStyle name="_SECTION 7 - Summary P&amp;L with Graphs_Head Office Pack - Draft 1" xfId="2195" xr:uid="{00000000-0005-0000-0000-0000F3050000}"/>
    <cellStyle name="_SECTION 7 - Summary P&amp;L with Graphs_Head Office Pack - Draft 4" xfId="2196" xr:uid="{00000000-0005-0000-0000-0000F4050000}"/>
    <cellStyle name="_SECTION 7 - Summary P&amp;L with Graphs_Internal" xfId="2197" xr:uid="{00000000-0005-0000-0000-0000F5050000}"/>
    <cellStyle name="_SECTION 7 - Summary P&amp;L with Graphs_Internal 1" xfId="2198" xr:uid="{00000000-0005-0000-0000-0000F6050000}"/>
    <cellStyle name="_SECTION 7 - Summary P&amp;L with Graphs_Internal 1_Projections Pack" xfId="2199" xr:uid="{00000000-0005-0000-0000-0000F7050000}"/>
    <cellStyle name="_SECTION 7 - Summary P&amp;L with Graphs_Internal 1_Projections Pack (TM)" xfId="2200" xr:uid="{00000000-0005-0000-0000-0000F8050000}"/>
    <cellStyle name="_SECTION 7 - Summary P&amp;L with Graphs_Internal 1_Quasi Rent Illustration" xfId="2201" xr:uid="{00000000-0005-0000-0000-0000F9050000}"/>
    <cellStyle name="_SECTION 7 - Summary P&amp;L with Graphs_Internal_Projections Pack" xfId="2202" xr:uid="{00000000-0005-0000-0000-0000FA050000}"/>
    <cellStyle name="_SECTION 7 - Summary P&amp;L with Graphs_Internal_Projections Pack (TM)" xfId="2203" xr:uid="{00000000-0005-0000-0000-0000FB050000}"/>
    <cellStyle name="_SECTION 7 - Summary P&amp;L with Graphs_Internal_Quasi Rent Illustration" xfId="2204" xr:uid="{00000000-0005-0000-0000-0000FC050000}"/>
    <cellStyle name="_SECTION 7 - Summary P&amp;L with Graphs_IT Budget 2011" xfId="2205" xr:uid="{00000000-0005-0000-0000-0000FD050000}"/>
    <cellStyle name="_SECTION 7 - Summary P&amp;L with Graphs_IT Budget Master 2011 - Draft V2 1 (2)" xfId="2206" xr:uid="{00000000-0005-0000-0000-0000FE050000}"/>
    <cellStyle name="_SECTION 7 - Summary P&amp;L with Graphs_Net Gain Review Pack - 28th Sept" xfId="2207" xr:uid="{00000000-0005-0000-0000-0000FF050000}"/>
    <cellStyle name="_SECTION 7 - Summary P&amp;L with Graphs_PAR overlay" xfId="2208" xr:uid="{00000000-0005-0000-0000-000000060000}"/>
    <cellStyle name="_SECTION 7 - Summary P&amp;L with Graphs_PAR overlay_Projections Pack" xfId="2209" xr:uid="{00000000-0005-0000-0000-000001060000}"/>
    <cellStyle name="_SECTION 7 - Summary P&amp;L with Graphs_PAR overlay_Projections Pack (TM)" xfId="2210" xr:uid="{00000000-0005-0000-0000-000002060000}"/>
    <cellStyle name="_SECTION 7 - Summary P&amp;L with Graphs_PAR overlay_Quasi Rent Illustration" xfId="2211" xr:uid="{00000000-0005-0000-0000-000003060000}"/>
    <cellStyle name="_SECTION 7 - Summary P&amp;L with Graphs_Property Budget 2011" xfId="2212" xr:uid="{00000000-0005-0000-0000-000004060000}"/>
    <cellStyle name="_SECTION 7 - Summary P&amp;L with Graphs_Property Budget 2011_Covenants_draft_260412" xfId="2213" xr:uid="{00000000-0005-0000-0000-000005060000}"/>
    <cellStyle name="_SECTION 7 - Summary P&amp;L with Graphs_Property Budget 2011_Marketing &amp; Product" xfId="2214" xr:uid="{00000000-0005-0000-0000-000006060000}"/>
    <cellStyle name="_SECTION 7 - Summary P&amp;L with Graphs_Sceanrio 2 Update - Dec 2nd" xfId="2215" xr:uid="{00000000-0005-0000-0000-000007060000}"/>
    <cellStyle name="_SECTION 7 - Summary P&amp;L with Graphs_Sceanrio 2 Update - Dec 2nd_Projections Pack" xfId="2216" xr:uid="{00000000-0005-0000-0000-000008060000}"/>
    <cellStyle name="_SECTION 7 - Summary P&amp;L with Graphs_Sceanrio 2 Update - Dec 2nd_Projections Pack (TM)" xfId="2217" xr:uid="{00000000-0005-0000-0000-000009060000}"/>
    <cellStyle name="_SECTION 7 - Summary P&amp;L with Graphs_Sceanrio 2 Update - Dec 2nd_Quasi Rent Illustration" xfId="2218" xr:uid="{00000000-0005-0000-0000-00000A060000}"/>
    <cellStyle name="_SECTION 7 - Summary P&amp;L with Graphs_Sheet1" xfId="2219" xr:uid="{00000000-0005-0000-0000-00000B060000}"/>
    <cellStyle name="_SECTION 7 - Summary P&amp;L with Graphs_YLC" xfId="2220" xr:uid="{00000000-0005-0000-0000-00000C060000}"/>
    <cellStyle name="_source" xfId="2980" xr:uid="{00000000-0005-0000-0000-00000D060000}"/>
    <cellStyle name="_source_03_ Clean LBO Model" xfId="2981" xr:uid="{00000000-0005-0000-0000-00000E060000}"/>
    <cellStyle name="_source_05_ Clean LBO Model" xfId="2982" xr:uid="{00000000-0005-0000-0000-00000F060000}"/>
    <cellStyle name="_source_08 Valuation Model incl. new BP" xfId="2983" xr:uid="{00000000-0005-0000-0000-000010060000}"/>
    <cellStyle name="_source_09 Valuation Model incl. new BP" xfId="2984" xr:uid="{00000000-0005-0000-0000-000011060000}"/>
    <cellStyle name="_source_13 Valuation Model incl. new BP" xfId="2985" xr:uid="{00000000-0005-0000-0000-000012060000}"/>
    <cellStyle name="_source_14 Valuation Model incl. new BP" xfId="2986" xr:uid="{00000000-0005-0000-0000-000013060000}"/>
    <cellStyle name="_source_15_ Clean LBO Model" xfId="2987" xr:uid="{00000000-0005-0000-0000-000014060000}"/>
    <cellStyle name="_source_20 Valuation Model incl. new BP" xfId="2988" xr:uid="{00000000-0005-0000-0000-000015060000}"/>
    <cellStyle name="_source_25 Valuation Model incl. new BP" xfId="2989" xr:uid="{00000000-0005-0000-0000-000016060000}"/>
    <cellStyle name="_source_33 Valuation Model incl. new BP" xfId="2990" xr:uid="{00000000-0005-0000-0000-000017060000}"/>
    <cellStyle name="_source_34 Valuation Model incl. new BP" xfId="2991" xr:uid="{00000000-0005-0000-0000-000018060000}"/>
    <cellStyle name="_source_37 Valuation Model incl. new BP" xfId="2992" xr:uid="{00000000-0005-0000-0000-000019060000}"/>
    <cellStyle name="_source_38 Valuation Model incl. new BP" xfId="2993" xr:uid="{00000000-0005-0000-0000-00001A060000}"/>
    <cellStyle name="_source_39 Valuation Model incl. new BP" xfId="2994" xr:uid="{00000000-0005-0000-0000-00001B060000}"/>
    <cellStyle name="_source_40 Valuation Model incl. new BP" xfId="2995" xr:uid="{00000000-0005-0000-0000-00001C060000}"/>
    <cellStyle name="_source_44 Valuation Model incl. new BP" xfId="2996" xr:uid="{00000000-0005-0000-0000-00001D060000}"/>
    <cellStyle name="_South East" xfId="2221" xr:uid="{00000000-0005-0000-0000-00001E060000}"/>
    <cellStyle name="_South East_Covenants_draft_260412" xfId="2222" xr:uid="{00000000-0005-0000-0000-00001F060000}"/>
    <cellStyle name="_South East_Head Office Pack - Draft 1" xfId="2223" xr:uid="{00000000-0005-0000-0000-000020060000}"/>
    <cellStyle name="_South East_Head Office Pack - Draft 4" xfId="2224" xr:uid="{00000000-0005-0000-0000-000021060000}"/>
    <cellStyle name="_South East_Property Budget 2011" xfId="2225" xr:uid="{00000000-0005-0000-0000-000022060000}"/>
    <cellStyle name="_South East_Property Budget 2011_Covenants_draft_260412" xfId="2226" xr:uid="{00000000-0005-0000-0000-000023060000}"/>
    <cellStyle name="_South East_Property Budget 2011_Marketing &amp; Product" xfId="2227" xr:uid="{00000000-0005-0000-0000-000024060000}"/>
    <cellStyle name="_South East_Sheet1" xfId="2228" xr:uid="{00000000-0005-0000-0000-000025060000}"/>
    <cellStyle name="_South West &amp; Surrey" xfId="2229" xr:uid="{00000000-0005-0000-0000-000026060000}"/>
    <cellStyle name="_South West &amp; Surrey_Covenants_draft_260412" xfId="2230" xr:uid="{00000000-0005-0000-0000-000027060000}"/>
    <cellStyle name="_South West &amp; Surrey_Head Office Pack - Draft 1" xfId="2231" xr:uid="{00000000-0005-0000-0000-000028060000}"/>
    <cellStyle name="_South West &amp; Surrey_Head Office Pack - Draft 4" xfId="2232" xr:uid="{00000000-0005-0000-0000-000029060000}"/>
    <cellStyle name="_South West &amp; Surrey_Property Budget 2011" xfId="2233" xr:uid="{00000000-0005-0000-0000-00002A060000}"/>
    <cellStyle name="_South West &amp; Surrey_Property Budget 2011_Covenants_draft_260412" xfId="2234" xr:uid="{00000000-0005-0000-0000-00002B060000}"/>
    <cellStyle name="_South West &amp; Surrey_Property Budget 2011_Marketing &amp; Product" xfId="2235" xr:uid="{00000000-0005-0000-0000-00002C060000}"/>
    <cellStyle name="_South West &amp; Surrey_Sheet1" xfId="2236" xr:uid="{00000000-0005-0000-0000-00002D060000}"/>
    <cellStyle name="_SubHeading" xfId="412" xr:uid="{00000000-0005-0000-0000-00002E060000}"/>
    <cellStyle name="_SubHeading_01 Capital Structure" xfId="2997" xr:uid="{00000000-0005-0000-0000-00002F060000}"/>
    <cellStyle name="_SubHeading_01 Capital Structure_03_ Clean LBO Model" xfId="2998" xr:uid="{00000000-0005-0000-0000-000030060000}"/>
    <cellStyle name="_SubHeading_01 Capital Structure_05_ Clean LBO Model" xfId="2999" xr:uid="{00000000-0005-0000-0000-000031060000}"/>
    <cellStyle name="_SubHeading_01 Capital Structure_08 Valuation Model incl. new BP" xfId="3000" xr:uid="{00000000-0005-0000-0000-000032060000}"/>
    <cellStyle name="_SubHeading_01 Capital Structure_09 Valuation Model incl. new BP" xfId="3001" xr:uid="{00000000-0005-0000-0000-000033060000}"/>
    <cellStyle name="_SubHeading_01 Capital Structure_13 Valuation Model incl. new BP" xfId="3002" xr:uid="{00000000-0005-0000-0000-000034060000}"/>
    <cellStyle name="_SubHeading_01 Capital Structure_14 Valuation Model incl. new BP" xfId="3003" xr:uid="{00000000-0005-0000-0000-000035060000}"/>
    <cellStyle name="_SubHeading_01 Capital Structure_15_ Clean LBO Model" xfId="3004" xr:uid="{00000000-0005-0000-0000-000036060000}"/>
    <cellStyle name="_SubHeading_01 Capital Structure_20 Valuation Model incl. new BP" xfId="3005" xr:uid="{00000000-0005-0000-0000-000037060000}"/>
    <cellStyle name="_SubHeading_01 Capital Structure_25 Valuation Model incl. new BP" xfId="3006" xr:uid="{00000000-0005-0000-0000-000038060000}"/>
    <cellStyle name="_SubHeading_01 Capital Structure_33 Valuation Model incl. new BP" xfId="3007" xr:uid="{00000000-0005-0000-0000-000039060000}"/>
    <cellStyle name="_SubHeading_01 Capital Structure_34 Valuation Model incl. new BP" xfId="3008" xr:uid="{00000000-0005-0000-0000-00003A060000}"/>
    <cellStyle name="_SubHeading_01 Capital Structure_37 Valuation Model incl. new BP" xfId="3009" xr:uid="{00000000-0005-0000-0000-00003B060000}"/>
    <cellStyle name="_SubHeading_01 Capital Structure_38 Valuation Model incl. new BP" xfId="3010" xr:uid="{00000000-0005-0000-0000-00003C060000}"/>
    <cellStyle name="_SubHeading_01 Capital Structure_39 Valuation Model incl. new BP" xfId="3011" xr:uid="{00000000-0005-0000-0000-00003D060000}"/>
    <cellStyle name="_SubHeading_01 Capital Structure_40 Valuation Model incl. new BP" xfId="3012" xr:uid="{00000000-0005-0000-0000-00003E060000}"/>
    <cellStyle name="_SubHeading_01 Capital Structure_44 Valuation Model incl. new BP" xfId="3013" xr:uid="{00000000-0005-0000-0000-00003F060000}"/>
    <cellStyle name="_SubHeading_01 Offering Breakdown" xfId="3014" xr:uid="{00000000-0005-0000-0000-000040060000}"/>
    <cellStyle name="_SubHeading_02 DCF" xfId="3015" xr:uid="{00000000-0005-0000-0000-000041060000}"/>
    <cellStyle name="_SubHeading_02 Enersys Merger Plan" xfId="3016" xr:uid="{00000000-0005-0000-0000-000042060000}"/>
    <cellStyle name="_SubHeading_02 Enersys Merger Plan_03_ Clean LBO Model" xfId="3017" xr:uid="{00000000-0005-0000-0000-000043060000}"/>
    <cellStyle name="_SubHeading_02 Enersys Merger Plan_05_ Clean LBO Model" xfId="3018" xr:uid="{00000000-0005-0000-0000-000044060000}"/>
    <cellStyle name="_SubHeading_02 Enersys Merger Plan_08 Valuation Model incl. new BP" xfId="3019" xr:uid="{00000000-0005-0000-0000-000045060000}"/>
    <cellStyle name="_SubHeading_02 Enersys Merger Plan_09 Valuation Model incl. new BP" xfId="3020" xr:uid="{00000000-0005-0000-0000-000046060000}"/>
    <cellStyle name="_SubHeading_02 Enersys Merger Plan_13 Valuation Model incl. new BP" xfId="3021" xr:uid="{00000000-0005-0000-0000-000047060000}"/>
    <cellStyle name="_SubHeading_02 Enersys Merger Plan_14 Valuation Model incl. new BP" xfId="3022" xr:uid="{00000000-0005-0000-0000-000048060000}"/>
    <cellStyle name="_SubHeading_02 Enersys Merger Plan_15_ Clean LBO Model" xfId="3023" xr:uid="{00000000-0005-0000-0000-000049060000}"/>
    <cellStyle name="_SubHeading_02 Enersys Merger Plan_20 Valuation Model incl. new BP" xfId="3024" xr:uid="{00000000-0005-0000-0000-00004A060000}"/>
    <cellStyle name="_SubHeading_02 Enersys Merger Plan_25 Valuation Model incl. new BP" xfId="3025" xr:uid="{00000000-0005-0000-0000-00004B060000}"/>
    <cellStyle name="_SubHeading_02 Enersys Merger Plan_33 Valuation Model incl. new BP" xfId="3026" xr:uid="{00000000-0005-0000-0000-00004C060000}"/>
    <cellStyle name="_SubHeading_02 Enersys Merger Plan_34 Valuation Model incl. new BP" xfId="3027" xr:uid="{00000000-0005-0000-0000-00004D060000}"/>
    <cellStyle name="_SubHeading_02 Enersys Merger Plan_37 Valuation Model incl. new BP" xfId="3028" xr:uid="{00000000-0005-0000-0000-00004E060000}"/>
    <cellStyle name="_SubHeading_02 Enersys Merger Plan_38 Valuation Model incl. new BP" xfId="3029" xr:uid="{00000000-0005-0000-0000-00004F060000}"/>
    <cellStyle name="_SubHeading_02 Enersys Merger Plan_39 Valuation Model incl. new BP" xfId="3030" xr:uid="{00000000-0005-0000-0000-000050060000}"/>
    <cellStyle name="_SubHeading_02 Enersys Merger Plan_40 Valuation Model incl. new BP" xfId="3031" xr:uid="{00000000-0005-0000-0000-000051060000}"/>
    <cellStyle name="_SubHeading_02 Enersys Merger Plan_44 Valuation Model incl. new BP" xfId="3032" xr:uid="{00000000-0005-0000-0000-000052060000}"/>
    <cellStyle name="_SubHeading_02 Mobile CSC" xfId="3033" xr:uid="{00000000-0005-0000-0000-000053060000}"/>
    <cellStyle name="_SubHeading_02 TDC Merger Plan" xfId="3034" xr:uid="{00000000-0005-0000-0000-000054060000}"/>
    <cellStyle name="_SubHeading_02 TDC Merger Plan_03_ Clean LBO Model" xfId="3035" xr:uid="{00000000-0005-0000-0000-000055060000}"/>
    <cellStyle name="_SubHeading_02 TDC Merger Plan_05_ Clean LBO Model" xfId="3036" xr:uid="{00000000-0005-0000-0000-000056060000}"/>
    <cellStyle name="_SubHeading_02 TDC Merger Plan_08 Valuation Model incl. new BP" xfId="3037" xr:uid="{00000000-0005-0000-0000-000057060000}"/>
    <cellStyle name="_SubHeading_02 TDC Merger Plan_09 Valuation Model incl. new BP" xfId="3038" xr:uid="{00000000-0005-0000-0000-000058060000}"/>
    <cellStyle name="_SubHeading_02 TDC Merger Plan_13 Valuation Model incl. new BP" xfId="3039" xr:uid="{00000000-0005-0000-0000-000059060000}"/>
    <cellStyle name="_SubHeading_02 TDC Merger Plan_14 Valuation Model incl. new BP" xfId="3040" xr:uid="{00000000-0005-0000-0000-00005A060000}"/>
    <cellStyle name="_SubHeading_02 TDC Merger Plan_15_ Clean LBO Model" xfId="3041" xr:uid="{00000000-0005-0000-0000-00005B060000}"/>
    <cellStyle name="_SubHeading_02 TDC Merger Plan_20 Valuation Model incl. new BP" xfId="3042" xr:uid="{00000000-0005-0000-0000-00005C060000}"/>
    <cellStyle name="_SubHeading_02 TDC Merger Plan_25 Valuation Model incl. new BP" xfId="3043" xr:uid="{00000000-0005-0000-0000-00005D060000}"/>
    <cellStyle name="_SubHeading_02 TDC Merger Plan_33 Valuation Model incl. new BP" xfId="3044" xr:uid="{00000000-0005-0000-0000-00005E060000}"/>
    <cellStyle name="_SubHeading_02 TDC Merger Plan_34 Valuation Model incl. new BP" xfId="3045" xr:uid="{00000000-0005-0000-0000-00005F060000}"/>
    <cellStyle name="_SubHeading_02 TDC Merger Plan_37 Valuation Model incl. new BP" xfId="3046" xr:uid="{00000000-0005-0000-0000-000060060000}"/>
    <cellStyle name="_SubHeading_02 TDC Merger Plan_38 Valuation Model incl. new BP" xfId="3047" xr:uid="{00000000-0005-0000-0000-000061060000}"/>
    <cellStyle name="_SubHeading_02 TDC Merger Plan_39 Valuation Model incl. new BP" xfId="3048" xr:uid="{00000000-0005-0000-0000-000062060000}"/>
    <cellStyle name="_SubHeading_02 TDC Merger Plan_40 Valuation Model incl. new BP" xfId="3049" xr:uid="{00000000-0005-0000-0000-000063060000}"/>
    <cellStyle name="_SubHeading_02 TDC Merger Plan_44 Valuation Model incl. new BP" xfId="3050" xr:uid="{00000000-0005-0000-0000-000064060000}"/>
    <cellStyle name="_SubHeading_02 WACC Analysis" xfId="413" xr:uid="{00000000-0005-0000-0000-000065060000}"/>
    <cellStyle name="_SubHeading_03 Total Expenses" xfId="3051" xr:uid="{00000000-0005-0000-0000-000066060000}"/>
    <cellStyle name="_SubHeading_04 Volatility" xfId="3052" xr:uid="{00000000-0005-0000-0000-000067060000}"/>
    <cellStyle name="_SubHeading_07 Model Alcatel OFD Sept-03" xfId="3053" xr:uid="{00000000-0005-0000-0000-000068060000}"/>
    <cellStyle name="_SubHeading_10 LBO Model Packoma oct 2003" xfId="3054" xr:uid="{00000000-0005-0000-0000-000069060000}"/>
    <cellStyle name="_SubHeading_16 Detail of Key Metrics_mario marco" xfId="2237" xr:uid="{00000000-0005-0000-0000-00006A060000}"/>
    <cellStyle name="_SubHeading_19 Valuation of Cegetel" xfId="3055" xr:uid="{00000000-0005-0000-0000-00006B060000}"/>
    <cellStyle name="_SubHeading_19 Valuation of Cegetel_03_ Clean LBO Model" xfId="3056" xr:uid="{00000000-0005-0000-0000-00006C060000}"/>
    <cellStyle name="_SubHeading_19 Valuation of Cegetel_05_ Clean LBO Model" xfId="3057" xr:uid="{00000000-0005-0000-0000-00006D060000}"/>
    <cellStyle name="_SubHeading_19 Valuation of Cegetel_08 Valuation Model incl. new BP" xfId="3058" xr:uid="{00000000-0005-0000-0000-00006E060000}"/>
    <cellStyle name="_SubHeading_19 Valuation of Cegetel_09 Valuation Model incl. new BP" xfId="3059" xr:uid="{00000000-0005-0000-0000-00006F060000}"/>
    <cellStyle name="_SubHeading_19 Valuation of Cegetel_13 Valuation Model incl. new BP" xfId="3060" xr:uid="{00000000-0005-0000-0000-000070060000}"/>
    <cellStyle name="_SubHeading_19 Valuation of Cegetel_14 Valuation Model incl. new BP" xfId="3061" xr:uid="{00000000-0005-0000-0000-000071060000}"/>
    <cellStyle name="_SubHeading_19 Valuation of Cegetel_15_ Clean LBO Model" xfId="3062" xr:uid="{00000000-0005-0000-0000-000072060000}"/>
    <cellStyle name="_SubHeading_19 Valuation of Cegetel_20 Valuation Model incl. new BP" xfId="3063" xr:uid="{00000000-0005-0000-0000-000073060000}"/>
    <cellStyle name="_SubHeading_19 Valuation of Cegetel_25 Valuation Model incl. new BP" xfId="3064" xr:uid="{00000000-0005-0000-0000-000074060000}"/>
    <cellStyle name="_SubHeading_19 Valuation of Cegetel_33 Valuation Model incl. new BP" xfId="3065" xr:uid="{00000000-0005-0000-0000-000075060000}"/>
    <cellStyle name="_SubHeading_19 Valuation of Cegetel_34 Valuation Model incl. new BP" xfId="3066" xr:uid="{00000000-0005-0000-0000-000076060000}"/>
    <cellStyle name="_SubHeading_19 Valuation of Cegetel_37 Valuation Model incl. new BP" xfId="3067" xr:uid="{00000000-0005-0000-0000-000077060000}"/>
    <cellStyle name="_SubHeading_19 Valuation of Cegetel_38 Valuation Model incl. new BP" xfId="3068" xr:uid="{00000000-0005-0000-0000-000078060000}"/>
    <cellStyle name="_SubHeading_19 Valuation of Cegetel_39 Valuation Model incl. new BP" xfId="3069" xr:uid="{00000000-0005-0000-0000-000079060000}"/>
    <cellStyle name="_SubHeading_19 Valuation of Cegetel_40 Valuation Model incl. new BP" xfId="3070" xr:uid="{00000000-0005-0000-0000-00007A060000}"/>
    <cellStyle name="_SubHeading_19 Valuation of Cegetel_44 Valuation Model incl. new BP" xfId="3071" xr:uid="{00000000-0005-0000-0000-00007B060000}"/>
    <cellStyle name="_SubHeading_190503 Model2" xfId="3072" xr:uid="{00000000-0005-0000-0000-00007C060000}"/>
    <cellStyle name="_SubHeading_20 Operational Model" xfId="3073" xr:uid="{00000000-0005-0000-0000-00007D060000}"/>
    <cellStyle name="_SubHeading_44 Valuation Model incl. new BP" xfId="3074" xr:uid="{00000000-0005-0000-0000-00007E060000}"/>
    <cellStyle name="_SubHeading_58_Model Rexel_Scenarios" xfId="3075" xr:uid="{00000000-0005-0000-0000-00007F060000}"/>
    <cellStyle name="_SubHeading_beta rider" xfId="3076" xr:uid="{00000000-0005-0000-0000-000080060000}"/>
    <cellStyle name="_SubHeading_Betas" xfId="414" xr:uid="{00000000-0005-0000-0000-000081060000}"/>
    <cellStyle name="_SubHeading_Cairo LBO model - Sept 06" xfId="415" xr:uid="{00000000-0005-0000-0000-000082060000}"/>
    <cellStyle name="_SubHeading_carrefour sa carsons ownership" xfId="3077" xr:uid="{00000000-0005-0000-0000-000083060000}"/>
    <cellStyle name="_SubHeading_CSC 10_03_01 (David Brown_85B)" xfId="416" xr:uid="{00000000-0005-0000-0000-000084060000}"/>
    <cellStyle name="_SubHeading_EBITDA to Growth" xfId="3078" xr:uid="{00000000-0005-0000-0000-000085060000}"/>
    <cellStyle name="_SubHeading_Financials &amp; Valuation v16 Indigo" xfId="3079" xr:uid="{00000000-0005-0000-0000-000086060000}"/>
    <cellStyle name="_SubHeading_Marionnaud DCF S))_x0008__x0008_03" xfId="3080" xr:uid="{00000000-0005-0000-0000-000087060000}"/>
    <cellStyle name="_SubHeading_Marionnaud Model_15April" xfId="3081" xr:uid="{00000000-0005-0000-0000-000088060000}"/>
    <cellStyle name="_SubHeading_Numico GS Research Model 23-Aug-2002" xfId="3082" xr:uid="{00000000-0005-0000-0000-000089060000}"/>
    <cellStyle name="_SubHeading_Numico GS Research Model 23-Aug-2002_03_ Clean LBO Model" xfId="3083" xr:uid="{00000000-0005-0000-0000-00008A060000}"/>
    <cellStyle name="_SubHeading_Numico GS Research Model 23-Aug-2002_05_ Clean LBO Model" xfId="3084" xr:uid="{00000000-0005-0000-0000-00008B060000}"/>
    <cellStyle name="_SubHeading_Numico GS Research Model 23-Aug-2002_08 Valuation Model incl. new BP" xfId="3085" xr:uid="{00000000-0005-0000-0000-00008C060000}"/>
    <cellStyle name="_SubHeading_Numico GS Research Model 23-Aug-2002_09 Valuation Model incl. new BP" xfId="3086" xr:uid="{00000000-0005-0000-0000-00008D060000}"/>
    <cellStyle name="_SubHeading_Numico GS Research Model 23-Aug-2002_13 Valuation Model incl. new BP" xfId="3087" xr:uid="{00000000-0005-0000-0000-00008E060000}"/>
    <cellStyle name="_SubHeading_Numico GS Research Model 23-Aug-2002_14 Valuation Model incl. new BP" xfId="3088" xr:uid="{00000000-0005-0000-0000-00008F060000}"/>
    <cellStyle name="_SubHeading_Numico GS Research Model 23-Aug-2002_15_ Clean LBO Model" xfId="3089" xr:uid="{00000000-0005-0000-0000-000090060000}"/>
    <cellStyle name="_SubHeading_Numico GS Research Model 23-Aug-2002_20 Valuation Model incl. new BP" xfId="3090" xr:uid="{00000000-0005-0000-0000-000091060000}"/>
    <cellStyle name="_SubHeading_Numico GS Research Model 23-Aug-2002_25 Valuation Model incl. new BP" xfId="3091" xr:uid="{00000000-0005-0000-0000-000092060000}"/>
    <cellStyle name="_SubHeading_Numico GS Research Model 23-Aug-2002_33 Valuation Model incl. new BP" xfId="3092" xr:uid="{00000000-0005-0000-0000-000093060000}"/>
    <cellStyle name="_SubHeading_Numico GS Research Model 23-Aug-2002_34 Valuation Model incl. new BP" xfId="3093" xr:uid="{00000000-0005-0000-0000-000094060000}"/>
    <cellStyle name="_SubHeading_Numico GS Research Model 23-Aug-2002_37 Valuation Model incl. new BP" xfId="3094" xr:uid="{00000000-0005-0000-0000-000095060000}"/>
    <cellStyle name="_SubHeading_Numico GS Research Model 23-Aug-2002_38 Valuation Model incl. new BP" xfId="3095" xr:uid="{00000000-0005-0000-0000-000096060000}"/>
    <cellStyle name="_SubHeading_Numico GS Research Model 23-Aug-2002_39 Valuation Model incl. new BP" xfId="3096" xr:uid="{00000000-0005-0000-0000-000097060000}"/>
    <cellStyle name="_SubHeading_Numico GS Research Model 23-Aug-2002_40 Valuation Model incl. new BP" xfId="3097" xr:uid="{00000000-0005-0000-0000-000098060000}"/>
    <cellStyle name="_SubHeading_Numico GS Research Model 23-Aug-2002_44 Valuation Model incl. new BP" xfId="3098" xr:uid="{00000000-0005-0000-0000-000099060000}"/>
    <cellStyle name="_SubHeading_Numico GS Research Model 23-Aug-2002_CSC July 24" xfId="3099" xr:uid="{00000000-0005-0000-0000-00009A060000}"/>
    <cellStyle name="_SubHeading_Offering Breakdown - 09-Jun -2005" xfId="3100" xr:uid="{00000000-0005-0000-0000-00009B060000}"/>
    <cellStyle name="_SubHeading_prestemp" xfId="417" xr:uid="{00000000-0005-0000-0000-00009C060000}"/>
    <cellStyle name="_SubHeading_SantaLucia Debt Coverage analysis - 12 June 2001" xfId="3101" xr:uid="{00000000-0005-0000-0000-00009D060000}"/>
    <cellStyle name="_SubHeading_Sensitivity analysis on synergies (amended)" xfId="3102" xr:uid="{00000000-0005-0000-0000-00009E060000}"/>
    <cellStyle name="_SubHeading_StockGroupKeyFinancials" xfId="418" xr:uid="{00000000-0005-0000-0000-00009F060000}"/>
    <cellStyle name="_SubHeading_Volatility" xfId="3103" xr:uid="{00000000-0005-0000-0000-0000A0060000}"/>
    <cellStyle name="_Table" xfId="419" xr:uid="{00000000-0005-0000-0000-0000A1060000}"/>
    <cellStyle name="_Table 2" xfId="3645" xr:uid="{00000000-0005-0000-0000-0000A2060000}"/>
    <cellStyle name="_Table_01 Capital Structure" xfId="3104" xr:uid="{00000000-0005-0000-0000-0000A3060000}"/>
    <cellStyle name="_Table_01 Capital Structure 2" xfId="3716" xr:uid="{00000000-0005-0000-0000-0000A4060000}"/>
    <cellStyle name="_Table_01 Capital Structure_03_ Clean LBO Model" xfId="3105" xr:uid="{00000000-0005-0000-0000-0000A5060000}"/>
    <cellStyle name="_Table_01 Capital Structure_03_ Clean LBO Model 2" xfId="3717" xr:uid="{00000000-0005-0000-0000-0000A6060000}"/>
    <cellStyle name="_Table_01 Capital Structure_05_ Clean LBO Model" xfId="3106" xr:uid="{00000000-0005-0000-0000-0000A7060000}"/>
    <cellStyle name="_Table_01 Capital Structure_05_ Clean LBO Model 2" xfId="3718" xr:uid="{00000000-0005-0000-0000-0000A8060000}"/>
    <cellStyle name="_Table_01 Capital Structure_08 Valuation Model incl. new BP" xfId="3107" xr:uid="{00000000-0005-0000-0000-0000A9060000}"/>
    <cellStyle name="_Table_01 Capital Structure_08 Valuation Model incl. new BP 2" xfId="3719" xr:uid="{00000000-0005-0000-0000-0000AA060000}"/>
    <cellStyle name="_Table_01 Capital Structure_09 Valuation Model incl. new BP" xfId="3108" xr:uid="{00000000-0005-0000-0000-0000AB060000}"/>
    <cellStyle name="_Table_01 Capital Structure_09 Valuation Model incl. new BP 2" xfId="3720" xr:uid="{00000000-0005-0000-0000-0000AC060000}"/>
    <cellStyle name="_Table_01 Capital Structure_13 Valuation Model incl. new BP" xfId="3109" xr:uid="{00000000-0005-0000-0000-0000AD060000}"/>
    <cellStyle name="_Table_01 Capital Structure_13 Valuation Model incl. new BP 2" xfId="3721" xr:uid="{00000000-0005-0000-0000-0000AE060000}"/>
    <cellStyle name="_Table_01 Capital Structure_14 Valuation Model incl. new BP" xfId="3110" xr:uid="{00000000-0005-0000-0000-0000AF060000}"/>
    <cellStyle name="_Table_01 Capital Structure_14 Valuation Model incl. new BP 2" xfId="3722" xr:uid="{00000000-0005-0000-0000-0000B0060000}"/>
    <cellStyle name="_Table_01 Capital Structure_15_ Clean LBO Model" xfId="3111" xr:uid="{00000000-0005-0000-0000-0000B1060000}"/>
    <cellStyle name="_Table_01 Capital Structure_15_ Clean LBO Model 2" xfId="3723" xr:uid="{00000000-0005-0000-0000-0000B2060000}"/>
    <cellStyle name="_Table_01 Capital Structure_20 Valuation Model incl. new BP" xfId="3112" xr:uid="{00000000-0005-0000-0000-0000B3060000}"/>
    <cellStyle name="_Table_01 Capital Structure_20 Valuation Model incl. new BP 2" xfId="3724" xr:uid="{00000000-0005-0000-0000-0000B4060000}"/>
    <cellStyle name="_Table_01 Capital Structure_25 Valuation Model incl. new BP" xfId="3113" xr:uid="{00000000-0005-0000-0000-0000B5060000}"/>
    <cellStyle name="_Table_01 Capital Structure_25 Valuation Model incl. new BP 2" xfId="3725" xr:uid="{00000000-0005-0000-0000-0000B6060000}"/>
    <cellStyle name="_Table_01 Capital Structure_33 Valuation Model incl. new BP" xfId="3114" xr:uid="{00000000-0005-0000-0000-0000B7060000}"/>
    <cellStyle name="_Table_01 Capital Structure_33 Valuation Model incl. new BP 2" xfId="3726" xr:uid="{00000000-0005-0000-0000-0000B8060000}"/>
    <cellStyle name="_Table_01 Capital Structure_34 Valuation Model incl. new BP" xfId="3115" xr:uid="{00000000-0005-0000-0000-0000B9060000}"/>
    <cellStyle name="_Table_01 Capital Structure_34 Valuation Model incl. new BP 2" xfId="3727" xr:uid="{00000000-0005-0000-0000-0000BA060000}"/>
    <cellStyle name="_Table_01 Capital Structure_37 Valuation Model incl. new BP" xfId="3116" xr:uid="{00000000-0005-0000-0000-0000BB060000}"/>
    <cellStyle name="_Table_01 Capital Structure_37 Valuation Model incl. new BP 2" xfId="3728" xr:uid="{00000000-0005-0000-0000-0000BC060000}"/>
    <cellStyle name="_Table_01 Capital Structure_38 Valuation Model incl. new BP" xfId="3117" xr:uid="{00000000-0005-0000-0000-0000BD060000}"/>
    <cellStyle name="_Table_01 Capital Structure_38 Valuation Model incl. new BP 2" xfId="3729" xr:uid="{00000000-0005-0000-0000-0000BE060000}"/>
    <cellStyle name="_Table_01 Capital Structure_39 Valuation Model incl. new BP" xfId="3118" xr:uid="{00000000-0005-0000-0000-0000BF060000}"/>
    <cellStyle name="_Table_01 Capital Structure_39 Valuation Model incl. new BP 2" xfId="3730" xr:uid="{00000000-0005-0000-0000-0000C0060000}"/>
    <cellStyle name="_Table_01 Capital Structure_40 Valuation Model incl. new BP" xfId="3119" xr:uid="{00000000-0005-0000-0000-0000C1060000}"/>
    <cellStyle name="_Table_01 Capital Structure_40 Valuation Model incl. new BP 2" xfId="3731" xr:uid="{00000000-0005-0000-0000-0000C2060000}"/>
    <cellStyle name="_Table_01 Capital Structure_44 Valuation Model incl. new BP" xfId="3120" xr:uid="{00000000-0005-0000-0000-0000C3060000}"/>
    <cellStyle name="_Table_01 Capital Structure_44 Valuation Model incl. new BP 2" xfId="3732" xr:uid="{00000000-0005-0000-0000-0000C4060000}"/>
    <cellStyle name="_Table_01 Offering Breakdown" xfId="3121" xr:uid="{00000000-0005-0000-0000-0000C5060000}"/>
    <cellStyle name="_Table_01 Offering Breakdown 2" xfId="3733" xr:uid="{00000000-0005-0000-0000-0000C6060000}"/>
    <cellStyle name="_Table_02 DCF" xfId="3122" xr:uid="{00000000-0005-0000-0000-0000C7060000}"/>
    <cellStyle name="_Table_02 DCF 2" xfId="3734" xr:uid="{00000000-0005-0000-0000-0000C8060000}"/>
    <cellStyle name="_Table_02 Enersys Merger Plan" xfId="3123" xr:uid="{00000000-0005-0000-0000-0000C9060000}"/>
    <cellStyle name="_Table_02 Enersys Merger Plan 2" xfId="3735" xr:uid="{00000000-0005-0000-0000-0000CA060000}"/>
    <cellStyle name="_Table_02 Enersys Merger Plan_03_ Clean LBO Model" xfId="3124" xr:uid="{00000000-0005-0000-0000-0000CB060000}"/>
    <cellStyle name="_Table_02 Enersys Merger Plan_03_ Clean LBO Model 2" xfId="3736" xr:uid="{00000000-0005-0000-0000-0000CC060000}"/>
    <cellStyle name="_Table_02 Enersys Merger Plan_05_ Clean LBO Model" xfId="3125" xr:uid="{00000000-0005-0000-0000-0000CD060000}"/>
    <cellStyle name="_Table_02 Enersys Merger Plan_05_ Clean LBO Model 2" xfId="3737" xr:uid="{00000000-0005-0000-0000-0000CE060000}"/>
    <cellStyle name="_Table_02 Enersys Merger Plan_08 Valuation Model incl. new BP" xfId="3126" xr:uid="{00000000-0005-0000-0000-0000CF060000}"/>
    <cellStyle name="_Table_02 Enersys Merger Plan_08 Valuation Model incl. new BP 2" xfId="3738" xr:uid="{00000000-0005-0000-0000-0000D0060000}"/>
    <cellStyle name="_Table_02 Enersys Merger Plan_09 Valuation Model incl. new BP" xfId="3127" xr:uid="{00000000-0005-0000-0000-0000D1060000}"/>
    <cellStyle name="_Table_02 Enersys Merger Plan_09 Valuation Model incl. new BP 2" xfId="3739" xr:uid="{00000000-0005-0000-0000-0000D2060000}"/>
    <cellStyle name="_Table_02 Enersys Merger Plan_13 Valuation Model incl. new BP" xfId="3128" xr:uid="{00000000-0005-0000-0000-0000D3060000}"/>
    <cellStyle name="_Table_02 Enersys Merger Plan_13 Valuation Model incl. new BP 2" xfId="3740" xr:uid="{00000000-0005-0000-0000-0000D4060000}"/>
    <cellStyle name="_Table_02 Enersys Merger Plan_14 Valuation Model incl. new BP" xfId="3129" xr:uid="{00000000-0005-0000-0000-0000D5060000}"/>
    <cellStyle name="_Table_02 Enersys Merger Plan_14 Valuation Model incl. new BP 2" xfId="3741" xr:uid="{00000000-0005-0000-0000-0000D6060000}"/>
    <cellStyle name="_Table_02 Enersys Merger Plan_15_ Clean LBO Model" xfId="3130" xr:uid="{00000000-0005-0000-0000-0000D7060000}"/>
    <cellStyle name="_Table_02 Enersys Merger Plan_15_ Clean LBO Model 2" xfId="3742" xr:uid="{00000000-0005-0000-0000-0000D8060000}"/>
    <cellStyle name="_Table_02 Enersys Merger Plan_20 Valuation Model incl. new BP" xfId="3131" xr:uid="{00000000-0005-0000-0000-0000D9060000}"/>
    <cellStyle name="_Table_02 Enersys Merger Plan_20 Valuation Model incl. new BP 2" xfId="3743" xr:uid="{00000000-0005-0000-0000-0000DA060000}"/>
    <cellStyle name="_Table_02 Enersys Merger Plan_25 Valuation Model incl. new BP" xfId="3132" xr:uid="{00000000-0005-0000-0000-0000DB060000}"/>
    <cellStyle name="_Table_02 Enersys Merger Plan_25 Valuation Model incl. new BP 2" xfId="3744" xr:uid="{00000000-0005-0000-0000-0000DC060000}"/>
    <cellStyle name="_Table_02 Enersys Merger Plan_33 Valuation Model incl. new BP" xfId="3133" xr:uid="{00000000-0005-0000-0000-0000DD060000}"/>
    <cellStyle name="_Table_02 Enersys Merger Plan_33 Valuation Model incl. new BP 2" xfId="3745" xr:uid="{00000000-0005-0000-0000-0000DE060000}"/>
    <cellStyle name="_Table_02 Enersys Merger Plan_34 Valuation Model incl. new BP" xfId="3134" xr:uid="{00000000-0005-0000-0000-0000DF060000}"/>
    <cellStyle name="_Table_02 Enersys Merger Plan_34 Valuation Model incl. new BP 2" xfId="3746" xr:uid="{00000000-0005-0000-0000-0000E0060000}"/>
    <cellStyle name="_Table_02 Enersys Merger Plan_37 Valuation Model incl. new BP" xfId="3135" xr:uid="{00000000-0005-0000-0000-0000E1060000}"/>
    <cellStyle name="_Table_02 Enersys Merger Plan_37 Valuation Model incl. new BP 2" xfId="3747" xr:uid="{00000000-0005-0000-0000-0000E2060000}"/>
    <cellStyle name="_Table_02 Enersys Merger Plan_38 Valuation Model incl. new BP" xfId="3136" xr:uid="{00000000-0005-0000-0000-0000E3060000}"/>
    <cellStyle name="_Table_02 Enersys Merger Plan_38 Valuation Model incl. new BP 2" xfId="3748" xr:uid="{00000000-0005-0000-0000-0000E4060000}"/>
    <cellStyle name="_Table_02 Enersys Merger Plan_39 Valuation Model incl. new BP" xfId="3137" xr:uid="{00000000-0005-0000-0000-0000E5060000}"/>
    <cellStyle name="_Table_02 Enersys Merger Plan_39 Valuation Model incl. new BP 2" xfId="3749" xr:uid="{00000000-0005-0000-0000-0000E6060000}"/>
    <cellStyle name="_Table_02 Enersys Merger Plan_40 Valuation Model incl. new BP" xfId="3138" xr:uid="{00000000-0005-0000-0000-0000E7060000}"/>
    <cellStyle name="_Table_02 Enersys Merger Plan_40 Valuation Model incl. new BP 2" xfId="3750" xr:uid="{00000000-0005-0000-0000-0000E8060000}"/>
    <cellStyle name="_Table_02 Enersys Merger Plan_44 Valuation Model incl. new BP" xfId="3139" xr:uid="{00000000-0005-0000-0000-0000E9060000}"/>
    <cellStyle name="_Table_02 Enersys Merger Plan_44 Valuation Model incl. new BP 2" xfId="3751" xr:uid="{00000000-0005-0000-0000-0000EA060000}"/>
    <cellStyle name="_Table_02 Mobile CSC" xfId="3140" xr:uid="{00000000-0005-0000-0000-0000EB060000}"/>
    <cellStyle name="_Table_02 Mobile CSC 2" xfId="3752" xr:uid="{00000000-0005-0000-0000-0000EC060000}"/>
    <cellStyle name="_Table_02 TDC Merger Plan" xfId="3141" xr:uid="{00000000-0005-0000-0000-0000ED060000}"/>
    <cellStyle name="_Table_02 TDC Merger Plan 2" xfId="3753" xr:uid="{00000000-0005-0000-0000-0000EE060000}"/>
    <cellStyle name="_Table_02 TDC Merger Plan_03_ Clean LBO Model" xfId="3142" xr:uid="{00000000-0005-0000-0000-0000EF060000}"/>
    <cellStyle name="_Table_02 TDC Merger Plan_03_ Clean LBO Model 2" xfId="3754" xr:uid="{00000000-0005-0000-0000-0000F0060000}"/>
    <cellStyle name="_Table_02 TDC Merger Plan_05_ Clean LBO Model" xfId="3143" xr:uid="{00000000-0005-0000-0000-0000F1060000}"/>
    <cellStyle name="_Table_02 TDC Merger Plan_05_ Clean LBO Model 2" xfId="3755" xr:uid="{00000000-0005-0000-0000-0000F2060000}"/>
    <cellStyle name="_Table_02 TDC Merger Plan_08 Valuation Model incl. new BP" xfId="3144" xr:uid="{00000000-0005-0000-0000-0000F3060000}"/>
    <cellStyle name="_Table_02 TDC Merger Plan_08 Valuation Model incl. new BP 2" xfId="3756" xr:uid="{00000000-0005-0000-0000-0000F4060000}"/>
    <cellStyle name="_Table_02 TDC Merger Plan_09 Valuation Model incl. new BP" xfId="3145" xr:uid="{00000000-0005-0000-0000-0000F5060000}"/>
    <cellStyle name="_Table_02 TDC Merger Plan_09 Valuation Model incl. new BP 2" xfId="3757" xr:uid="{00000000-0005-0000-0000-0000F6060000}"/>
    <cellStyle name="_Table_02 TDC Merger Plan_13 Valuation Model incl. new BP" xfId="3146" xr:uid="{00000000-0005-0000-0000-0000F7060000}"/>
    <cellStyle name="_Table_02 TDC Merger Plan_13 Valuation Model incl. new BP 2" xfId="3758" xr:uid="{00000000-0005-0000-0000-0000F8060000}"/>
    <cellStyle name="_Table_02 TDC Merger Plan_14 Valuation Model incl. new BP" xfId="3147" xr:uid="{00000000-0005-0000-0000-0000F9060000}"/>
    <cellStyle name="_Table_02 TDC Merger Plan_14 Valuation Model incl. new BP 2" xfId="3759" xr:uid="{00000000-0005-0000-0000-0000FA060000}"/>
    <cellStyle name="_Table_02 TDC Merger Plan_15_ Clean LBO Model" xfId="3148" xr:uid="{00000000-0005-0000-0000-0000FB060000}"/>
    <cellStyle name="_Table_02 TDC Merger Plan_15_ Clean LBO Model 2" xfId="3760" xr:uid="{00000000-0005-0000-0000-0000FC060000}"/>
    <cellStyle name="_Table_02 TDC Merger Plan_20 Valuation Model incl. new BP" xfId="3149" xr:uid="{00000000-0005-0000-0000-0000FD060000}"/>
    <cellStyle name="_Table_02 TDC Merger Plan_20 Valuation Model incl. new BP 2" xfId="3761" xr:uid="{00000000-0005-0000-0000-0000FE060000}"/>
    <cellStyle name="_Table_02 TDC Merger Plan_25 Valuation Model incl. new BP" xfId="3150" xr:uid="{00000000-0005-0000-0000-0000FF060000}"/>
    <cellStyle name="_Table_02 TDC Merger Plan_25 Valuation Model incl. new BP 2" xfId="3762" xr:uid="{00000000-0005-0000-0000-000000070000}"/>
    <cellStyle name="_Table_02 TDC Merger Plan_33 Valuation Model incl. new BP" xfId="3151" xr:uid="{00000000-0005-0000-0000-000001070000}"/>
    <cellStyle name="_Table_02 TDC Merger Plan_33 Valuation Model incl. new BP 2" xfId="3763" xr:uid="{00000000-0005-0000-0000-000002070000}"/>
    <cellStyle name="_Table_02 TDC Merger Plan_34 Valuation Model incl. new BP" xfId="3152" xr:uid="{00000000-0005-0000-0000-000003070000}"/>
    <cellStyle name="_Table_02 TDC Merger Plan_34 Valuation Model incl. new BP 2" xfId="3764" xr:uid="{00000000-0005-0000-0000-000004070000}"/>
    <cellStyle name="_Table_02 TDC Merger Plan_37 Valuation Model incl. new BP" xfId="3153" xr:uid="{00000000-0005-0000-0000-000005070000}"/>
    <cellStyle name="_Table_02 TDC Merger Plan_37 Valuation Model incl. new BP 2" xfId="3765" xr:uid="{00000000-0005-0000-0000-000006070000}"/>
    <cellStyle name="_Table_02 TDC Merger Plan_38 Valuation Model incl. new BP" xfId="3154" xr:uid="{00000000-0005-0000-0000-000007070000}"/>
    <cellStyle name="_Table_02 TDC Merger Plan_38 Valuation Model incl. new BP 2" xfId="3766" xr:uid="{00000000-0005-0000-0000-000008070000}"/>
    <cellStyle name="_Table_02 TDC Merger Plan_39 Valuation Model incl. new BP" xfId="3155" xr:uid="{00000000-0005-0000-0000-000009070000}"/>
    <cellStyle name="_Table_02 TDC Merger Plan_39 Valuation Model incl. new BP 2" xfId="3767" xr:uid="{00000000-0005-0000-0000-00000A070000}"/>
    <cellStyle name="_Table_02 TDC Merger Plan_40 Valuation Model incl. new BP" xfId="3156" xr:uid="{00000000-0005-0000-0000-00000B070000}"/>
    <cellStyle name="_Table_02 TDC Merger Plan_40 Valuation Model incl. new BP 2" xfId="3768" xr:uid="{00000000-0005-0000-0000-00000C070000}"/>
    <cellStyle name="_Table_02 TDC Merger Plan_44 Valuation Model incl. new BP" xfId="3157" xr:uid="{00000000-0005-0000-0000-00000D070000}"/>
    <cellStyle name="_Table_02 TDC Merger Plan_44 Valuation Model incl. new BP 2" xfId="3769" xr:uid="{00000000-0005-0000-0000-00000E070000}"/>
    <cellStyle name="_Table_02 WACC Analysis" xfId="420" xr:uid="{00000000-0005-0000-0000-00000F070000}"/>
    <cellStyle name="_Table_02 WACC Analysis 2" xfId="3646" xr:uid="{00000000-0005-0000-0000-000010070000}"/>
    <cellStyle name="_Table_03 Total Expenses" xfId="3158" xr:uid="{00000000-0005-0000-0000-000011070000}"/>
    <cellStyle name="_Table_03 Total Expenses 2" xfId="3770" xr:uid="{00000000-0005-0000-0000-000012070000}"/>
    <cellStyle name="_Table_04 Volatility" xfId="3159" xr:uid="{00000000-0005-0000-0000-000013070000}"/>
    <cellStyle name="_Table_04 Volatility 2" xfId="3771" xr:uid="{00000000-0005-0000-0000-000014070000}"/>
    <cellStyle name="_Table_07 Model Alcatel OFD Sept-03" xfId="3160" xr:uid="{00000000-0005-0000-0000-000015070000}"/>
    <cellStyle name="_Table_07 Model Alcatel OFD Sept-03 2" xfId="3772" xr:uid="{00000000-0005-0000-0000-000016070000}"/>
    <cellStyle name="_Table_10- C-lion Merger and Valuation Analysis" xfId="3161" xr:uid="{00000000-0005-0000-0000-000017070000}"/>
    <cellStyle name="_Table_10 LBO Model Packoma oct 2003" xfId="3162" xr:uid="{00000000-0005-0000-0000-000018070000}"/>
    <cellStyle name="_Table_19 Valuation of Cegetel" xfId="3163" xr:uid="{00000000-0005-0000-0000-000019070000}"/>
    <cellStyle name="_Table_19 Valuation of Cegetel 2" xfId="3773" xr:uid="{00000000-0005-0000-0000-00001A070000}"/>
    <cellStyle name="_Table_19 Valuation of Cegetel_03_ Clean LBO Model" xfId="3164" xr:uid="{00000000-0005-0000-0000-00001B070000}"/>
    <cellStyle name="_Table_19 Valuation of Cegetel_03_ Clean LBO Model 2" xfId="3774" xr:uid="{00000000-0005-0000-0000-00001C070000}"/>
    <cellStyle name="_Table_19 Valuation of Cegetel_05_ Clean LBO Model" xfId="3165" xr:uid="{00000000-0005-0000-0000-00001D070000}"/>
    <cellStyle name="_Table_19 Valuation of Cegetel_05_ Clean LBO Model 2" xfId="3775" xr:uid="{00000000-0005-0000-0000-00001E070000}"/>
    <cellStyle name="_Table_19 Valuation of Cegetel_08 Valuation Model incl. new BP" xfId="3166" xr:uid="{00000000-0005-0000-0000-00001F070000}"/>
    <cellStyle name="_Table_19 Valuation of Cegetel_08 Valuation Model incl. new BP 2" xfId="3776" xr:uid="{00000000-0005-0000-0000-000020070000}"/>
    <cellStyle name="_Table_19 Valuation of Cegetel_09 Valuation Model incl. new BP" xfId="3167" xr:uid="{00000000-0005-0000-0000-000021070000}"/>
    <cellStyle name="_Table_19 Valuation of Cegetel_09 Valuation Model incl. new BP 2" xfId="3777" xr:uid="{00000000-0005-0000-0000-000022070000}"/>
    <cellStyle name="_Table_19 Valuation of Cegetel_13 Valuation Model incl. new BP" xfId="3168" xr:uid="{00000000-0005-0000-0000-000023070000}"/>
    <cellStyle name="_Table_19 Valuation of Cegetel_13 Valuation Model incl. new BP 2" xfId="3778" xr:uid="{00000000-0005-0000-0000-000024070000}"/>
    <cellStyle name="_Table_19 Valuation of Cegetel_14 Valuation Model incl. new BP" xfId="3169" xr:uid="{00000000-0005-0000-0000-000025070000}"/>
    <cellStyle name="_Table_19 Valuation of Cegetel_14 Valuation Model incl. new BP 2" xfId="3779" xr:uid="{00000000-0005-0000-0000-000026070000}"/>
    <cellStyle name="_Table_19 Valuation of Cegetel_15_ Clean LBO Model" xfId="3170" xr:uid="{00000000-0005-0000-0000-000027070000}"/>
    <cellStyle name="_Table_19 Valuation of Cegetel_15_ Clean LBO Model 2" xfId="3780" xr:uid="{00000000-0005-0000-0000-000028070000}"/>
    <cellStyle name="_Table_19 Valuation of Cegetel_20 Valuation Model incl. new BP" xfId="3171" xr:uid="{00000000-0005-0000-0000-000029070000}"/>
    <cellStyle name="_Table_19 Valuation of Cegetel_20 Valuation Model incl. new BP 2" xfId="3781" xr:uid="{00000000-0005-0000-0000-00002A070000}"/>
    <cellStyle name="_Table_19 Valuation of Cegetel_25 Valuation Model incl. new BP" xfId="3172" xr:uid="{00000000-0005-0000-0000-00002B070000}"/>
    <cellStyle name="_Table_19 Valuation of Cegetel_25 Valuation Model incl. new BP 2" xfId="3782" xr:uid="{00000000-0005-0000-0000-00002C070000}"/>
    <cellStyle name="_Table_19 Valuation of Cegetel_33 Valuation Model incl. new BP" xfId="3173" xr:uid="{00000000-0005-0000-0000-00002D070000}"/>
    <cellStyle name="_Table_19 Valuation of Cegetel_33 Valuation Model incl. new BP 2" xfId="3783" xr:uid="{00000000-0005-0000-0000-00002E070000}"/>
    <cellStyle name="_Table_19 Valuation of Cegetel_34 Valuation Model incl. new BP" xfId="3174" xr:uid="{00000000-0005-0000-0000-00002F070000}"/>
    <cellStyle name="_Table_19 Valuation of Cegetel_34 Valuation Model incl. new BP 2" xfId="3784" xr:uid="{00000000-0005-0000-0000-000030070000}"/>
    <cellStyle name="_Table_19 Valuation of Cegetel_37 Valuation Model incl. new BP" xfId="3175" xr:uid="{00000000-0005-0000-0000-000031070000}"/>
    <cellStyle name="_Table_19 Valuation of Cegetel_37 Valuation Model incl. new BP 2" xfId="3785" xr:uid="{00000000-0005-0000-0000-000032070000}"/>
    <cellStyle name="_Table_19 Valuation of Cegetel_38 Valuation Model incl. new BP" xfId="3176" xr:uid="{00000000-0005-0000-0000-000033070000}"/>
    <cellStyle name="_Table_19 Valuation of Cegetel_38 Valuation Model incl. new BP 2" xfId="3786" xr:uid="{00000000-0005-0000-0000-000034070000}"/>
    <cellStyle name="_Table_19 Valuation of Cegetel_39 Valuation Model incl. new BP" xfId="3177" xr:uid="{00000000-0005-0000-0000-000035070000}"/>
    <cellStyle name="_Table_19 Valuation of Cegetel_39 Valuation Model incl. new BP 2" xfId="3787" xr:uid="{00000000-0005-0000-0000-000036070000}"/>
    <cellStyle name="_Table_19 Valuation of Cegetel_40 Valuation Model incl. new BP" xfId="3178" xr:uid="{00000000-0005-0000-0000-000037070000}"/>
    <cellStyle name="_Table_19 Valuation of Cegetel_40 Valuation Model incl. new BP 2" xfId="3788" xr:uid="{00000000-0005-0000-0000-000038070000}"/>
    <cellStyle name="_Table_19 Valuation of Cegetel_44 Valuation Model incl. new BP" xfId="3179" xr:uid="{00000000-0005-0000-0000-000039070000}"/>
    <cellStyle name="_Table_19 Valuation of Cegetel_44 Valuation Model incl. new BP 2" xfId="3789" xr:uid="{00000000-0005-0000-0000-00003A070000}"/>
    <cellStyle name="_Table_190503 Model2" xfId="3180" xr:uid="{00000000-0005-0000-0000-00003B070000}"/>
    <cellStyle name="_Table_190503 Model2 2" xfId="3790" xr:uid="{00000000-0005-0000-0000-00003C070000}"/>
    <cellStyle name="_Table_20 Operational Model" xfId="3181" xr:uid="{00000000-0005-0000-0000-00003D070000}"/>
    <cellStyle name="_Table_20 Operational Model 2" xfId="3791" xr:uid="{00000000-0005-0000-0000-00003E070000}"/>
    <cellStyle name="_Table_2001 09 20" xfId="3182" xr:uid="{00000000-0005-0000-0000-00003F070000}"/>
    <cellStyle name="_Table_44 Valuation Model incl. new BP" xfId="3183" xr:uid="{00000000-0005-0000-0000-000040070000}"/>
    <cellStyle name="_Table_44 Valuation Model incl. new BP 2" xfId="3792" xr:uid="{00000000-0005-0000-0000-000041070000}"/>
    <cellStyle name="_Table_58_Model Rexel_Scenarios" xfId="3184" xr:uid="{00000000-0005-0000-0000-000042070000}"/>
    <cellStyle name="_Table_Accretion_Management_19Sep" xfId="3185" xr:uid="{00000000-0005-0000-0000-000043070000}"/>
    <cellStyle name="_Table_Accretion_Management_21Aug.2" xfId="3186" xr:uid="{00000000-0005-0000-0000-000044070000}"/>
    <cellStyle name="_Table_Accretion_Management_Sep1" xfId="3187" xr:uid="{00000000-0005-0000-0000-000045070000}"/>
    <cellStyle name="_Table_Barra Betas1" xfId="3188" xr:uid="{00000000-0005-0000-0000-000046070000}"/>
    <cellStyle name="_Table_Barra Betas1 2" xfId="3793" xr:uid="{00000000-0005-0000-0000-000047070000}"/>
    <cellStyle name="_Table_Betas" xfId="421" xr:uid="{00000000-0005-0000-0000-000048070000}"/>
    <cellStyle name="_Table_Betas 2" xfId="3647" xr:uid="{00000000-0005-0000-0000-000049070000}"/>
    <cellStyle name="_Table_Bottom-Up Site Analysis (220801)" xfId="3189" xr:uid="{00000000-0005-0000-0000-00004A070000}"/>
    <cellStyle name="_Table_Bottom-Up Site Analysis (220801) 2" xfId="3794" xr:uid="{00000000-0005-0000-0000-00004B070000}"/>
    <cellStyle name="_Table_Bottom-Up Site Analysis v2" xfId="3190" xr:uid="{00000000-0005-0000-0000-00004C070000}"/>
    <cellStyle name="_Table_Bottom-Up Site Analysis v2 2" xfId="3795" xr:uid="{00000000-0005-0000-0000-00004D070000}"/>
    <cellStyle name="_Table_Cairo LBO model - Sept 06" xfId="422" xr:uid="{00000000-0005-0000-0000-00004E070000}"/>
    <cellStyle name="_Table_Cairo LBO model - Sept 06 2" xfId="3648" xr:uid="{00000000-0005-0000-0000-00004F070000}"/>
    <cellStyle name="_Table_Casto DCF_June22" xfId="3191" xr:uid="{00000000-0005-0000-0000-000050070000}"/>
    <cellStyle name="_Table_Contribution analysis" xfId="3192" xr:uid="{00000000-0005-0000-0000-000051070000}"/>
    <cellStyle name="_Table_Contribution Analysis_Brokers_Sep2" xfId="3193" xr:uid="{00000000-0005-0000-0000-000052070000}"/>
    <cellStyle name="_Table_Contribution Analysis_Brokers_Sep6" xfId="3194" xr:uid="{00000000-0005-0000-0000-000053070000}"/>
    <cellStyle name="_Table_CSC - revised version 27 october" xfId="3195" xr:uid="{00000000-0005-0000-0000-000054070000}"/>
    <cellStyle name="_Table_CSC - revised version 27 october 2" xfId="3796" xr:uid="{00000000-0005-0000-0000-000055070000}"/>
    <cellStyle name="_Table_DCF - July 2, 2001" xfId="3196" xr:uid="{00000000-0005-0000-0000-000056070000}"/>
    <cellStyle name="_Table_deal comp data 99 reduced" xfId="3197" xr:uid="{00000000-0005-0000-0000-000057070000}"/>
    <cellStyle name="_Table_deal comp data 99 reduced 2" xfId="3797" xr:uid="{00000000-0005-0000-0000-000058070000}"/>
    <cellStyle name="_Table_Feeder" xfId="423" xr:uid="{00000000-0005-0000-0000-000059070000}"/>
    <cellStyle name="_Table_Feeder 2" xfId="3649" xr:uid="{00000000-0005-0000-0000-00005A070000}"/>
    <cellStyle name="_Table_Financial and Credit Impact" xfId="3198" xr:uid="{00000000-0005-0000-0000-00005B070000}"/>
    <cellStyle name="_Table_Financial and Credit Impact 2" xfId="3798" xr:uid="{00000000-0005-0000-0000-00005C070000}"/>
    <cellStyle name="_Table_Financial Model v75.0" xfId="3199" xr:uid="{00000000-0005-0000-0000-00005D070000}"/>
    <cellStyle name="_Table_Financials &amp; Valuation v16 Indigo" xfId="3200" xr:uid="{00000000-0005-0000-0000-00005E070000}"/>
    <cellStyle name="_Table_Financing alternatives key credit" xfId="3201" xr:uid="{00000000-0005-0000-0000-00005F070000}"/>
    <cellStyle name="_Table_Financing alternatives key credit 2" xfId="3799" xr:uid="{00000000-0005-0000-0000-000060070000}"/>
    <cellStyle name="_Table_liberate fact sheet" xfId="3202" xr:uid="{00000000-0005-0000-0000-000061070000}"/>
    <cellStyle name="_Table_M&amp;A Model" xfId="424" xr:uid="{00000000-0005-0000-0000-000062070000}"/>
    <cellStyle name="_Table_M&amp;A Model 2" xfId="3650" xr:uid="{00000000-0005-0000-0000-000063070000}"/>
    <cellStyle name="_Table_M&amp;A projections" xfId="425" xr:uid="{00000000-0005-0000-0000-000064070000}"/>
    <cellStyle name="_Table_M&amp;A projections 2" xfId="3651" xr:uid="{00000000-0005-0000-0000-000065070000}"/>
    <cellStyle name="_Table_Marionnaud DCF Sept-03" xfId="3203" xr:uid="{00000000-0005-0000-0000-000066070000}"/>
    <cellStyle name="_Table_Marionnaud DCF Sept-03 2" xfId="3800" xr:uid="{00000000-0005-0000-0000-000067070000}"/>
    <cellStyle name="_Table_Marionnaud Model_15April" xfId="3204" xr:uid="{00000000-0005-0000-0000-000068070000}"/>
    <cellStyle name="_Table_Marionnaud Model_15April 2" xfId="3801" xr:uid="{00000000-0005-0000-0000-000069070000}"/>
    <cellStyle name="_Table_Modele Sigma-Kalon - 7 dec 01" xfId="3205" xr:uid="{00000000-0005-0000-0000-00006A070000}"/>
    <cellStyle name="_Table_MTU Diesel LBO Model" xfId="426" xr:uid="{00000000-0005-0000-0000-00006B070000}"/>
    <cellStyle name="_Table_MTU Diesel LBO Model 2" xfId="3652" xr:uid="{00000000-0005-0000-0000-00006C070000}"/>
    <cellStyle name="_Table_NKF_HomeDepot_2Aug" xfId="3206" xr:uid="{00000000-0005-0000-0000-00006D070000}"/>
    <cellStyle name="_Table_Offering Breakdown - 09-Jun -2005" xfId="3207" xr:uid="{00000000-0005-0000-0000-00006E070000}"/>
    <cellStyle name="_Table_Offering Breakdown - 09-Jun -2005 2" xfId="3802" xr:uid="{00000000-0005-0000-0000-00006F070000}"/>
    <cellStyle name="_Table_Options_Converts" xfId="3208" xr:uid="{00000000-0005-0000-0000-000070070000}"/>
    <cellStyle name="_Table_Options_Converts 2" xfId="3803" xr:uid="{00000000-0005-0000-0000-000071070000}"/>
    <cellStyle name="_Table_Project Wincor LBO Model 2a" xfId="3209" xr:uid="{00000000-0005-0000-0000-000072070000}"/>
    <cellStyle name="_Table_Project Wincor LBO Model 2b" xfId="3210" xr:uid="{00000000-0005-0000-0000-000073070000}"/>
    <cellStyle name="_Table_Rollout of 26 - 36 Networks in Finland" xfId="3211" xr:uid="{00000000-0005-0000-0000-000074070000}"/>
    <cellStyle name="_Table_Rollout of 26 - 36 Networks in Finland 2" xfId="3804" xr:uid="{00000000-0005-0000-0000-000075070000}"/>
    <cellStyle name="_Table_SantaLucia Debt Coverage analysis - 12 June 2001" xfId="3212" xr:uid="{00000000-0005-0000-0000-000076070000}"/>
    <cellStyle name="_Table_StockGroupKeyFinancials" xfId="427" xr:uid="{00000000-0005-0000-0000-000077070000}"/>
    <cellStyle name="_Table_StockGroupKeyFinancials 2" xfId="3653" xr:uid="{00000000-0005-0000-0000-000078070000}"/>
    <cellStyle name="_Table_underwrite table" xfId="428" xr:uid="{00000000-0005-0000-0000-000079070000}"/>
    <cellStyle name="_Table_underwrite table 2" xfId="3654" xr:uid="{00000000-0005-0000-0000-00007A070000}"/>
    <cellStyle name="_Table_Unibase Preliminary Valuations" xfId="3213" xr:uid="{00000000-0005-0000-0000-00007B070000}"/>
    <cellStyle name="_Table_Unibase Preliminary Valuations 2" xfId="3805" xr:uid="{00000000-0005-0000-0000-00007C070000}"/>
    <cellStyle name="_Table_Volatility" xfId="3214" xr:uid="{00000000-0005-0000-0000-00007D070000}"/>
    <cellStyle name="_Table_Volatility 2" xfId="3806" xr:uid="{00000000-0005-0000-0000-00007E070000}"/>
    <cellStyle name="_Table_Working Capital Swings" xfId="3215" xr:uid="{00000000-0005-0000-0000-00007F070000}"/>
    <cellStyle name="_Table_Working Capital Swings 2" xfId="3807" xr:uid="{00000000-0005-0000-0000-000080070000}"/>
    <cellStyle name="_TableHead" xfId="429" xr:uid="{00000000-0005-0000-0000-000081070000}"/>
    <cellStyle name="_TableHead_01 Capital Structure" xfId="3216" xr:uid="{00000000-0005-0000-0000-000082070000}"/>
    <cellStyle name="_TableHead_01 Capital Structure_03_ Clean LBO Model" xfId="3217" xr:uid="{00000000-0005-0000-0000-000083070000}"/>
    <cellStyle name="_TableHead_01 Capital Structure_05_ Clean LBO Model" xfId="3218" xr:uid="{00000000-0005-0000-0000-000084070000}"/>
    <cellStyle name="_TableHead_01 Capital Structure_08 Valuation Model incl. new BP" xfId="3219" xr:uid="{00000000-0005-0000-0000-000085070000}"/>
    <cellStyle name="_TableHead_01 Capital Structure_09 Valuation Model incl. new BP" xfId="3220" xr:uid="{00000000-0005-0000-0000-000086070000}"/>
    <cellStyle name="_TableHead_01 Capital Structure_13 Valuation Model incl. new BP" xfId="3221" xr:uid="{00000000-0005-0000-0000-000087070000}"/>
    <cellStyle name="_TableHead_01 Capital Structure_14 Valuation Model incl. new BP" xfId="3222" xr:uid="{00000000-0005-0000-0000-000088070000}"/>
    <cellStyle name="_TableHead_01 Capital Structure_15_ Clean LBO Model" xfId="3223" xr:uid="{00000000-0005-0000-0000-000089070000}"/>
    <cellStyle name="_TableHead_01 Capital Structure_20 Valuation Model incl. new BP" xfId="3224" xr:uid="{00000000-0005-0000-0000-00008A070000}"/>
    <cellStyle name="_TableHead_01 Capital Structure_25 Valuation Model incl. new BP" xfId="3225" xr:uid="{00000000-0005-0000-0000-00008B070000}"/>
    <cellStyle name="_TableHead_01 Capital Structure_33 Valuation Model incl. new BP" xfId="3226" xr:uid="{00000000-0005-0000-0000-00008C070000}"/>
    <cellStyle name="_TableHead_01 Capital Structure_34 Valuation Model incl. new BP" xfId="3227" xr:uid="{00000000-0005-0000-0000-00008D070000}"/>
    <cellStyle name="_TableHead_01 Capital Structure_37 Valuation Model incl. new BP" xfId="3228" xr:uid="{00000000-0005-0000-0000-00008E070000}"/>
    <cellStyle name="_TableHead_01 Capital Structure_38 Valuation Model incl. new BP" xfId="3229" xr:uid="{00000000-0005-0000-0000-00008F070000}"/>
    <cellStyle name="_TableHead_01 Capital Structure_39 Valuation Model incl. new BP" xfId="3230" xr:uid="{00000000-0005-0000-0000-000090070000}"/>
    <cellStyle name="_TableHead_01 Capital Structure_40 Valuation Model incl. new BP" xfId="3231" xr:uid="{00000000-0005-0000-0000-000091070000}"/>
    <cellStyle name="_TableHead_01 Capital Structure_44 Valuation Model incl. new BP" xfId="3232" xr:uid="{00000000-0005-0000-0000-000092070000}"/>
    <cellStyle name="_TableHead_01 Offering Breakdown" xfId="3233" xr:uid="{00000000-0005-0000-0000-000093070000}"/>
    <cellStyle name="_TableHead_02 Enersys Merger Plan" xfId="3234" xr:uid="{00000000-0005-0000-0000-000094070000}"/>
    <cellStyle name="_TableHead_02 Enersys Merger Plan_03_ Clean LBO Model" xfId="3235" xr:uid="{00000000-0005-0000-0000-000095070000}"/>
    <cellStyle name="_TableHead_02 Enersys Merger Plan_05_ Clean LBO Model" xfId="3236" xr:uid="{00000000-0005-0000-0000-000096070000}"/>
    <cellStyle name="_TableHead_02 Enersys Merger Plan_08 Valuation Model incl. new BP" xfId="3237" xr:uid="{00000000-0005-0000-0000-000097070000}"/>
    <cellStyle name="_TableHead_02 Enersys Merger Plan_09 Valuation Model incl. new BP" xfId="3238" xr:uid="{00000000-0005-0000-0000-000098070000}"/>
    <cellStyle name="_TableHead_02 Enersys Merger Plan_13 Valuation Model incl. new BP" xfId="3239" xr:uid="{00000000-0005-0000-0000-000099070000}"/>
    <cellStyle name="_TableHead_02 Enersys Merger Plan_14 Valuation Model incl. new BP" xfId="3240" xr:uid="{00000000-0005-0000-0000-00009A070000}"/>
    <cellStyle name="_TableHead_02 Enersys Merger Plan_15_ Clean LBO Model" xfId="3241" xr:uid="{00000000-0005-0000-0000-00009B070000}"/>
    <cellStyle name="_TableHead_02 Enersys Merger Plan_20 Valuation Model incl. new BP" xfId="3242" xr:uid="{00000000-0005-0000-0000-00009C070000}"/>
    <cellStyle name="_TableHead_02 Enersys Merger Plan_25 Valuation Model incl. new BP" xfId="3243" xr:uid="{00000000-0005-0000-0000-00009D070000}"/>
    <cellStyle name="_TableHead_02 Enersys Merger Plan_33 Valuation Model incl. new BP" xfId="3244" xr:uid="{00000000-0005-0000-0000-00009E070000}"/>
    <cellStyle name="_TableHead_02 Enersys Merger Plan_34 Valuation Model incl. new BP" xfId="3245" xr:uid="{00000000-0005-0000-0000-00009F070000}"/>
    <cellStyle name="_TableHead_02 Enersys Merger Plan_37 Valuation Model incl. new BP" xfId="3246" xr:uid="{00000000-0005-0000-0000-0000A0070000}"/>
    <cellStyle name="_TableHead_02 Enersys Merger Plan_38 Valuation Model incl. new BP" xfId="3247" xr:uid="{00000000-0005-0000-0000-0000A1070000}"/>
    <cellStyle name="_TableHead_02 Enersys Merger Plan_39 Valuation Model incl. new BP" xfId="3248" xr:uid="{00000000-0005-0000-0000-0000A2070000}"/>
    <cellStyle name="_TableHead_02 Enersys Merger Plan_40 Valuation Model incl. new BP" xfId="3249" xr:uid="{00000000-0005-0000-0000-0000A3070000}"/>
    <cellStyle name="_TableHead_02 Enersys Merger Plan_44 Valuation Model incl. new BP" xfId="3250" xr:uid="{00000000-0005-0000-0000-0000A4070000}"/>
    <cellStyle name="_TableHead_02 TDC Merger Plan" xfId="3251" xr:uid="{00000000-0005-0000-0000-0000A5070000}"/>
    <cellStyle name="_TableHead_02 TDC Merger Plan_03_ Clean LBO Model" xfId="3252" xr:uid="{00000000-0005-0000-0000-0000A6070000}"/>
    <cellStyle name="_TableHead_02 TDC Merger Plan_05_ Clean LBO Model" xfId="3253" xr:uid="{00000000-0005-0000-0000-0000A7070000}"/>
    <cellStyle name="_TableHead_02 TDC Merger Plan_08 Valuation Model incl. new BP" xfId="3254" xr:uid="{00000000-0005-0000-0000-0000A8070000}"/>
    <cellStyle name="_TableHead_02 TDC Merger Plan_09 Valuation Model incl. new BP" xfId="3255" xr:uid="{00000000-0005-0000-0000-0000A9070000}"/>
    <cellStyle name="_TableHead_02 TDC Merger Plan_13 Valuation Model incl. new BP" xfId="3256" xr:uid="{00000000-0005-0000-0000-0000AA070000}"/>
    <cellStyle name="_TableHead_02 TDC Merger Plan_14 Valuation Model incl. new BP" xfId="3257" xr:uid="{00000000-0005-0000-0000-0000AB070000}"/>
    <cellStyle name="_TableHead_02 TDC Merger Plan_15_ Clean LBO Model" xfId="3258" xr:uid="{00000000-0005-0000-0000-0000AC070000}"/>
    <cellStyle name="_TableHead_02 TDC Merger Plan_20 Valuation Model incl. new BP" xfId="3259" xr:uid="{00000000-0005-0000-0000-0000AD070000}"/>
    <cellStyle name="_TableHead_02 TDC Merger Plan_25 Valuation Model incl. new BP" xfId="3260" xr:uid="{00000000-0005-0000-0000-0000AE070000}"/>
    <cellStyle name="_TableHead_02 TDC Merger Plan_33 Valuation Model incl. new BP" xfId="3261" xr:uid="{00000000-0005-0000-0000-0000AF070000}"/>
    <cellStyle name="_TableHead_02 TDC Merger Plan_34 Valuation Model incl. new BP" xfId="3262" xr:uid="{00000000-0005-0000-0000-0000B0070000}"/>
    <cellStyle name="_TableHead_02 TDC Merger Plan_37 Valuation Model incl. new BP" xfId="3263" xr:uid="{00000000-0005-0000-0000-0000B1070000}"/>
    <cellStyle name="_TableHead_02 TDC Merger Plan_38 Valuation Model incl. new BP" xfId="3264" xr:uid="{00000000-0005-0000-0000-0000B2070000}"/>
    <cellStyle name="_TableHead_02 TDC Merger Plan_39 Valuation Model incl. new BP" xfId="3265" xr:uid="{00000000-0005-0000-0000-0000B3070000}"/>
    <cellStyle name="_TableHead_02 TDC Merger Plan_40 Valuation Model incl. new BP" xfId="3266" xr:uid="{00000000-0005-0000-0000-0000B4070000}"/>
    <cellStyle name="_TableHead_02 TDC Merger Plan_44 Valuation Model incl. new BP" xfId="3267" xr:uid="{00000000-0005-0000-0000-0000B5070000}"/>
    <cellStyle name="_TableHead_02 WACC Analysis" xfId="430" xr:uid="{00000000-0005-0000-0000-0000B6070000}"/>
    <cellStyle name="_TableHead_03 Total Expenses" xfId="3268" xr:uid="{00000000-0005-0000-0000-0000B7070000}"/>
    <cellStyle name="_TableHead_04 Volatility" xfId="3269" xr:uid="{00000000-0005-0000-0000-0000B8070000}"/>
    <cellStyle name="_TableHead_08 model" xfId="3270" xr:uid="{00000000-0005-0000-0000-0000B9070000}"/>
    <cellStyle name="_TableHead_16 Detail of Key Metrics_mario marco" xfId="2238" xr:uid="{00000000-0005-0000-0000-0000BA070000}"/>
    <cellStyle name="_TableHead_16 Detail of Key Metrics_mario marco_Quasi Rent Illustration" xfId="2239" xr:uid="{00000000-0005-0000-0000-0000BB070000}"/>
    <cellStyle name="_TableHead_16 Detail of Key Metrics_mario marco_YLC" xfId="2240" xr:uid="{00000000-0005-0000-0000-0000BC070000}"/>
    <cellStyle name="_TableHead_19 Valuation of Cegetel" xfId="3271" xr:uid="{00000000-0005-0000-0000-0000BD070000}"/>
    <cellStyle name="_TableHead_19 Valuation of Cegetel_03_ Clean LBO Model" xfId="3272" xr:uid="{00000000-0005-0000-0000-0000BE070000}"/>
    <cellStyle name="_TableHead_19 Valuation of Cegetel_05_ Clean LBO Model" xfId="3273" xr:uid="{00000000-0005-0000-0000-0000BF070000}"/>
    <cellStyle name="_TableHead_19 Valuation of Cegetel_08 Valuation Model incl. new BP" xfId="3274" xr:uid="{00000000-0005-0000-0000-0000C0070000}"/>
    <cellStyle name="_TableHead_19 Valuation of Cegetel_09 Valuation Model incl. new BP" xfId="3275" xr:uid="{00000000-0005-0000-0000-0000C1070000}"/>
    <cellStyle name="_TableHead_19 Valuation of Cegetel_13 Valuation Model incl. new BP" xfId="3276" xr:uid="{00000000-0005-0000-0000-0000C2070000}"/>
    <cellStyle name="_TableHead_19 Valuation of Cegetel_14 Valuation Model incl. new BP" xfId="3277" xr:uid="{00000000-0005-0000-0000-0000C3070000}"/>
    <cellStyle name="_TableHead_19 Valuation of Cegetel_15_ Clean LBO Model" xfId="3278" xr:uid="{00000000-0005-0000-0000-0000C4070000}"/>
    <cellStyle name="_TableHead_19 Valuation of Cegetel_20 Valuation Model incl. new BP" xfId="3279" xr:uid="{00000000-0005-0000-0000-0000C5070000}"/>
    <cellStyle name="_TableHead_19 Valuation of Cegetel_25 Valuation Model incl. new BP" xfId="3280" xr:uid="{00000000-0005-0000-0000-0000C6070000}"/>
    <cellStyle name="_TableHead_19 Valuation of Cegetel_33 Valuation Model incl. new BP" xfId="3281" xr:uid="{00000000-0005-0000-0000-0000C7070000}"/>
    <cellStyle name="_TableHead_19 Valuation of Cegetel_34 Valuation Model incl. new BP" xfId="3282" xr:uid="{00000000-0005-0000-0000-0000C8070000}"/>
    <cellStyle name="_TableHead_19 Valuation of Cegetel_37 Valuation Model incl. new BP" xfId="3283" xr:uid="{00000000-0005-0000-0000-0000C9070000}"/>
    <cellStyle name="_TableHead_19 Valuation of Cegetel_38 Valuation Model incl. new BP" xfId="3284" xr:uid="{00000000-0005-0000-0000-0000CA070000}"/>
    <cellStyle name="_TableHead_19 Valuation of Cegetel_39 Valuation Model incl. new BP" xfId="3285" xr:uid="{00000000-0005-0000-0000-0000CB070000}"/>
    <cellStyle name="_TableHead_19 Valuation of Cegetel_40 Valuation Model incl. new BP" xfId="3286" xr:uid="{00000000-0005-0000-0000-0000CC070000}"/>
    <cellStyle name="_TableHead_19 Valuation of Cegetel_44 Valuation Model incl. new BP" xfId="3287" xr:uid="{00000000-0005-0000-0000-0000CD070000}"/>
    <cellStyle name="_TableHead_20 Operational Model" xfId="3288" xr:uid="{00000000-0005-0000-0000-0000CE070000}"/>
    <cellStyle name="_TableHead_44 Valuation Model incl. new BP" xfId="3289" xr:uid="{00000000-0005-0000-0000-0000CF070000}"/>
    <cellStyle name="_TableHead_Betas" xfId="431" xr:uid="{00000000-0005-0000-0000-0000D0070000}"/>
    <cellStyle name="_TableHead_Cairo LBO model - Sept 06" xfId="432" xr:uid="{00000000-0005-0000-0000-0000D1070000}"/>
    <cellStyle name="_TableHead_Feeder" xfId="433" xr:uid="{00000000-0005-0000-0000-0000D2070000}"/>
    <cellStyle name="_TableHead_M&amp;A Model" xfId="434" xr:uid="{00000000-0005-0000-0000-0000D3070000}"/>
    <cellStyle name="_TableHead_M&amp;A projections" xfId="435" xr:uid="{00000000-0005-0000-0000-0000D4070000}"/>
    <cellStyle name="_TableHead_MTU Diesel LBO Model" xfId="436" xr:uid="{00000000-0005-0000-0000-0000D5070000}"/>
    <cellStyle name="_TableHead_Offering Breakdown - 09-Jun -2005" xfId="3290" xr:uid="{00000000-0005-0000-0000-0000D6070000}"/>
    <cellStyle name="_TableHead_Quasi Rent Illustration" xfId="2241" xr:uid="{00000000-0005-0000-0000-0000D7070000}"/>
    <cellStyle name="_TableHead_RIM Pharma Projections v03" xfId="437" xr:uid="{00000000-0005-0000-0000-0000D8070000}"/>
    <cellStyle name="_TableHead_StockGroupKeyFinancials" xfId="438" xr:uid="{00000000-0005-0000-0000-0000D9070000}"/>
    <cellStyle name="_TableHead_underwrite table" xfId="439" xr:uid="{00000000-0005-0000-0000-0000DA070000}"/>
    <cellStyle name="_TableHead_Volatility" xfId="3291" xr:uid="{00000000-0005-0000-0000-0000DB070000}"/>
    <cellStyle name="_TableHead_YLC" xfId="2242" xr:uid="{00000000-0005-0000-0000-0000DC070000}"/>
    <cellStyle name="_TableHeading" xfId="3292" xr:uid="{00000000-0005-0000-0000-0000DD070000}"/>
    <cellStyle name="_TableRowBorder" xfId="3293" xr:uid="{00000000-0005-0000-0000-0000DE070000}"/>
    <cellStyle name="_TableRowHead" xfId="440" xr:uid="{00000000-0005-0000-0000-0000DF070000}"/>
    <cellStyle name="_TableRowHead_01 Capital Structure" xfId="3294" xr:uid="{00000000-0005-0000-0000-0000E0070000}"/>
    <cellStyle name="_TableRowHead_01 Capital Structure_03_ Clean LBO Model" xfId="3295" xr:uid="{00000000-0005-0000-0000-0000E1070000}"/>
    <cellStyle name="_TableRowHead_01 Capital Structure_05_ Clean LBO Model" xfId="3296" xr:uid="{00000000-0005-0000-0000-0000E2070000}"/>
    <cellStyle name="_TableRowHead_01 Capital Structure_08 Valuation Model incl. new BP" xfId="3297" xr:uid="{00000000-0005-0000-0000-0000E3070000}"/>
    <cellStyle name="_TableRowHead_01 Capital Structure_09 Valuation Model incl. new BP" xfId="3298" xr:uid="{00000000-0005-0000-0000-0000E4070000}"/>
    <cellStyle name="_TableRowHead_01 Capital Structure_13 Valuation Model incl. new BP" xfId="3299" xr:uid="{00000000-0005-0000-0000-0000E5070000}"/>
    <cellStyle name="_TableRowHead_01 Capital Structure_14 Valuation Model incl. new BP" xfId="3300" xr:uid="{00000000-0005-0000-0000-0000E6070000}"/>
    <cellStyle name="_TableRowHead_01 Capital Structure_15_ Clean LBO Model" xfId="3301" xr:uid="{00000000-0005-0000-0000-0000E7070000}"/>
    <cellStyle name="_TableRowHead_01 Capital Structure_20 Valuation Model incl. new BP" xfId="3302" xr:uid="{00000000-0005-0000-0000-0000E8070000}"/>
    <cellStyle name="_TableRowHead_01 Capital Structure_25 Valuation Model incl. new BP" xfId="3303" xr:uid="{00000000-0005-0000-0000-0000E9070000}"/>
    <cellStyle name="_TableRowHead_01 Capital Structure_33 Valuation Model incl. new BP" xfId="3304" xr:uid="{00000000-0005-0000-0000-0000EA070000}"/>
    <cellStyle name="_TableRowHead_01 Capital Structure_34 Valuation Model incl. new BP" xfId="3305" xr:uid="{00000000-0005-0000-0000-0000EB070000}"/>
    <cellStyle name="_TableRowHead_01 Capital Structure_37 Valuation Model incl. new BP" xfId="3306" xr:uid="{00000000-0005-0000-0000-0000EC070000}"/>
    <cellStyle name="_TableRowHead_01 Capital Structure_38 Valuation Model incl. new BP" xfId="3307" xr:uid="{00000000-0005-0000-0000-0000ED070000}"/>
    <cellStyle name="_TableRowHead_01 Capital Structure_39 Valuation Model incl. new BP" xfId="3308" xr:uid="{00000000-0005-0000-0000-0000EE070000}"/>
    <cellStyle name="_TableRowHead_01 Capital Structure_40 Valuation Model incl. new BP" xfId="3309" xr:uid="{00000000-0005-0000-0000-0000EF070000}"/>
    <cellStyle name="_TableRowHead_01 Capital Structure_44 Valuation Model incl. new BP" xfId="3310" xr:uid="{00000000-0005-0000-0000-0000F0070000}"/>
    <cellStyle name="_TableRowHead_01 Offering Breakdown" xfId="3311" xr:uid="{00000000-0005-0000-0000-0000F1070000}"/>
    <cellStyle name="_TableRowHead_02 Enersys Merger Plan" xfId="3312" xr:uid="{00000000-0005-0000-0000-0000F2070000}"/>
    <cellStyle name="_TableRowHead_02 Enersys Merger Plan_03_ Clean LBO Model" xfId="3313" xr:uid="{00000000-0005-0000-0000-0000F3070000}"/>
    <cellStyle name="_TableRowHead_02 Enersys Merger Plan_05_ Clean LBO Model" xfId="3314" xr:uid="{00000000-0005-0000-0000-0000F4070000}"/>
    <cellStyle name="_TableRowHead_02 Enersys Merger Plan_08 Valuation Model incl. new BP" xfId="3315" xr:uid="{00000000-0005-0000-0000-0000F5070000}"/>
    <cellStyle name="_TableRowHead_02 Enersys Merger Plan_09 Valuation Model incl. new BP" xfId="3316" xr:uid="{00000000-0005-0000-0000-0000F6070000}"/>
    <cellStyle name="_TableRowHead_02 Enersys Merger Plan_13 Valuation Model incl. new BP" xfId="3317" xr:uid="{00000000-0005-0000-0000-0000F7070000}"/>
    <cellStyle name="_TableRowHead_02 Enersys Merger Plan_14 Valuation Model incl. new BP" xfId="3318" xr:uid="{00000000-0005-0000-0000-0000F8070000}"/>
    <cellStyle name="_TableRowHead_02 Enersys Merger Plan_15_ Clean LBO Model" xfId="3319" xr:uid="{00000000-0005-0000-0000-0000F9070000}"/>
    <cellStyle name="_TableRowHead_02 Enersys Merger Plan_20 Valuation Model incl. new BP" xfId="3320" xr:uid="{00000000-0005-0000-0000-0000FA070000}"/>
    <cellStyle name="_TableRowHead_02 Enersys Merger Plan_25 Valuation Model incl. new BP" xfId="3321" xr:uid="{00000000-0005-0000-0000-0000FB070000}"/>
    <cellStyle name="_TableRowHead_02 Enersys Merger Plan_33 Valuation Model incl. new BP" xfId="3322" xr:uid="{00000000-0005-0000-0000-0000FC070000}"/>
    <cellStyle name="_TableRowHead_02 Enersys Merger Plan_34 Valuation Model incl. new BP" xfId="3323" xr:uid="{00000000-0005-0000-0000-0000FD070000}"/>
    <cellStyle name="_TableRowHead_02 Enersys Merger Plan_37 Valuation Model incl. new BP" xfId="3324" xr:uid="{00000000-0005-0000-0000-0000FE070000}"/>
    <cellStyle name="_TableRowHead_02 Enersys Merger Plan_38 Valuation Model incl. new BP" xfId="3325" xr:uid="{00000000-0005-0000-0000-0000FF070000}"/>
    <cellStyle name="_TableRowHead_02 Enersys Merger Plan_39 Valuation Model incl. new BP" xfId="3326" xr:uid="{00000000-0005-0000-0000-000000080000}"/>
    <cellStyle name="_TableRowHead_02 Enersys Merger Plan_40 Valuation Model incl. new BP" xfId="3327" xr:uid="{00000000-0005-0000-0000-000001080000}"/>
    <cellStyle name="_TableRowHead_02 Enersys Merger Plan_44 Valuation Model incl. new BP" xfId="3328" xr:uid="{00000000-0005-0000-0000-000002080000}"/>
    <cellStyle name="_TableRowHead_02 TDC Merger Plan" xfId="3329" xr:uid="{00000000-0005-0000-0000-000003080000}"/>
    <cellStyle name="_TableRowHead_02 TDC Merger Plan_03_ Clean LBO Model" xfId="3330" xr:uid="{00000000-0005-0000-0000-000004080000}"/>
    <cellStyle name="_TableRowHead_02 TDC Merger Plan_05_ Clean LBO Model" xfId="3331" xr:uid="{00000000-0005-0000-0000-000005080000}"/>
    <cellStyle name="_TableRowHead_02 TDC Merger Plan_08 Valuation Model incl. new BP" xfId="3332" xr:uid="{00000000-0005-0000-0000-000006080000}"/>
    <cellStyle name="_TableRowHead_02 TDC Merger Plan_09 Valuation Model incl. new BP" xfId="3333" xr:uid="{00000000-0005-0000-0000-000007080000}"/>
    <cellStyle name="_TableRowHead_02 TDC Merger Plan_13 Valuation Model incl. new BP" xfId="3334" xr:uid="{00000000-0005-0000-0000-000008080000}"/>
    <cellStyle name="_TableRowHead_02 TDC Merger Plan_14 Valuation Model incl. new BP" xfId="3335" xr:uid="{00000000-0005-0000-0000-000009080000}"/>
    <cellStyle name="_TableRowHead_02 TDC Merger Plan_15_ Clean LBO Model" xfId="3336" xr:uid="{00000000-0005-0000-0000-00000A080000}"/>
    <cellStyle name="_TableRowHead_02 TDC Merger Plan_20 Valuation Model incl. new BP" xfId="3337" xr:uid="{00000000-0005-0000-0000-00000B080000}"/>
    <cellStyle name="_TableRowHead_02 TDC Merger Plan_25 Valuation Model incl. new BP" xfId="3338" xr:uid="{00000000-0005-0000-0000-00000C080000}"/>
    <cellStyle name="_TableRowHead_02 TDC Merger Plan_33 Valuation Model incl. new BP" xfId="3339" xr:uid="{00000000-0005-0000-0000-00000D080000}"/>
    <cellStyle name="_TableRowHead_02 TDC Merger Plan_34 Valuation Model incl. new BP" xfId="3340" xr:uid="{00000000-0005-0000-0000-00000E080000}"/>
    <cellStyle name="_TableRowHead_02 TDC Merger Plan_37 Valuation Model incl. new BP" xfId="3341" xr:uid="{00000000-0005-0000-0000-00000F080000}"/>
    <cellStyle name="_TableRowHead_02 TDC Merger Plan_38 Valuation Model incl. new BP" xfId="3342" xr:uid="{00000000-0005-0000-0000-000010080000}"/>
    <cellStyle name="_TableRowHead_02 TDC Merger Plan_39 Valuation Model incl. new BP" xfId="3343" xr:uid="{00000000-0005-0000-0000-000011080000}"/>
    <cellStyle name="_TableRowHead_02 TDC Merger Plan_40 Valuation Model incl. new BP" xfId="3344" xr:uid="{00000000-0005-0000-0000-000012080000}"/>
    <cellStyle name="_TableRowHead_02 TDC Merger Plan_44 Valuation Model incl. new BP" xfId="3345" xr:uid="{00000000-0005-0000-0000-000013080000}"/>
    <cellStyle name="_TableRowHead_02 WACC Analysis" xfId="441" xr:uid="{00000000-0005-0000-0000-000014080000}"/>
    <cellStyle name="_TableRowHead_03 Total Expenses" xfId="3346" xr:uid="{00000000-0005-0000-0000-000015080000}"/>
    <cellStyle name="_TableRowHead_04 Volatility" xfId="3347" xr:uid="{00000000-0005-0000-0000-000016080000}"/>
    <cellStyle name="_TableRowHead_08 model" xfId="3348" xr:uid="{00000000-0005-0000-0000-000017080000}"/>
    <cellStyle name="_TableRowHead_19 Valuation of Cegetel" xfId="3349" xr:uid="{00000000-0005-0000-0000-000018080000}"/>
    <cellStyle name="_TableRowHead_19 Valuation of Cegetel_03_ Clean LBO Model" xfId="3350" xr:uid="{00000000-0005-0000-0000-000019080000}"/>
    <cellStyle name="_TableRowHead_19 Valuation of Cegetel_05_ Clean LBO Model" xfId="3351" xr:uid="{00000000-0005-0000-0000-00001A080000}"/>
    <cellStyle name="_TableRowHead_19 Valuation of Cegetel_08 Valuation Model incl. new BP" xfId="3352" xr:uid="{00000000-0005-0000-0000-00001B080000}"/>
    <cellStyle name="_TableRowHead_19 Valuation of Cegetel_09 Valuation Model incl. new BP" xfId="3353" xr:uid="{00000000-0005-0000-0000-00001C080000}"/>
    <cellStyle name="_TableRowHead_19 Valuation of Cegetel_13 Valuation Model incl. new BP" xfId="3354" xr:uid="{00000000-0005-0000-0000-00001D080000}"/>
    <cellStyle name="_TableRowHead_19 Valuation of Cegetel_14 Valuation Model incl. new BP" xfId="3355" xr:uid="{00000000-0005-0000-0000-00001E080000}"/>
    <cellStyle name="_TableRowHead_19 Valuation of Cegetel_15_ Clean LBO Model" xfId="3356" xr:uid="{00000000-0005-0000-0000-00001F080000}"/>
    <cellStyle name="_TableRowHead_19 Valuation of Cegetel_20 Valuation Model incl. new BP" xfId="3357" xr:uid="{00000000-0005-0000-0000-000020080000}"/>
    <cellStyle name="_TableRowHead_19 Valuation of Cegetel_25 Valuation Model incl. new BP" xfId="3358" xr:uid="{00000000-0005-0000-0000-000021080000}"/>
    <cellStyle name="_TableRowHead_19 Valuation of Cegetel_33 Valuation Model incl. new BP" xfId="3359" xr:uid="{00000000-0005-0000-0000-000022080000}"/>
    <cellStyle name="_TableRowHead_19 Valuation of Cegetel_34 Valuation Model incl. new BP" xfId="3360" xr:uid="{00000000-0005-0000-0000-000023080000}"/>
    <cellStyle name="_TableRowHead_19 Valuation of Cegetel_37 Valuation Model incl. new BP" xfId="3361" xr:uid="{00000000-0005-0000-0000-000024080000}"/>
    <cellStyle name="_TableRowHead_19 Valuation of Cegetel_38 Valuation Model incl. new BP" xfId="3362" xr:uid="{00000000-0005-0000-0000-000025080000}"/>
    <cellStyle name="_TableRowHead_19 Valuation of Cegetel_39 Valuation Model incl. new BP" xfId="3363" xr:uid="{00000000-0005-0000-0000-000026080000}"/>
    <cellStyle name="_TableRowHead_19 Valuation of Cegetel_40 Valuation Model incl. new BP" xfId="3364" xr:uid="{00000000-0005-0000-0000-000027080000}"/>
    <cellStyle name="_TableRowHead_19 Valuation of Cegetel_44 Valuation Model incl. new BP" xfId="3365" xr:uid="{00000000-0005-0000-0000-000028080000}"/>
    <cellStyle name="_TableRowHead_20 Operational Model" xfId="3366" xr:uid="{00000000-0005-0000-0000-000029080000}"/>
    <cellStyle name="_TableRowHead_44 Valuation Model incl. new BP" xfId="3367" xr:uid="{00000000-0005-0000-0000-00002A080000}"/>
    <cellStyle name="_TableRowHead_Betas" xfId="442" xr:uid="{00000000-0005-0000-0000-00002B080000}"/>
    <cellStyle name="_TableRowHead_Cairo LBO model - Sept 06" xfId="443" xr:uid="{00000000-0005-0000-0000-00002C080000}"/>
    <cellStyle name="_TableRowHead_Offering Breakdown - 09-Jun -2005" xfId="3368" xr:uid="{00000000-0005-0000-0000-00002D080000}"/>
    <cellStyle name="_TableRowHead_StockGroupKeyFinancials" xfId="444" xr:uid="{00000000-0005-0000-0000-00002E080000}"/>
    <cellStyle name="_TableRowHead_Telenet Client Financing Model 20030924" xfId="3369" xr:uid="{00000000-0005-0000-0000-00002F080000}"/>
    <cellStyle name="_TableRowHead_Volatility" xfId="3370" xr:uid="{00000000-0005-0000-0000-000030080000}"/>
    <cellStyle name="_TableRowHeading" xfId="3371" xr:uid="{00000000-0005-0000-0000-000031080000}"/>
    <cellStyle name="_TableSuperHead" xfId="445" xr:uid="{00000000-0005-0000-0000-000032080000}"/>
    <cellStyle name="_TableSuperHead_02 WACC Analysis" xfId="446" xr:uid="{00000000-0005-0000-0000-000033080000}"/>
    <cellStyle name="_TableSuperHead_03 Total Expenses" xfId="3372" xr:uid="{00000000-0005-0000-0000-000034080000}"/>
    <cellStyle name="_TableSuperHead_04 Volatility" xfId="3373" xr:uid="{00000000-0005-0000-0000-000035080000}"/>
    <cellStyle name="_TableSuperHead_44 Valuation Model incl. new BP" xfId="3374" xr:uid="{00000000-0005-0000-0000-000036080000}"/>
    <cellStyle name="_TableSuperHead_Betas" xfId="447" xr:uid="{00000000-0005-0000-0000-000037080000}"/>
    <cellStyle name="_TableSuperHead_Cairo LBO model - Sept 06" xfId="448" xr:uid="{00000000-0005-0000-0000-000038080000}"/>
    <cellStyle name="_TableSuperHead_Offering Breakdown - 09-Jun -2005" xfId="3375" xr:uid="{00000000-0005-0000-0000-000039080000}"/>
    <cellStyle name="_TableSuperHead_StockGroupKeyFinancials" xfId="449" xr:uid="{00000000-0005-0000-0000-00003A080000}"/>
    <cellStyle name="_TableSuperHead_Volatility" xfId="3376" xr:uid="{00000000-0005-0000-0000-00003B080000}"/>
    <cellStyle name="_TableText" xfId="3377" xr:uid="{00000000-0005-0000-0000-00003C080000}"/>
    <cellStyle name="_UBSIB_GSF_Model_Feb_2006v3" xfId="2243" xr:uid="{00000000-0005-0000-0000-00003D080000}"/>
    <cellStyle name="_underwrite table" xfId="450" xr:uid="{00000000-0005-0000-0000-00003E080000}"/>
    <cellStyle name="_Version 10" xfId="2244" xr:uid="{00000000-0005-0000-0000-00003F080000}"/>
    <cellStyle name="_Version 9" xfId="2245" xr:uid="{00000000-0005-0000-0000-000040080000}"/>
    <cellStyle name="_VNU Operating Model V4" xfId="451" xr:uid="{00000000-0005-0000-0000-000041080000}"/>
    <cellStyle name="_WACC Attack (Fairness Approved)" xfId="3632" xr:uid="{00000000-0005-0000-0000-000042080000}"/>
    <cellStyle name="’Ê‰Ý [0.00]_GE 3 MINIMUM" xfId="452" xr:uid="{00000000-0005-0000-0000-000043080000}"/>
    <cellStyle name="’Ê‰Ý_GE 3 MINIMUM" xfId="453" xr:uid="{00000000-0005-0000-0000-000044080000}"/>
    <cellStyle name="¢" xfId="455" xr:uid="{00000000-0005-0000-0000-000045080000}"/>
    <cellStyle name="¢ Currency [1]" xfId="456" xr:uid="{00000000-0005-0000-0000-000046080000}"/>
    <cellStyle name="¢ Currency [2]" xfId="457" xr:uid="{00000000-0005-0000-0000-000047080000}"/>
    <cellStyle name="¢ Currency [3]" xfId="458" xr:uid="{00000000-0005-0000-0000-000048080000}"/>
    <cellStyle name="¢_Feeder" xfId="459" xr:uid="{00000000-0005-0000-0000-000049080000}"/>
    <cellStyle name="¢_M&amp;A Model" xfId="460" xr:uid="{00000000-0005-0000-0000-00004A080000}"/>
    <cellStyle name="¢_temp templates2" xfId="461" xr:uid="{00000000-0005-0000-0000-00004B080000}"/>
    <cellStyle name="£" xfId="2246" xr:uid="{00000000-0005-0000-0000-00004C080000}"/>
    <cellStyle name="£ BP" xfId="462" xr:uid="{00000000-0005-0000-0000-00004D080000}"/>
    <cellStyle name="£ Currency" xfId="463" xr:uid="{00000000-0005-0000-0000-00004E080000}"/>
    <cellStyle name="£ Currency [0]" xfId="464" xr:uid="{00000000-0005-0000-0000-00004F080000}"/>
    <cellStyle name="£ Currency [1]" xfId="465" xr:uid="{00000000-0005-0000-0000-000050080000}"/>
    <cellStyle name="£ Currency [2]" xfId="466" xr:uid="{00000000-0005-0000-0000-000051080000}"/>
    <cellStyle name="£0" xfId="467" xr:uid="{00000000-0005-0000-0000-000052080000}"/>
    <cellStyle name="£1" xfId="468" xr:uid="{00000000-0005-0000-0000-000053080000}"/>
    <cellStyle name="£2" xfId="469" xr:uid="{00000000-0005-0000-0000-000054080000}"/>
    <cellStyle name="£Currency [0]" xfId="470" xr:uid="{00000000-0005-0000-0000-000055080000}"/>
    <cellStyle name="£Currency [1]" xfId="471" xr:uid="{00000000-0005-0000-0000-000056080000}"/>
    <cellStyle name="£Currency [2]" xfId="472" xr:uid="{00000000-0005-0000-0000-000057080000}"/>
    <cellStyle name="£Currency [p]" xfId="473" xr:uid="{00000000-0005-0000-0000-000058080000}"/>
    <cellStyle name="£Currency [p2]" xfId="474" xr:uid="{00000000-0005-0000-0000-000059080000}"/>
    <cellStyle name="£Pounds" xfId="475" xr:uid="{00000000-0005-0000-0000-00005A080000}"/>
    <cellStyle name="¥ JY" xfId="476" xr:uid="{00000000-0005-0000-0000-00005B080000}"/>
    <cellStyle name="€" xfId="2247" xr:uid="{00000000-0005-0000-0000-00005C080000}"/>
    <cellStyle name="€ Currency" xfId="479" xr:uid="{00000000-0005-0000-0000-00005D080000}"/>
    <cellStyle name="+" xfId="2248" xr:uid="{00000000-0005-0000-0000-00005E080000}"/>
    <cellStyle name="+_Quasi Rent Illustration" xfId="2249" xr:uid="{00000000-0005-0000-0000-00005F080000}"/>
    <cellStyle name="+_YLC" xfId="2250" xr:uid="{00000000-0005-0000-0000-000060080000}"/>
    <cellStyle name="=C:\WINNT\SYSTEM32\COMMAND.COM" xfId="3633" xr:uid="{00000000-0005-0000-0000-000061080000}"/>
    <cellStyle name="=C:\WINNT35\SYSTEM32\COMMAND.COM" xfId="454" xr:uid="{00000000-0005-0000-0000-000062080000}"/>
    <cellStyle name="•W€_GE 3 MINIMUM" xfId="478" xr:uid="{00000000-0005-0000-0000-000063080000}"/>
    <cellStyle name="•W_GE 3 MINIMUM" xfId="477" xr:uid="{00000000-0005-0000-0000-000064080000}"/>
    <cellStyle name="0" xfId="480" xr:uid="{00000000-0005-0000-0000-000065080000}"/>
    <cellStyle name="0%" xfId="481" xr:uid="{00000000-0005-0000-0000-000066080000}"/>
    <cellStyle name="0,0_x000d__x000a_NA_x000d__x000a_" xfId="482" xr:uid="{00000000-0005-0000-0000-000067080000}"/>
    <cellStyle name="0.0" xfId="483" xr:uid="{00000000-0005-0000-0000-000068080000}"/>
    <cellStyle name="0.0 x" xfId="484" xr:uid="{00000000-0005-0000-0000-000069080000}"/>
    <cellStyle name="0.0%" xfId="485" xr:uid="{00000000-0005-0000-0000-00006A080000}"/>
    <cellStyle name="0.0_temp templates2" xfId="486" xr:uid="{00000000-0005-0000-0000-00006B080000}"/>
    <cellStyle name="0.00" xfId="487" xr:uid="{00000000-0005-0000-0000-00006C080000}"/>
    <cellStyle name="0.00%" xfId="488" xr:uid="{00000000-0005-0000-0000-00006D080000}"/>
    <cellStyle name="0.0x" xfId="489" xr:uid="{00000000-0005-0000-0000-00006E080000}"/>
    <cellStyle name="0_BP2" xfId="3378" xr:uid="{00000000-0005-0000-0000-00006F080000}"/>
    <cellStyle name="0_Bullet model 122_temp templates2" xfId="490" xr:uid="{00000000-0005-0000-0000-000070080000}"/>
    <cellStyle name="0_Grandvision_LBO2" xfId="491" xr:uid="{00000000-0005-0000-0000-000071080000}"/>
    <cellStyle name="0_Proforma Model 100701 v.5" xfId="492" xr:uid="{00000000-0005-0000-0000-000072080000}"/>
    <cellStyle name="000" xfId="493" xr:uid="{00000000-0005-0000-0000-000073080000}"/>
    <cellStyle name="0000" xfId="494" xr:uid="{00000000-0005-0000-0000-000074080000}"/>
    <cellStyle name="0x" xfId="495" xr:uid="{00000000-0005-0000-0000-000075080000}"/>
    <cellStyle name="1 decimal" xfId="3379" xr:uid="{00000000-0005-0000-0000-000076080000}"/>
    <cellStyle name="1,000" xfId="3380" xr:uid="{00000000-0005-0000-0000-000077080000}"/>
    <cellStyle name="1,000x" xfId="3381" xr:uid="{00000000-0005-0000-0000-000078080000}"/>
    <cellStyle name="1,comma" xfId="496" xr:uid="{00000000-0005-0000-0000-000079080000}"/>
    <cellStyle name="1_HardCode" xfId="3634" xr:uid="{00000000-0005-0000-0000-00007A080000}"/>
    <cellStyle name="2" xfId="497" xr:uid="{00000000-0005-0000-0000-00007B080000}"/>
    <cellStyle name="2 decimal" xfId="3382" xr:uid="{00000000-0005-0000-0000-00007C080000}"/>
    <cellStyle name="2 Decimals" xfId="3383" xr:uid="{00000000-0005-0000-0000-00007D080000}"/>
    <cellStyle name="2_OtherSheet" xfId="3635" xr:uid="{00000000-0005-0000-0000-00007E080000}"/>
    <cellStyle name="20% - Accent1 2" xfId="3384" xr:uid="{00000000-0005-0000-0000-00007F080000}"/>
    <cellStyle name="20% - Accent1 2 2" xfId="3385" xr:uid="{00000000-0005-0000-0000-000080080000}"/>
    <cellStyle name="20% - Accent1 3" xfId="3386" xr:uid="{00000000-0005-0000-0000-000081080000}"/>
    <cellStyle name="20% - Accent1 4" xfId="3387" xr:uid="{00000000-0005-0000-0000-000082080000}"/>
    <cellStyle name="20% - Accent1 5" xfId="3388" xr:uid="{00000000-0005-0000-0000-000083080000}"/>
    <cellStyle name="20% - Accent2 2" xfId="3389" xr:uid="{00000000-0005-0000-0000-000084080000}"/>
    <cellStyle name="20% - Accent2 2 2" xfId="3390" xr:uid="{00000000-0005-0000-0000-000085080000}"/>
    <cellStyle name="20% - Accent2 3" xfId="3391" xr:uid="{00000000-0005-0000-0000-000086080000}"/>
    <cellStyle name="20% - Accent2 4" xfId="3392" xr:uid="{00000000-0005-0000-0000-000087080000}"/>
    <cellStyle name="20% - Accent2 5" xfId="3393" xr:uid="{00000000-0005-0000-0000-000088080000}"/>
    <cellStyle name="20% - Accent3 2" xfId="3394" xr:uid="{00000000-0005-0000-0000-000089080000}"/>
    <cellStyle name="20% - Accent3 2 2" xfId="3395" xr:uid="{00000000-0005-0000-0000-00008A080000}"/>
    <cellStyle name="20% - Accent3 3" xfId="3396" xr:uid="{00000000-0005-0000-0000-00008B080000}"/>
    <cellStyle name="20% - Accent3 4" xfId="3397" xr:uid="{00000000-0005-0000-0000-00008C080000}"/>
    <cellStyle name="20% - Accent3 5" xfId="3398" xr:uid="{00000000-0005-0000-0000-00008D080000}"/>
    <cellStyle name="20% - Accent4 2" xfId="3399" xr:uid="{00000000-0005-0000-0000-00008E080000}"/>
    <cellStyle name="20% - Accent4 2 2" xfId="3400" xr:uid="{00000000-0005-0000-0000-00008F080000}"/>
    <cellStyle name="20% - Accent4 3" xfId="3401" xr:uid="{00000000-0005-0000-0000-000090080000}"/>
    <cellStyle name="20% - Accent4 4" xfId="3402" xr:uid="{00000000-0005-0000-0000-000091080000}"/>
    <cellStyle name="20% - Accent4 5" xfId="3403" xr:uid="{00000000-0005-0000-0000-000092080000}"/>
    <cellStyle name="20% - Accent5 2" xfId="3404" xr:uid="{00000000-0005-0000-0000-000093080000}"/>
    <cellStyle name="20% - Accent5 2 2" xfId="3405" xr:uid="{00000000-0005-0000-0000-000094080000}"/>
    <cellStyle name="20% - Accent5 3" xfId="3406" xr:uid="{00000000-0005-0000-0000-000095080000}"/>
    <cellStyle name="20% - Accent5 4" xfId="3407" xr:uid="{00000000-0005-0000-0000-000096080000}"/>
    <cellStyle name="20% - Accent5 5" xfId="3408" xr:uid="{00000000-0005-0000-0000-000097080000}"/>
    <cellStyle name="20% - Accent6 2" xfId="3409" xr:uid="{00000000-0005-0000-0000-000098080000}"/>
    <cellStyle name="20% - Accent6 2 2" xfId="3410" xr:uid="{00000000-0005-0000-0000-000099080000}"/>
    <cellStyle name="20% - Accent6 3" xfId="3411" xr:uid="{00000000-0005-0000-0000-00009A080000}"/>
    <cellStyle name="20% - Accent6 4" xfId="3412" xr:uid="{00000000-0005-0000-0000-00009B080000}"/>
    <cellStyle name="20% - Accent6 5" xfId="3413" xr:uid="{00000000-0005-0000-0000-00009C080000}"/>
    <cellStyle name="3" xfId="2251" xr:uid="{00000000-0005-0000-0000-00009D080000}"/>
    <cellStyle name="3 Decimals" xfId="3414" xr:uid="{00000000-0005-0000-0000-00009E080000}"/>
    <cellStyle name="3_Quasi Rent Illustration" xfId="2252" xr:uid="{00000000-0005-0000-0000-00009F080000}"/>
    <cellStyle name="3_YLC" xfId="2253" xr:uid="{00000000-0005-0000-0000-0000A0080000}"/>
    <cellStyle name="40% - Accent1 2" xfId="3415" xr:uid="{00000000-0005-0000-0000-0000A1080000}"/>
    <cellStyle name="40% - Accent1 2 2" xfId="3416" xr:uid="{00000000-0005-0000-0000-0000A2080000}"/>
    <cellStyle name="40% - Accent1 3" xfId="3417" xr:uid="{00000000-0005-0000-0000-0000A3080000}"/>
    <cellStyle name="40% - Accent1 4" xfId="3418" xr:uid="{00000000-0005-0000-0000-0000A4080000}"/>
    <cellStyle name="40% - Accent1 5" xfId="3419" xr:uid="{00000000-0005-0000-0000-0000A5080000}"/>
    <cellStyle name="40% - Accent2 2" xfId="3420" xr:uid="{00000000-0005-0000-0000-0000A6080000}"/>
    <cellStyle name="40% - Accent2 2 2" xfId="3421" xr:uid="{00000000-0005-0000-0000-0000A7080000}"/>
    <cellStyle name="40% - Accent2 3" xfId="3422" xr:uid="{00000000-0005-0000-0000-0000A8080000}"/>
    <cellStyle name="40% - Accent2 4" xfId="3423" xr:uid="{00000000-0005-0000-0000-0000A9080000}"/>
    <cellStyle name="40% - Accent2 5" xfId="3424" xr:uid="{00000000-0005-0000-0000-0000AA080000}"/>
    <cellStyle name="40% - Accent3 2" xfId="3425" xr:uid="{00000000-0005-0000-0000-0000AB080000}"/>
    <cellStyle name="40% - Accent3 2 2" xfId="3426" xr:uid="{00000000-0005-0000-0000-0000AC080000}"/>
    <cellStyle name="40% - Accent3 3" xfId="3427" xr:uid="{00000000-0005-0000-0000-0000AD080000}"/>
    <cellStyle name="40% - Accent3 4" xfId="3428" xr:uid="{00000000-0005-0000-0000-0000AE080000}"/>
    <cellStyle name="40% - Accent3 5" xfId="3429" xr:uid="{00000000-0005-0000-0000-0000AF080000}"/>
    <cellStyle name="40% - Accent4 2" xfId="3430" xr:uid="{00000000-0005-0000-0000-0000B0080000}"/>
    <cellStyle name="40% - Accent4 2 2" xfId="3431" xr:uid="{00000000-0005-0000-0000-0000B1080000}"/>
    <cellStyle name="40% - Accent4 3" xfId="3432" xr:uid="{00000000-0005-0000-0000-0000B2080000}"/>
    <cellStyle name="40% - Accent4 4" xfId="3433" xr:uid="{00000000-0005-0000-0000-0000B3080000}"/>
    <cellStyle name="40% - Accent4 5" xfId="3434" xr:uid="{00000000-0005-0000-0000-0000B4080000}"/>
    <cellStyle name="40% - Accent5 2" xfId="3435" xr:uid="{00000000-0005-0000-0000-0000B5080000}"/>
    <cellStyle name="40% - Accent5 2 2" xfId="3436" xr:uid="{00000000-0005-0000-0000-0000B6080000}"/>
    <cellStyle name="40% - Accent5 3" xfId="3437" xr:uid="{00000000-0005-0000-0000-0000B7080000}"/>
    <cellStyle name="40% - Accent5 4" xfId="3438" xr:uid="{00000000-0005-0000-0000-0000B8080000}"/>
    <cellStyle name="40% - Accent5 5" xfId="3439" xr:uid="{00000000-0005-0000-0000-0000B9080000}"/>
    <cellStyle name="40% - Accent6 2" xfId="3440" xr:uid="{00000000-0005-0000-0000-0000BA080000}"/>
    <cellStyle name="40% - Accent6 2 2" xfId="3441" xr:uid="{00000000-0005-0000-0000-0000BB080000}"/>
    <cellStyle name="40% - Accent6 3" xfId="3442" xr:uid="{00000000-0005-0000-0000-0000BC080000}"/>
    <cellStyle name="40% - Accent6 4" xfId="3443" xr:uid="{00000000-0005-0000-0000-0000BD080000}"/>
    <cellStyle name="40% - Accent6 5" xfId="3444" xr:uid="{00000000-0005-0000-0000-0000BE080000}"/>
    <cellStyle name="5_Percent" xfId="3636" xr:uid="{00000000-0005-0000-0000-0000BF080000}"/>
    <cellStyle name="5_Percent 5" xfId="3625" xr:uid="{00000000-0005-0000-0000-0000C0080000}"/>
    <cellStyle name="60% - Accent1 2" xfId="3445" xr:uid="{00000000-0005-0000-0000-0000C1080000}"/>
    <cellStyle name="60% - Accent1 2 2" xfId="3446" xr:uid="{00000000-0005-0000-0000-0000C2080000}"/>
    <cellStyle name="60% - Accent2 2" xfId="3447" xr:uid="{00000000-0005-0000-0000-0000C3080000}"/>
    <cellStyle name="60% - Accent2 2 2" xfId="3448" xr:uid="{00000000-0005-0000-0000-0000C4080000}"/>
    <cellStyle name="60% - Accent3 2" xfId="3449" xr:uid="{00000000-0005-0000-0000-0000C5080000}"/>
    <cellStyle name="60% - Accent3 2 2" xfId="3450" xr:uid="{00000000-0005-0000-0000-0000C6080000}"/>
    <cellStyle name="60% - Accent4 2" xfId="3451" xr:uid="{00000000-0005-0000-0000-0000C7080000}"/>
    <cellStyle name="60% - Accent4 2 2" xfId="3452" xr:uid="{00000000-0005-0000-0000-0000C8080000}"/>
    <cellStyle name="60% - Accent5 2" xfId="3453" xr:uid="{00000000-0005-0000-0000-0000C9080000}"/>
    <cellStyle name="60% - Accent5 2 2" xfId="3454" xr:uid="{00000000-0005-0000-0000-0000CA080000}"/>
    <cellStyle name="60% - Accent6 2" xfId="3455" xr:uid="{00000000-0005-0000-0000-0000CB080000}"/>
    <cellStyle name="60% - Accent6 2 2" xfId="3456" xr:uid="{00000000-0005-0000-0000-0000CC080000}"/>
    <cellStyle name="752131" xfId="498" xr:uid="{00000000-0005-0000-0000-0000CD080000}"/>
    <cellStyle name="a" xfId="6" xr:uid="{00000000-0005-0000-0000-0000CE080000}"/>
    <cellStyle name="ac" xfId="499" xr:uid="{00000000-0005-0000-0000-0000CF080000}"/>
    <cellStyle name="Accent1 2" xfId="3457" xr:uid="{00000000-0005-0000-0000-0000D0080000}"/>
    <cellStyle name="Accent1 2 2" xfId="3458" xr:uid="{00000000-0005-0000-0000-0000D1080000}"/>
    <cellStyle name="Accent2 2" xfId="3459" xr:uid="{00000000-0005-0000-0000-0000D2080000}"/>
    <cellStyle name="Accent2 2 2" xfId="3460" xr:uid="{00000000-0005-0000-0000-0000D3080000}"/>
    <cellStyle name="Accent3 2" xfId="3461" xr:uid="{00000000-0005-0000-0000-0000D4080000}"/>
    <cellStyle name="Accent3 2 2" xfId="3462" xr:uid="{00000000-0005-0000-0000-0000D5080000}"/>
    <cellStyle name="Accent4 2" xfId="3463" xr:uid="{00000000-0005-0000-0000-0000D6080000}"/>
    <cellStyle name="Accent4 2 2" xfId="3464" xr:uid="{00000000-0005-0000-0000-0000D7080000}"/>
    <cellStyle name="Accent5 2" xfId="3465" xr:uid="{00000000-0005-0000-0000-0000D8080000}"/>
    <cellStyle name="Accent5 2 2" xfId="3466" xr:uid="{00000000-0005-0000-0000-0000D9080000}"/>
    <cellStyle name="Accent6 2" xfId="3467" xr:uid="{00000000-0005-0000-0000-0000DA080000}"/>
    <cellStyle name="Accent6 2 2" xfId="3468" xr:uid="{00000000-0005-0000-0000-0000DB080000}"/>
    <cellStyle name="acct" xfId="3469" xr:uid="{00000000-0005-0000-0000-0000DC080000}"/>
    <cellStyle name="Acct 0" xfId="500" xr:uid="{00000000-0005-0000-0000-0000DD080000}"/>
    <cellStyle name="Acct 1" xfId="501" xr:uid="{00000000-0005-0000-0000-0000DE080000}"/>
    <cellStyle name="Acct 1,$" xfId="502" xr:uid="{00000000-0005-0000-0000-0000DF080000}"/>
    <cellStyle name="Acquisition" xfId="503" xr:uid="{00000000-0005-0000-0000-0000E1080000}"/>
    <cellStyle name="act" xfId="3470" xr:uid="{00000000-0005-0000-0000-0000E2080000}"/>
    <cellStyle name="Actual data" xfId="3471" xr:uid="{00000000-0005-0000-0000-0000E3080000}"/>
    <cellStyle name="Actual Date" xfId="504" xr:uid="{00000000-0005-0000-0000-0000E4080000}"/>
    <cellStyle name="Actual year" xfId="3472" xr:uid="{00000000-0005-0000-0000-0000E5080000}"/>
    <cellStyle name="Actuals Cells" xfId="3473" xr:uid="{00000000-0005-0000-0000-0000E6080000}"/>
    <cellStyle name="AFE" xfId="505" xr:uid="{00000000-0005-0000-0000-0000E7080000}"/>
    <cellStyle name="aht" xfId="506" xr:uid="{00000000-0005-0000-0000-0000E8080000}"/>
    <cellStyle name="AJHCustom" xfId="3474" xr:uid="{00000000-0005-0000-0000-0000E9080000}"/>
    <cellStyle name="Año" xfId="507" xr:uid="{00000000-0005-0000-0000-0000EA080000}"/>
    <cellStyle name="ARaging" xfId="508" xr:uid="{00000000-0005-0000-0000-0000EB080000}"/>
    <cellStyle name="args.style" xfId="1745" xr:uid="{00000000-0005-0000-0000-0000EC080000}"/>
    <cellStyle name="arial" xfId="3475" xr:uid="{00000000-0005-0000-0000-0000ED080000}"/>
    <cellStyle name="Arial 10" xfId="509" xr:uid="{00000000-0005-0000-0000-0000EE080000}"/>
    <cellStyle name="Arial 12" xfId="510" xr:uid="{00000000-0005-0000-0000-0000EF080000}"/>
    <cellStyle name="Arial6Bold" xfId="3476" xr:uid="{00000000-0005-0000-0000-0000F0080000}"/>
    <cellStyle name="Arial8Bold" xfId="3477" xr:uid="{00000000-0005-0000-0000-0000F1080000}"/>
    <cellStyle name="Arial8Italic" xfId="3478" xr:uid="{00000000-0005-0000-0000-0000F2080000}"/>
    <cellStyle name="ArialNormal" xfId="511" xr:uid="{00000000-0005-0000-0000-0000F3080000}"/>
    <cellStyle name="As_Reported" xfId="3479" xr:uid="{00000000-0005-0000-0000-0000F4080000}"/>
    <cellStyle name="AsNorm" xfId="512" xr:uid="{00000000-0005-0000-0000-0000F5080000}"/>
    <cellStyle name="AsPer" xfId="513" xr:uid="{00000000-0005-0000-0000-0000F6080000}"/>
    <cellStyle name="Ass_perc" xfId="514" xr:uid="{00000000-0005-0000-0000-0000F7080000}"/>
    <cellStyle name="Assum 0" xfId="515" xr:uid="{00000000-0005-0000-0000-0000F8080000}"/>
    <cellStyle name="Assum 0 2" xfId="3655" xr:uid="{00000000-0005-0000-0000-0000F9080000}"/>
    <cellStyle name="Assum 1,$" xfId="516" xr:uid="{00000000-0005-0000-0000-0000FA080000}"/>
    <cellStyle name="Assum 1,$ 2" xfId="3656" xr:uid="{00000000-0005-0000-0000-0000FB080000}"/>
    <cellStyle name="Assum 1,%" xfId="517" xr:uid="{00000000-0005-0000-0000-0000FC080000}"/>
    <cellStyle name="Assum 1,% 2" xfId="3657" xr:uid="{00000000-0005-0000-0000-0000FD080000}"/>
    <cellStyle name="Assumption" xfId="518" xr:uid="{00000000-0005-0000-0000-0000FE080000}"/>
    <cellStyle name="Assumptions" xfId="519" xr:uid="{00000000-0005-0000-0000-0000FF080000}"/>
    <cellStyle name="Assumptions % 0 dp" xfId="520" xr:uid="{00000000-0005-0000-0000-000000090000}"/>
    <cellStyle name="Assumptions % 1 dp" xfId="521" xr:uid="{00000000-0005-0000-0000-000001090000}"/>
    <cellStyle name="Assumptions % 2 dp" xfId="522" xr:uid="{00000000-0005-0000-0000-000002090000}"/>
    <cellStyle name="Assumptions % 3 dp" xfId="523" xr:uid="{00000000-0005-0000-0000-000003090000}"/>
    <cellStyle name="Assumptions 0 dp" xfId="524" xr:uid="{00000000-0005-0000-0000-000004090000}"/>
    <cellStyle name="Assumptions 1 dp" xfId="525" xr:uid="{00000000-0005-0000-0000-000005090000}"/>
    <cellStyle name="Assumptions 2 dp" xfId="526" xr:uid="{00000000-0005-0000-0000-000006090000}"/>
    <cellStyle name="Assumptions 3 dp" xfId="527" xr:uid="{00000000-0005-0000-0000-000007090000}"/>
    <cellStyle name="Assumptions x 1 dp" xfId="528" xr:uid="{00000000-0005-0000-0000-000008090000}"/>
    <cellStyle name="Assumptions x 2 dp" xfId="529" xr:uid="{00000000-0005-0000-0000-000009090000}"/>
    <cellStyle name="ast" xfId="530" xr:uid="{00000000-0005-0000-0000-00000A090000}"/>
    <cellStyle name="at" xfId="531" xr:uid="{00000000-0005-0000-0000-00000B090000}"/>
    <cellStyle name="Attention" xfId="532" xr:uid="{00000000-0005-0000-0000-00000C090000}"/>
    <cellStyle name="Awaiting LAS" xfId="3480" xr:uid="{00000000-0005-0000-0000-00000D090000}"/>
    <cellStyle name="b" xfId="533" xr:uid="{00000000-0005-0000-0000-00000E090000}"/>
    <cellStyle name="b$0" xfId="534" xr:uid="{00000000-0005-0000-0000-00000F090000}"/>
    <cellStyle name="b$1" xfId="535" xr:uid="{00000000-0005-0000-0000-000010090000}"/>
    <cellStyle name="b$2" xfId="536" xr:uid="{00000000-0005-0000-0000-000011090000}"/>
    <cellStyle name="b%0" xfId="537" xr:uid="{00000000-0005-0000-0000-000012090000}"/>
    <cellStyle name="b%1" xfId="538" xr:uid="{00000000-0005-0000-0000-000013090000}"/>
    <cellStyle name="b%2" xfId="539" xr:uid="{00000000-0005-0000-0000-000014090000}"/>
    <cellStyle name="b_Eagle Bear model v8" xfId="540" xr:uid="{00000000-0005-0000-0000-000015090000}"/>
    <cellStyle name="b_Feeder" xfId="541" xr:uid="{00000000-0005-0000-0000-000016090000}"/>
    <cellStyle name="b_GKN_FNM model v3" xfId="542" xr:uid="{00000000-0005-0000-0000-000017090000}"/>
    <cellStyle name="b_GKN_FNM model v3 2" xfId="3658" xr:uid="{00000000-0005-0000-0000-000018090000}"/>
    <cellStyle name="b_Impress - Shareholder returns - JPM Apr 26" xfId="543" xr:uid="{00000000-0005-0000-0000-000019090000}"/>
    <cellStyle name="b_M&amp;A Model" xfId="544" xr:uid="{00000000-0005-0000-0000-00001A090000}"/>
    <cellStyle name="b_M&amp;A projections" xfId="545" xr:uid="{00000000-0005-0000-0000-00001B090000}"/>
    <cellStyle name="b_Mivisa DCF v1" xfId="546" xr:uid="{00000000-0005-0000-0000-00001C090000}"/>
    <cellStyle name="b_Project Lucy model v40 160305" xfId="8" xr:uid="{00000000-0005-0000-0000-00001D090000}"/>
    <cellStyle name="b_Project Lucy model v40 160305 2" xfId="2254" xr:uid="{00000000-0005-0000-0000-00001E090000}"/>
    <cellStyle name="b_Project Lucy model v40 160305 2 2" xfId="3713" xr:uid="{00000000-0005-0000-0000-00001F090000}"/>
    <cellStyle name="b_Project Lucy model v40 160305 3" xfId="3644" xr:uid="{00000000-0005-0000-0000-000020090000}"/>
    <cellStyle name="b_Project Lucy model v40 160305_Gondola Debt &amp; Valuation Model - 041109" xfId="1688" xr:uid="{00000000-0005-0000-0000-000021090000}"/>
    <cellStyle name="b_Project Lucy model v40 160305_Gondola Debt &amp; Valuation Model - 041109 2" xfId="3700" xr:uid="{00000000-0005-0000-0000-000022090000}"/>
    <cellStyle name="b£0" xfId="547" xr:uid="{00000000-0005-0000-0000-000023090000}"/>
    <cellStyle name="b£1" xfId="548" xr:uid="{00000000-0005-0000-0000-000024090000}"/>
    <cellStyle name="b£2" xfId="549" xr:uid="{00000000-0005-0000-0000-000025090000}"/>
    <cellStyle name="b0" xfId="550" xr:uid="{00000000-0005-0000-0000-000026090000}"/>
    <cellStyle name="b09" xfId="551" xr:uid="{00000000-0005-0000-0000-000027090000}"/>
    <cellStyle name="b1" xfId="552" xr:uid="{00000000-0005-0000-0000-000028090000}"/>
    <cellStyle name="b2" xfId="553" xr:uid="{00000000-0005-0000-0000-000029090000}"/>
    <cellStyle name="Bad 2" xfId="3481" xr:uid="{00000000-0005-0000-0000-00002A090000}"/>
    <cellStyle name="Bad 2 2" xfId="3482" xr:uid="{00000000-0005-0000-0000-00002B090000}"/>
    <cellStyle name="BalanceSheet" xfId="554" xr:uid="{00000000-0005-0000-0000-00002C090000}"/>
    <cellStyle name="Banner" xfId="3483" xr:uid="{00000000-0005-0000-0000-00002D090000}"/>
    <cellStyle name="Basic" xfId="555" xr:uid="{00000000-0005-0000-0000-00002E090000}"/>
    <cellStyle name="Basis points" xfId="556" xr:uid="{00000000-0005-0000-0000-00002F090000}"/>
    <cellStyle name="bbox" xfId="3484" xr:uid="{00000000-0005-0000-0000-000030090000}"/>
    <cellStyle name="Besuchter Hyperlink_Key assumptions GX companies" xfId="557" xr:uid="{00000000-0005-0000-0000-000031090000}"/>
    <cellStyle name="Billion" xfId="558" xr:uid="{00000000-0005-0000-0000-000032090000}"/>
    <cellStyle name="bjla" xfId="559" xr:uid="{00000000-0005-0000-0000-000033090000}"/>
    <cellStyle name="bl" xfId="560" xr:uid="{00000000-0005-0000-0000-000034090000}"/>
    <cellStyle name="black" xfId="561" xr:uid="{00000000-0005-0000-0000-000035090000}"/>
    <cellStyle name="Black block" xfId="562" xr:uid="{00000000-0005-0000-0000-000036090000}"/>
    <cellStyle name="Black Text" xfId="563" xr:uid="{00000000-0005-0000-0000-000037090000}"/>
    <cellStyle name="Black Text (No Wrap)" xfId="564" xr:uid="{00000000-0005-0000-0000-000038090000}"/>
    <cellStyle name="Black_Feeder" xfId="565" xr:uid="{00000000-0005-0000-0000-000039090000}"/>
    <cellStyle name="BlackStrike" xfId="566" xr:uid="{00000000-0005-0000-0000-00003A090000}"/>
    <cellStyle name="BlackText" xfId="567" xr:uid="{00000000-0005-0000-0000-00003B090000}"/>
    <cellStyle name="BlackTitle" xfId="568" xr:uid="{00000000-0005-0000-0000-00003C090000}"/>
    <cellStyle name="Blank" xfId="569" xr:uid="{00000000-0005-0000-0000-00003D090000}"/>
    <cellStyle name="Blank [$]" xfId="570" xr:uid="{00000000-0005-0000-0000-00003E090000}"/>
    <cellStyle name="Blank [%]" xfId="571" xr:uid="{00000000-0005-0000-0000-00003F090000}"/>
    <cellStyle name="Blank [,]" xfId="572" xr:uid="{00000000-0005-0000-0000-000040090000}"/>
    <cellStyle name="Blank [1$]" xfId="573" xr:uid="{00000000-0005-0000-0000-000041090000}"/>
    <cellStyle name="Blank [1%]" xfId="574" xr:uid="{00000000-0005-0000-0000-000042090000}"/>
    <cellStyle name="Blank [1,]" xfId="575" xr:uid="{00000000-0005-0000-0000-000043090000}"/>
    <cellStyle name="Blank [2$]" xfId="576" xr:uid="{00000000-0005-0000-0000-000044090000}"/>
    <cellStyle name="Blank [2%]" xfId="577" xr:uid="{00000000-0005-0000-0000-000045090000}"/>
    <cellStyle name="Blank [2,]" xfId="578" xr:uid="{00000000-0005-0000-0000-000046090000}"/>
    <cellStyle name="Blank [3$]" xfId="579" xr:uid="{00000000-0005-0000-0000-000047090000}"/>
    <cellStyle name="Blank [3%]" xfId="580" xr:uid="{00000000-0005-0000-0000-000048090000}"/>
    <cellStyle name="Blank [3,]" xfId="581" xr:uid="{00000000-0005-0000-0000-000049090000}"/>
    <cellStyle name="blank_Feeder" xfId="582" xr:uid="{00000000-0005-0000-0000-00004A090000}"/>
    <cellStyle name="block" xfId="583" xr:uid="{00000000-0005-0000-0000-00004B090000}"/>
    <cellStyle name="Block Titles" xfId="3485" xr:uid="{00000000-0005-0000-0000-00004C090000}"/>
    <cellStyle name="Block Titles 2" xfId="3808" xr:uid="{00000000-0005-0000-0000-00004D090000}"/>
    <cellStyle name="blp_column_header" xfId="3637" xr:uid="{00000000-0005-0000-0000-00004E090000}"/>
    <cellStyle name="blu" xfId="584" xr:uid="{00000000-0005-0000-0000-00004F090000}"/>
    <cellStyle name="Blue" xfId="585" xr:uid="{00000000-0005-0000-0000-000050090000}"/>
    <cellStyle name="Blue heading" xfId="3486" xr:uid="{00000000-0005-0000-0000-000051090000}"/>
    <cellStyle name="blue shading" xfId="586" xr:uid="{00000000-0005-0000-0000-000052090000}"/>
    <cellStyle name="Blue Text" xfId="587" xr:uid="{00000000-0005-0000-0000-000053090000}"/>
    <cellStyle name="Blue Text - Ariel 10" xfId="588" xr:uid="{00000000-0005-0000-0000-000054090000}"/>
    <cellStyle name="Blue Title" xfId="3487" xr:uid="{00000000-0005-0000-0000-000055090000}"/>
    <cellStyle name="blue$00" xfId="3488" xr:uid="{00000000-0005-0000-0000-000056090000}"/>
    <cellStyle name="Blue&amp;white" xfId="589" xr:uid="{00000000-0005-0000-0000-000057090000}"/>
    <cellStyle name="Blue_02 Enersys - SAFT Merger_DH" xfId="3489" xr:uid="{00000000-0005-0000-0000-000058090000}"/>
    <cellStyle name="BLuedashZero" xfId="590" xr:uid="{00000000-0005-0000-0000-000059090000}"/>
    <cellStyle name="bluenodec" xfId="591" xr:uid="{00000000-0005-0000-0000-00005A090000}"/>
    <cellStyle name="bluepercent" xfId="592" xr:uid="{00000000-0005-0000-0000-00005B090000}"/>
    <cellStyle name="bo" xfId="593" xr:uid="{00000000-0005-0000-0000-00005C090000}"/>
    <cellStyle name="bobby" xfId="594" xr:uid="{00000000-0005-0000-0000-00005D090000}"/>
    <cellStyle name="Body_$Dollars" xfId="595" xr:uid="{00000000-0005-0000-0000-00005E090000}"/>
    <cellStyle name="bold" xfId="596" xr:uid="{00000000-0005-0000-0000-00005F090000}"/>
    <cellStyle name="Bold/Border" xfId="597" xr:uid="{00000000-0005-0000-0000-000060090000}"/>
    <cellStyle name="BoldText" xfId="598" xr:uid="{00000000-0005-0000-0000-000061090000}"/>
    <cellStyle name="BoldText 2" xfId="3659" xr:uid="{00000000-0005-0000-0000-000062090000}"/>
    <cellStyle name="bord" xfId="3490" xr:uid="{00000000-0005-0000-0000-000063090000}"/>
    <cellStyle name="Border" xfId="599" xr:uid="{00000000-0005-0000-0000-000064090000}"/>
    <cellStyle name="Border Heavy" xfId="600" xr:uid="{00000000-0005-0000-0000-000065090000}"/>
    <cellStyle name="Border Heavy Up" xfId="601" xr:uid="{00000000-0005-0000-0000-000066090000}"/>
    <cellStyle name="Border Thick" xfId="602" xr:uid="{00000000-0005-0000-0000-000067090000}"/>
    <cellStyle name="Border Thin" xfId="603" xr:uid="{00000000-0005-0000-0000-000068090000}"/>
    <cellStyle name="Border Thin Up" xfId="604" xr:uid="{00000000-0005-0000-0000-000069090000}"/>
    <cellStyle name="Border Thin Up 2" xfId="3660" xr:uid="{00000000-0005-0000-0000-00006A090000}"/>
    <cellStyle name="Border Thin_040921_Eutelsat_LBOModel_v1" xfId="605" xr:uid="{00000000-0005-0000-0000-00006B090000}"/>
    <cellStyle name="Border Years" xfId="3491" xr:uid="{00000000-0005-0000-0000-00006C090000}"/>
    <cellStyle name="Border, Bottom" xfId="606" xr:uid="{00000000-0005-0000-0000-00006D090000}"/>
    <cellStyle name="Border, Left" xfId="607" xr:uid="{00000000-0005-0000-0000-00006E090000}"/>
    <cellStyle name="Border, Right" xfId="608" xr:uid="{00000000-0005-0000-0000-00006F090000}"/>
    <cellStyle name="Border, Right 2" xfId="3661" xr:uid="{00000000-0005-0000-0000-000070090000}"/>
    <cellStyle name="Border, Top" xfId="609" xr:uid="{00000000-0005-0000-0000-000071090000}"/>
    <cellStyle name="Border, Top 2" xfId="3662" xr:uid="{00000000-0005-0000-0000-000072090000}"/>
    <cellStyle name="Border_Quasi Rent Illustration" xfId="2255" xr:uid="{00000000-0005-0000-0000-000073090000}"/>
    <cellStyle name="Bottom" xfId="610" xr:uid="{00000000-0005-0000-0000-000074090000}"/>
    <cellStyle name="Bottom bold border" xfId="611" xr:uid="{00000000-0005-0000-0000-000075090000}"/>
    <cellStyle name="Bottom Edge" xfId="612" xr:uid="{00000000-0005-0000-0000-000076090000}"/>
    <cellStyle name="Bottom single border" xfId="613" xr:uid="{00000000-0005-0000-0000-000077090000}"/>
    <cellStyle name="bout" xfId="614" xr:uid="{00000000-0005-0000-0000-000078090000}"/>
    <cellStyle name="bout 2" xfId="3663" xr:uid="{00000000-0005-0000-0000-000079090000}"/>
    <cellStyle name="BoxHeading" xfId="615" xr:uid="{00000000-0005-0000-0000-00007A090000}"/>
    <cellStyle name="bp--" xfId="616" xr:uid="{00000000-0005-0000-0000-00007B090000}"/>
    <cellStyle name="Brand Align Left Text" xfId="617" xr:uid="{00000000-0005-0000-0000-00007C090000}"/>
    <cellStyle name="Brand Default" xfId="618" xr:uid="{00000000-0005-0000-0000-00007D090000}"/>
    <cellStyle name="Brand Percent" xfId="619" xr:uid="{00000000-0005-0000-0000-00007E090000}"/>
    <cellStyle name="Brand Source" xfId="620" xr:uid="{00000000-0005-0000-0000-00007F090000}"/>
    <cellStyle name="Brand Subtitle with Underline" xfId="621" xr:uid="{00000000-0005-0000-0000-000080090000}"/>
    <cellStyle name="Brand Subtitle without Underline" xfId="622" xr:uid="{00000000-0005-0000-0000-000081090000}"/>
    <cellStyle name="Brand Title" xfId="623" xr:uid="{00000000-0005-0000-0000-000082090000}"/>
    <cellStyle name="British Pound" xfId="624" xr:uid="{00000000-0005-0000-0000-000083090000}"/>
    <cellStyle name="BritPound" xfId="625" xr:uid="{00000000-0005-0000-0000-000084090000}"/>
    <cellStyle name="bss0" xfId="626" xr:uid="{00000000-0005-0000-0000-000085090000}"/>
    <cellStyle name="bss0 2" xfId="3664" xr:uid="{00000000-0005-0000-0000-000086090000}"/>
    <cellStyle name="bss2" xfId="627" xr:uid="{00000000-0005-0000-0000-000087090000}"/>
    <cellStyle name="bss2 2" xfId="3665" xr:uid="{00000000-0005-0000-0000-000088090000}"/>
    <cellStyle name="bt" xfId="628" xr:uid="{00000000-0005-0000-0000-000089090000}"/>
    <cellStyle name="btit" xfId="629" xr:uid="{00000000-0005-0000-0000-00008A090000}"/>
    <cellStyle name="Bullet" xfId="630" xr:uid="{00000000-0005-0000-0000-00008B090000}"/>
    <cellStyle name="Bullet [0]" xfId="631" xr:uid="{00000000-0005-0000-0000-00008C090000}"/>
    <cellStyle name="Bullet [2]" xfId="632" xr:uid="{00000000-0005-0000-0000-00008D090000}"/>
    <cellStyle name="Bullet [4]" xfId="633" xr:uid="{00000000-0005-0000-0000-00008E090000}"/>
    <cellStyle name="Buyout" xfId="634" xr:uid="{00000000-0005-0000-0000-00008F090000}"/>
    <cellStyle name="bx0" xfId="635" xr:uid="{00000000-0005-0000-0000-000090090000}"/>
    <cellStyle name="bx1" xfId="636" xr:uid="{00000000-0005-0000-0000-000091090000}"/>
    <cellStyle name="bx2" xfId="637" xr:uid="{00000000-0005-0000-0000-000092090000}"/>
    <cellStyle name="c" xfId="638" xr:uid="{00000000-0005-0000-0000-000093090000}"/>
    <cellStyle name="c 2" xfId="3492" xr:uid="{00000000-0005-0000-0000-000094090000}"/>
    <cellStyle name="c_Accretion (2)" xfId="639" xr:uid="{00000000-0005-0000-0000-000095090000}"/>
    <cellStyle name="c_ad3" xfId="640" xr:uid="{00000000-0005-0000-0000-000096090000}"/>
    <cellStyle name="c_ad5" xfId="641" xr:uid="{00000000-0005-0000-0000-000097090000}"/>
    <cellStyle name="c_asko1" xfId="642" xr:uid="{00000000-0005-0000-0000-000098090000}"/>
    <cellStyle name="c_Bal Sheets (2)" xfId="643" xr:uid="{00000000-0005-0000-0000-000099090000}"/>
    <cellStyle name="c_btr_2" xfId="644" xr:uid="{00000000-0005-0000-0000-00009A090000}"/>
    <cellStyle name="c_btr_3" xfId="645" xr:uid="{00000000-0005-0000-0000-00009B090000}"/>
    <cellStyle name="c_Cases (2)" xfId="646" xr:uid="{00000000-0005-0000-0000-00009C090000}"/>
    <cellStyle name="c_Cases (2)_Feeder" xfId="647" xr:uid="{00000000-0005-0000-0000-00009D090000}"/>
    <cellStyle name="c_Cases (2)_M&amp;A Model" xfId="648" xr:uid="{00000000-0005-0000-0000-00009E090000}"/>
    <cellStyle name="c_Cases (2)_M&amp;A projections" xfId="649" xr:uid="{00000000-0005-0000-0000-00009F090000}"/>
    <cellStyle name="c_Cases (3)" xfId="650" xr:uid="{00000000-0005-0000-0000-0000A0090000}"/>
    <cellStyle name="c_Cases (4)" xfId="651" xr:uid="{00000000-0005-0000-0000-0000A1090000}"/>
    <cellStyle name="c_Crown" xfId="652" xr:uid="{00000000-0005-0000-0000-0000A2090000}"/>
    <cellStyle name="c_dccmod1" xfId="653" xr:uid="{00000000-0005-0000-0000-0000A3090000}"/>
    <cellStyle name="c_DCF Matrix (2)" xfId="654" xr:uid="{00000000-0005-0000-0000-0000A4090000}"/>
    <cellStyle name="c_DCF Matrix (3)" xfId="655" xr:uid="{00000000-0005-0000-0000-0000A5090000}"/>
    <cellStyle name="c_DCF Matrix (4)" xfId="656" xr:uid="{00000000-0005-0000-0000-0000A6090000}"/>
    <cellStyle name="c_DMPR Sale (2)" xfId="657" xr:uid="{00000000-0005-0000-0000-0000A7090000}"/>
    <cellStyle name="c_Earnings (2)" xfId="658" xr:uid="{00000000-0005-0000-0000-0000A8090000}"/>
    <cellStyle name="c_Earnings (2)_Feeder" xfId="659" xr:uid="{00000000-0005-0000-0000-0000A9090000}"/>
    <cellStyle name="c_Earnings (2)_M&amp;A Model" xfId="660" xr:uid="{00000000-0005-0000-0000-0000AA090000}"/>
    <cellStyle name="c_Earnings (2)_M&amp;A projections" xfId="661" xr:uid="{00000000-0005-0000-0000-0000AB090000}"/>
    <cellStyle name="c_Earn-out (2)" xfId="662" xr:uid="{00000000-0005-0000-0000-0000AC090000}"/>
    <cellStyle name="c_Euro 2 (2)" xfId="663" xr:uid="{00000000-0005-0000-0000-0000AD090000}"/>
    <cellStyle name="c_Euro PICS (2)" xfId="664" xr:uid="{00000000-0005-0000-0000-0000AE090000}"/>
    <cellStyle name="c_Euro PICS (3)" xfId="665" xr:uid="{00000000-0005-0000-0000-0000AF090000}"/>
    <cellStyle name="c_Europe (2)" xfId="666" xr:uid="{00000000-0005-0000-0000-0000B0090000}"/>
    <cellStyle name="c_Feeder" xfId="667" xr:uid="{00000000-0005-0000-0000-0000B1090000}"/>
    <cellStyle name="c_Grouse+Pelican" xfId="668" xr:uid="{00000000-0005-0000-0000-0000B2090000}"/>
    <cellStyle name="c_Hist Inputs (2)" xfId="669" xr:uid="{00000000-0005-0000-0000-0000B3090000}"/>
    <cellStyle name="c_Hist Inputs (3)" xfId="670" xr:uid="{00000000-0005-0000-0000-0000B4090000}"/>
    <cellStyle name="c_Hist Inputs (4)" xfId="671" xr:uid="{00000000-0005-0000-0000-0000B5090000}"/>
    <cellStyle name="c_LBO" xfId="672" xr:uid="{00000000-0005-0000-0000-0000B6090000}"/>
    <cellStyle name="c_LBO IRR (2)" xfId="673" xr:uid="{00000000-0005-0000-0000-0000B7090000}"/>
    <cellStyle name="c_LBO Sens (2)" xfId="674" xr:uid="{00000000-0005-0000-0000-0000B8090000}"/>
    <cellStyle name="c_LBO Summary (2)" xfId="675" xr:uid="{00000000-0005-0000-0000-0000B9090000}"/>
    <cellStyle name="c_lbo_profstaff1" xfId="3493" xr:uid="{00000000-0005-0000-0000-0000BA090000}"/>
    <cellStyle name="c_lbo_profstaff1 2" xfId="3494" xr:uid="{00000000-0005-0000-0000-0000BB090000}"/>
    <cellStyle name="c_lbo1" xfId="676" xr:uid="{00000000-0005-0000-0000-0000BC090000}"/>
    <cellStyle name="c_lbo3" xfId="677" xr:uid="{00000000-0005-0000-0000-0000BD090000}"/>
    <cellStyle name="c_LBO5" xfId="678" xr:uid="{00000000-0005-0000-0000-0000BE090000}"/>
    <cellStyle name="c_M&amp;A Model" xfId="679" xr:uid="{00000000-0005-0000-0000-0000BF090000}"/>
    <cellStyle name="c_M&amp;A projections" xfId="680" xr:uid="{00000000-0005-0000-0000-0000C0090000}"/>
    <cellStyle name="c_Macros" xfId="681" xr:uid="{00000000-0005-0000-0000-0000C1090000}"/>
    <cellStyle name="c_Macros (2)" xfId="682" xr:uid="{00000000-0005-0000-0000-0000C2090000}"/>
    <cellStyle name="c_Manager (2)" xfId="683" xr:uid="{00000000-0005-0000-0000-0000C3090000}"/>
    <cellStyle name="c_mod7" xfId="684" xr:uid="{00000000-0005-0000-0000-0000C4090000}"/>
    <cellStyle name="c_mod9" xfId="685" xr:uid="{00000000-0005-0000-0000-0000C5090000}"/>
    <cellStyle name="c_model1" xfId="686" xr:uid="{00000000-0005-0000-0000-0000C6090000}"/>
    <cellStyle name="c_model6" xfId="687" xr:uid="{00000000-0005-0000-0000-0000C7090000}"/>
    <cellStyle name="c_NOL (2)" xfId="688" xr:uid="{00000000-0005-0000-0000-0000C8090000}"/>
    <cellStyle name="c_PFMA Cap (2)" xfId="689" xr:uid="{00000000-0005-0000-0000-0000C9090000}"/>
    <cellStyle name="c_PFMA Credit (2)" xfId="690" xr:uid="{00000000-0005-0000-0000-0000CA090000}"/>
    <cellStyle name="c_quarterly template" xfId="691" xr:uid="{00000000-0005-0000-0000-0000CB090000}"/>
    <cellStyle name="c_Restructuring (2)" xfId="692" xr:uid="{00000000-0005-0000-0000-0000CC090000}"/>
    <cellStyle name="c_Revised" xfId="693" xr:uid="{00000000-0005-0000-0000-0000CD090000}"/>
    <cellStyle name="c_saft_1" xfId="694" xr:uid="{00000000-0005-0000-0000-0000CE090000}"/>
    <cellStyle name="c_Schedules (2)" xfId="695" xr:uid="{00000000-0005-0000-0000-0000CF090000}"/>
    <cellStyle name="c_Spring Final model" xfId="696" xr:uid="{00000000-0005-0000-0000-0000D0090000}"/>
    <cellStyle name="c_Standalone (2)" xfId="697" xr:uid="{00000000-0005-0000-0000-0000D1090000}"/>
    <cellStyle name="c_Trading Val Calc (2)" xfId="698" xr:uid="{00000000-0005-0000-0000-0000D2090000}"/>
    <cellStyle name="c_Val Sum (2)" xfId="699" xr:uid="{00000000-0005-0000-0000-0000D3090000}"/>
    <cellStyle name="c_WACC benchmarking" xfId="700" xr:uid="{00000000-0005-0000-0000-0000D4090000}"/>
    <cellStyle name="c_WACC benchmarking_Blank LBO Model v15" xfId="701" xr:uid="{00000000-0005-0000-0000-0000D5090000}"/>
    <cellStyle name="c_WACC benchmarking_Crown Holdings  - LBO Model 1.8 covenants_3 Aug" xfId="702" xr:uid="{00000000-0005-0000-0000-0000D6090000}"/>
    <cellStyle name="c_WACC benchmarking_George - LBO Model 3.1" xfId="703" xr:uid="{00000000-0005-0000-0000-0000D7090000}"/>
    <cellStyle name="c_West Ham (2)" xfId="704" xr:uid="{00000000-0005-0000-0000-0000D8090000}"/>
    <cellStyle name="c_Westham (2)" xfId="705" xr:uid="{00000000-0005-0000-0000-0000D9090000}"/>
    <cellStyle name="c_Wool_01_07_12_1999" xfId="706" xr:uid="{00000000-0005-0000-0000-0000DA090000}"/>
    <cellStyle name="c_Wool_14_12_1999_2" xfId="707" xr:uid="{00000000-0005-0000-0000-0000DB090000}"/>
    <cellStyle name="c_Wool_15_02_2000" xfId="708" xr:uid="{00000000-0005-0000-0000-0000DC090000}"/>
    <cellStyle name="c_Wool_28_01_2000_02" xfId="709" xr:uid="{00000000-0005-0000-0000-0000DD090000}"/>
    <cellStyle name="c_WoolEuro_12_04_2000_02" xfId="710" xr:uid="{00000000-0005-0000-0000-0000DE090000}"/>
    <cellStyle name="c_WoolEuro_17_03_2000" xfId="711" xr:uid="{00000000-0005-0000-0000-0000DF090000}"/>
    <cellStyle name="c_WoolEuro_20_03_2000_3" xfId="712" xr:uid="{00000000-0005-0000-0000-0000E0090000}"/>
    <cellStyle name="c_WoolEuroEx_14_04_2000_01" xfId="713" xr:uid="{00000000-0005-0000-0000-0000E1090000}"/>
    <cellStyle name="c0" xfId="714" xr:uid="{00000000-0005-0000-0000-0000E2090000}"/>
    <cellStyle name="c2" xfId="715" xr:uid="{00000000-0005-0000-0000-0000E3090000}"/>
    <cellStyle name="Cabecera 1" xfId="3495" xr:uid="{00000000-0005-0000-0000-0000E4090000}"/>
    <cellStyle name="Cabecera 2" xfId="3496" xr:uid="{00000000-0005-0000-0000-0000E5090000}"/>
    <cellStyle name="cach" xfId="716" xr:uid="{00000000-0005-0000-0000-0000E6090000}"/>
    <cellStyle name="CALC Amount" xfId="2256" xr:uid="{00000000-0005-0000-0000-0000E7090000}"/>
    <cellStyle name="CALC Amount Total" xfId="2257" xr:uid="{00000000-0005-0000-0000-0000E8090000}"/>
    <cellStyle name="CALC Amount Total 2" xfId="3714" xr:uid="{00000000-0005-0000-0000-0000E9090000}"/>
    <cellStyle name="Calc Cells" xfId="3497" xr:uid="{00000000-0005-0000-0000-0000EA090000}"/>
    <cellStyle name="Calc Currency (0)" xfId="717" xr:uid="{00000000-0005-0000-0000-0000EB090000}"/>
    <cellStyle name="Calc Currency (2)" xfId="718" xr:uid="{00000000-0005-0000-0000-0000EC090000}"/>
    <cellStyle name="Calc Percent (0)" xfId="719" xr:uid="{00000000-0005-0000-0000-0000ED090000}"/>
    <cellStyle name="Calc Percent (1)" xfId="720" xr:uid="{00000000-0005-0000-0000-0000EE090000}"/>
    <cellStyle name="Calc Percent (2)" xfId="721" xr:uid="{00000000-0005-0000-0000-0000EF090000}"/>
    <cellStyle name="Calc Units (0)" xfId="722" xr:uid="{00000000-0005-0000-0000-0000F0090000}"/>
    <cellStyle name="Calc Units (1)" xfId="723" xr:uid="{00000000-0005-0000-0000-0000F1090000}"/>
    <cellStyle name="Calc Units (2)" xfId="724" xr:uid="{00000000-0005-0000-0000-0000F2090000}"/>
    <cellStyle name="Calcs" xfId="725" xr:uid="{00000000-0005-0000-0000-0000F3090000}"/>
    <cellStyle name="Calculation 2" xfId="3498" xr:uid="{00000000-0005-0000-0000-0000F4090000}"/>
    <cellStyle name="Calculation 2 2" xfId="3499" xr:uid="{00000000-0005-0000-0000-0000F5090000}"/>
    <cellStyle name="Case" xfId="726" xr:uid="{00000000-0005-0000-0000-0000F6090000}"/>
    <cellStyle name="CashFlow" xfId="727" xr:uid="{00000000-0005-0000-0000-0000F7090000}"/>
    <cellStyle name="CATV Total" xfId="728" xr:uid="{00000000-0005-0000-0000-0000F8090000}"/>
    <cellStyle name="CB" xfId="729" xr:uid="{00000000-0005-0000-0000-0000F9090000}"/>
    <cellStyle name="center" xfId="730" xr:uid="{00000000-0005-0000-0000-0000FA090000}"/>
    <cellStyle name="Cents" xfId="731" xr:uid="{00000000-0005-0000-0000-0000FB090000}"/>
    <cellStyle name="CK_BrokersInput" xfId="737" xr:uid="{00000000-0005-0000-0000-0000030A0000}"/>
    <cellStyle name="claire" xfId="3502" xr:uid="{00000000-0005-0000-0000-0000040A0000}"/>
    <cellStyle name="CLEAR" xfId="738" xr:uid="{00000000-0005-0000-0000-0000050A0000}"/>
    <cellStyle name="Client Name" xfId="739" xr:uid="{00000000-0005-0000-0000-0000060A0000}"/>
    <cellStyle name="co" xfId="740" xr:uid="{00000000-0005-0000-0000-0000070A0000}"/>
    <cellStyle name="COL HEADINGS" xfId="741" xr:uid="{00000000-0005-0000-0000-0000080A0000}"/>
    <cellStyle name="Colhead_left" xfId="742" xr:uid="{00000000-0005-0000-0000-0000090A0000}"/>
    <cellStyle name="ColHeading" xfId="743" xr:uid="{00000000-0005-0000-0000-00000A0A0000}"/>
    <cellStyle name="colheadleft" xfId="744" xr:uid="{00000000-0005-0000-0000-00000B0A0000}"/>
    <cellStyle name="colheadright" xfId="745" xr:uid="{00000000-0005-0000-0000-00000C0A0000}"/>
    <cellStyle name="Collegamento ipertestuale_MIDI MEDIA1" xfId="3503" xr:uid="{00000000-0005-0000-0000-00000D0A0000}"/>
    <cellStyle name="Column Heading" xfId="746" xr:uid="{00000000-0005-0000-0000-00000E0A0000}"/>
    <cellStyle name="Column Headings" xfId="747" xr:uid="{00000000-0005-0000-0000-00000F0A0000}"/>
    <cellStyle name="Column Title" xfId="748" xr:uid="{00000000-0005-0000-0000-0000100A0000}"/>
    <cellStyle name="column_heading" xfId="749" xr:uid="{00000000-0005-0000-0000-0000110A0000}"/>
    <cellStyle name="ColumnHead" xfId="750" xr:uid="{00000000-0005-0000-0000-0000120A0000}"/>
    <cellStyle name="ColumnHeaders" xfId="751" xr:uid="{00000000-0005-0000-0000-0000130A0000}"/>
    <cellStyle name="ColumnHeading" xfId="752" xr:uid="{00000000-0005-0000-0000-0000140A0000}"/>
    <cellStyle name="Comma  - Style1" xfId="753" xr:uid="{00000000-0005-0000-0000-0000150A0000}"/>
    <cellStyle name="Comma  - Style2" xfId="754" xr:uid="{00000000-0005-0000-0000-0000160A0000}"/>
    <cellStyle name="Comma  - Style3" xfId="755" xr:uid="{00000000-0005-0000-0000-0000170A0000}"/>
    <cellStyle name="Comma  - Style4" xfId="756" xr:uid="{00000000-0005-0000-0000-0000180A0000}"/>
    <cellStyle name="Comma  - Style5" xfId="757" xr:uid="{00000000-0005-0000-0000-0000190A0000}"/>
    <cellStyle name="Comma  - Style6" xfId="758" xr:uid="{00000000-0005-0000-0000-00001A0A0000}"/>
    <cellStyle name="Comma  - Style7" xfId="759" xr:uid="{00000000-0005-0000-0000-00001B0A0000}"/>
    <cellStyle name="Comma  - Style8" xfId="760" xr:uid="{00000000-0005-0000-0000-00001C0A0000}"/>
    <cellStyle name="Comma (0)" xfId="761" xr:uid="{00000000-0005-0000-0000-00001D0A0000}"/>
    <cellStyle name="Comma (0dp)" xfId="762" xr:uid="{00000000-0005-0000-0000-00001E0A0000}"/>
    <cellStyle name="Comma (1dp)" xfId="763" xr:uid="{00000000-0005-0000-0000-00001F0A0000}"/>
    <cellStyle name="Comma (2)" xfId="764" xr:uid="{00000000-0005-0000-0000-0000200A0000}"/>
    <cellStyle name="Comma (2dp)" xfId="765" xr:uid="{00000000-0005-0000-0000-0000210A0000}"/>
    <cellStyle name="Comma ," xfId="766" xr:uid="{00000000-0005-0000-0000-0000220A0000}"/>
    <cellStyle name="Comma [0] Total" xfId="767" xr:uid="{00000000-0005-0000-0000-0000230A0000}"/>
    <cellStyle name="Comma [0] Total 2" xfId="3666" xr:uid="{00000000-0005-0000-0000-0000240A0000}"/>
    <cellStyle name="Comma [00]" xfId="768" xr:uid="{00000000-0005-0000-0000-0000250A0000}"/>
    <cellStyle name="Comma [1]" xfId="769" xr:uid="{00000000-0005-0000-0000-0000260A0000}"/>
    <cellStyle name="Comma [1] Total" xfId="770" xr:uid="{00000000-0005-0000-0000-0000270A0000}"/>
    <cellStyle name="Comma [1] Total 2" xfId="3667" xr:uid="{00000000-0005-0000-0000-0000280A0000}"/>
    <cellStyle name="Comma [1]_Feeder" xfId="771" xr:uid="{00000000-0005-0000-0000-0000290A0000}"/>
    <cellStyle name="Comma [2]" xfId="772" xr:uid="{00000000-0005-0000-0000-00002A0A0000}"/>
    <cellStyle name="Comma [2] Total" xfId="773" xr:uid="{00000000-0005-0000-0000-00002B0A0000}"/>
    <cellStyle name="Comma [2] Total 2" xfId="3668" xr:uid="{00000000-0005-0000-0000-00002C0A0000}"/>
    <cellStyle name="Comma [2]_Funds Flow 01" xfId="774" xr:uid="{00000000-0005-0000-0000-00002D0A0000}"/>
    <cellStyle name="Comma [3]" xfId="775" xr:uid="{00000000-0005-0000-0000-00002E0A0000}"/>
    <cellStyle name="comma [zero]" xfId="776" xr:uid="{00000000-0005-0000-0000-00002F0A0000}"/>
    <cellStyle name="Comma 0" xfId="777" xr:uid="{00000000-0005-0000-0000-0000300A0000}"/>
    <cellStyle name="Comma 0*" xfId="778" xr:uid="{00000000-0005-0000-0000-0000310A0000}"/>
    <cellStyle name="Comma 10" xfId="1709" xr:uid="{00000000-0005-0000-0000-0000330A0000}"/>
    <cellStyle name="Comma 10 2" xfId="3504" xr:uid="{00000000-0005-0000-0000-0000340A0000}"/>
    <cellStyle name="Comma 10 2 2" xfId="3505" xr:uid="{00000000-0005-0000-0000-0000350A0000}"/>
    <cellStyle name="Comma 10 2 3" xfId="3506" xr:uid="{00000000-0005-0000-0000-0000360A0000}"/>
    <cellStyle name="Comma 10 2 4" xfId="3507" xr:uid="{00000000-0005-0000-0000-0000370A0000}"/>
    <cellStyle name="Comma 10 3" xfId="3508" xr:uid="{00000000-0005-0000-0000-0000380A0000}"/>
    <cellStyle name="Comma 10 3 2" xfId="3509" xr:uid="{00000000-0005-0000-0000-0000390A0000}"/>
    <cellStyle name="Comma 10 3 3" xfId="3510" xr:uid="{00000000-0005-0000-0000-00003A0A0000}"/>
    <cellStyle name="Comma 10 3 4" xfId="3511" xr:uid="{00000000-0005-0000-0000-00003B0A0000}"/>
    <cellStyle name="Comma 10 4" xfId="3512" xr:uid="{00000000-0005-0000-0000-00003C0A0000}"/>
    <cellStyle name="Comma 10 5" xfId="3513" xr:uid="{00000000-0005-0000-0000-00003D0A0000}"/>
    <cellStyle name="Comma 10 6" xfId="3514" xr:uid="{00000000-0005-0000-0000-00003E0A0000}"/>
    <cellStyle name="Comma 11" xfId="1729" xr:uid="{00000000-0005-0000-0000-00003F0A0000}"/>
    <cellStyle name="Comma 11 2" xfId="3515" xr:uid="{00000000-0005-0000-0000-0000400A0000}"/>
    <cellStyle name="Comma 11 2 2" xfId="3516" xr:uid="{00000000-0005-0000-0000-0000410A0000}"/>
    <cellStyle name="Comma 11 2 3" xfId="3517" xr:uid="{00000000-0005-0000-0000-0000420A0000}"/>
    <cellStyle name="Comma 11 2 4" xfId="3518" xr:uid="{00000000-0005-0000-0000-0000430A0000}"/>
    <cellStyle name="Comma 11 3" xfId="3519" xr:uid="{00000000-0005-0000-0000-0000440A0000}"/>
    <cellStyle name="Comma 11 3 2" xfId="3520" xr:uid="{00000000-0005-0000-0000-0000450A0000}"/>
    <cellStyle name="Comma 11 3 3" xfId="3521" xr:uid="{00000000-0005-0000-0000-0000460A0000}"/>
    <cellStyle name="Comma 11 3 4" xfId="3522" xr:uid="{00000000-0005-0000-0000-0000470A0000}"/>
    <cellStyle name="Comma 11 4" xfId="3523" xr:uid="{00000000-0005-0000-0000-0000480A0000}"/>
    <cellStyle name="Comma 11 5" xfId="3524" xr:uid="{00000000-0005-0000-0000-0000490A0000}"/>
    <cellStyle name="Comma 11 6" xfId="3525" xr:uid="{00000000-0005-0000-0000-00004A0A0000}"/>
    <cellStyle name="Comma 12" xfId="1732" xr:uid="{00000000-0005-0000-0000-00004B0A0000}"/>
    <cellStyle name="Comma 12 2" xfId="3526" xr:uid="{00000000-0005-0000-0000-00004C0A0000}"/>
    <cellStyle name="Comma 12 3" xfId="3527" xr:uid="{00000000-0005-0000-0000-00004D0A0000}"/>
    <cellStyle name="Comma 13" xfId="1737" xr:uid="{00000000-0005-0000-0000-00004E0A0000}"/>
    <cellStyle name="Comma 13 2" xfId="3528" xr:uid="{00000000-0005-0000-0000-00004F0A0000}"/>
    <cellStyle name="Comma 14" xfId="1740" xr:uid="{00000000-0005-0000-0000-0000500A0000}"/>
    <cellStyle name="Comma 14 2" xfId="3529" xr:uid="{00000000-0005-0000-0000-0000510A0000}"/>
    <cellStyle name="Comma 15" xfId="1744" xr:uid="{00000000-0005-0000-0000-0000520A0000}"/>
    <cellStyle name="Comma 15 2" xfId="3530" xr:uid="{00000000-0005-0000-0000-0000530A0000}"/>
    <cellStyle name="Comma 16" xfId="2258" xr:uid="{00000000-0005-0000-0000-0000540A0000}"/>
    <cellStyle name="Comma 17" xfId="3531" xr:uid="{00000000-0005-0000-0000-0000550A0000}"/>
    <cellStyle name="Comma 18" xfId="3532" xr:uid="{00000000-0005-0000-0000-0000560A0000}"/>
    <cellStyle name="Comma 19" xfId="3533" xr:uid="{00000000-0005-0000-0000-0000570A0000}"/>
    <cellStyle name="Comma 2" xfId="4" xr:uid="{00000000-0005-0000-0000-0000580A0000}"/>
    <cellStyle name="Comma 2 2" xfId="3534" xr:uid="{00000000-0005-0000-0000-0000590A0000}"/>
    <cellStyle name="Comma 2 2 2" xfId="3535" xr:uid="{00000000-0005-0000-0000-00005A0A0000}"/>
    <cellStyle name="Comma 2 3" xfId="3536" xr:uid="{00000000-0005-0000-0000-00005B0A0000}"/>
    <cellStyle name="Comma 2 3 3" xfId="3638" xr:uid="{00000000-0005-0000-0000-00005C0A0000}"/>
    <cellStyle name="Comma 2 4" xfId="3537" xr:uid="{00000000-0005-0000-0000-00005D0A0000}"/>
    <cellStyle name="Comma 2 5" xfId="3538" xr:uid="{00000000-0005-0000-0000-00005E0A0000}"/>
    <cellStyle name="Comma 2 6" xfId="3539" xr:uid="{00000000-0005-0000-0000-00005F0A0000}"/>
    <cellStyle name="Comma 2 7" xfId="3540" xr:uid="{00000000-0005-0000-0000-0000600A0000}"/>
    <cellStyle name="Comma 2 8" xfId="3541" xr:uid="{00000000-0005-0000-0000-0000610A0000}"/>
    <cellStyle name="Comma 2*" xfId="779" xr:uid="{00000000-0005-0000-0000-0000620A0000}"/>
    <cellStyle name="Comma 2_Accretion_Dilution" xfId="780" xr:uid="{00000000-0005-0000-0000-0000630A0000}"/>
    <cellStyle name="Comma 20" xfId="3542" xr:uid="{00000000-0005-0000-0000-0000640A0000}"/>
    <cellStyle name="Comma 20 2" xfId="3543" xr:uid="{00000000-0005-0000-0000-0000650A0000}"/>
    <cellStyle name="Comma 20 3" xfId="3544" xr:uid="{00000000-0005-0000-0000-0000660A0000}"/>
    <cellStyle name="Comma 20 4" xfId="3545" xr:uid="{00000000-0005-0000-0000-0000670A0000}"/>
    <cellStyle name="Comma 21" xfId="3546" xr:uid="{00000000-0005-0000-0000-0000680A0000}"/>
    <cellStyle name="Comma 22" xfId="3547" xr:uid="{00000000-0005-0000-0000-0000690A0000}"/>
    <cellStyle name="Comma 23" xfId="3548" xr:uid="{00000000-0005-0000-0000-00006A0A0000}"/>
    <cellStyle name="Comma 23 2" xfId="3549" xr:uid="{00000000-0005-0000-0000-00006B0A0000}"/>
    <cellStyle name="Comma 23 2 2" xfId="3550" xr:uid="{00000000-0005-0000-0000-00006C0A0000}"/>
    <cellStyle name="Comma 24" xfId="3551" xr:uid="{00000000-0005-0000-0000-00006D0A0000}"/>
    <cellStyle name="Comma 25" xfId="3552" xr:uid="{00000000-0005-0000-0000-00006E0A0000}"/>
    <cellStyle name="Comma 26" xfId="3553" xr:uid="{00000000-0005-0000-0000-00006F0A0000}"/>
    <cellStyle name="Comma 26 2" xfId="3554" xr:uid="{00000000-0005-0000-0000-0000700A0000}"/>
    <cellStyle name="Comma 27" xfId="3555" xr:uid="{00000000-0005-0000-0000-0000710A0000}"/>
    <cellStyle name="Comma 28" xfId="3556" xr:uid="{00000000-0005-0000-0000-0000720A0000}"/>
    <cellStyle name="Comma 3" xfId="1696" xr:uid="{00000000-0005-0000-0000-0000730A0000}"/>
    <cellStyle name="Comma 3 2" xfId="3557" xr:uid="{00000000-0005-0000-0000-0000740A0000}"/>
    <cellStyle name="Comma 3 2 2" xfId="3558" xr:uid="{00000000-0005-0000-0000-0000750A0000}"/>
    <cellStyle name="Comma 3 3" xfId="3559" xr:uid="{00000000-0005-0000-0000-0000760A0000}"/>
    <cellStyle name="Comma 3 4" xfId="3560" xr:uid="{00000000-0005-0000-0000-0000770A0000}"/>
    <cellStyle name="Comma 3 5" xfId="3561" xr:uid="{00000000-0005-0000-0000-0000780A0000}"/>
    <cellStyle name="Comma 3 6" xfId="3562" xr:uid="{00000000-0005-0000-0000-0000790A0000}"/>
    <cellStyle name="Comma 3*" xfId="781" xr:uid="{00000000-0005-0000-0000-00007A0A0000}"/>
    <cellStyle name="Comma 4" xfId="1701" xr:uid="{00000000-0005-0000-0000-00007B0A0000}"/>
    <cellStyle name="Comma 4 2" xfId="3563" xr:uid="{00000000-0005-0000-0000-00007C0A0000}"/>
    <cellStyle name="Comma 4 3" xfId="3564" xr:uid="{00000000-0005-0000-0000-00007D0A0000}"/>
    <cellStyle name="Comma 5" xfId="1704" xr:uid="{00000000-0005-0000-0000-00007E0A0000}"/>
    <cellStyle name="Comma 5 2" xfId="3565" xr:uid="{00000000-0005-0000-0000-00007F0A0000}"/>
    <cellStyle name="Comma 5 3" xfId="3566" xr:uid="{00000000-0005-0000-0000-0000800A0000}"/>
    <cellStyle name="Comma 55" xfId="3639" xr:uid="{00000000-0005-0000-0000-0000810A0000}"/>
    <cellStyle name="Comma 6" xfId="1720" xr:uid="{00000000-0005-0000-0000-0000820A0000}"/>
    <cellStyle name="Comma 6 2" xfId="3567" xr:uid="{00000000-0005-0000-0000-0000830A0000}"/>
    <cellStyle name="Comma 6 2 2" xfId="3568" xr:uid="{00000000-0005-0000-0000-0000840A0000}"/>
    <cellStyle name="Comma 6 2 3" xfId="3569" xr:uid="{00000000-0005-0000-0000-0000850A0000}"/>
    <cellStyle name="Comma 6 2 4" xfId="3570" xr:uid="{00000000-0005-0000-0000-0000860A0000}"/>
    <cellStyle name="Comma 6 3" xfId="3571" xr:uid="{00000000-0005-0000-0000-0000870A0000}"/>
    <cellStyle name="Comma 6 3 2" xfId="3572" xr:uid="{00000000-0005-0000-0000-0000880A0000}"/>
    <cellStyle name="Comma 6 3 3" xfId="3573" xr:uid="{00000000-0005-0000-0000-0000890A0000}"/>
    <cellStyle name="Comma 6 3 4" xfId="3574" xr:uid="{00000000-0005-0000-0000-00008A0A0000}"/>
    <cellStyle name="Comma 6 4" xfId="3575" xr:uid="{00000000-0005-0000-0000-00008B0A0000}"/>
    <cellStyle name="Comma 6 5" xfId="3576" xr:uid="{00000000-0005-0000-0000-00008C0A0000}"/>
    <cellStyle name="Comma 6 6" xfId="3577" xr:uid="{00000000-0005-0000-0000-00008D0A0000}"/>
    <cellStyle name="Comma 7" xfId="1724" xr:uid="{00000000-0005-0000-0000-00008E0A0000}"/>
    <cellStyle name="Comma 8" xfId="1711" xr:uid="{00000000-0005-0000-0000-00008F0A0000}"/>
    <cellStyle name="Comma 8 2" xfId="3578" xr:uid="{00000000-0005-0000-0000-0000900A0000}"/>
    <cellStyle name="Comma 8 2 2" xfId="3579" xr:uid="{00000000-0005-0000-0000-0000910A0000}"/>
    <cellStyle name="Comma 8 2 3" xfId="3580" xr:uid="{00000000-0005-0000-0000-0000920A0000}"/>
    <cellStyle name="Comma 8 2 4" xfId="3581" xr:uid="{00000000-0005-0000-0000-0000930A0000}"/>
    <cellStyle name="Comma 8 3" xfId="3582" xr:uid="{00000000-0005-0000-0000-0000940A0000}"/>
    <cellStyle name="Comma 8 3 2" xfId="3583" xr:uid="{00000000-0005-0000-0000-0000950A0000}"/>
    <cellStyle name="Comma 8 3 3" xfId="3584" xr:uid="{00000000-0005-0000-0000-0000960A0000}"/>
    <cellStyle name="Comma 8 3 4" xfId="3585" xr:uid="{00000000-0005-0000-0000-0000970A0000}"/>
    <cellStyle name="Comma 8 4" xfId="3586" xr:uid="{00000000-0005-0000-0000-0000980A0000}"/>
    <cellStyle name="Comma 8 5" xfId="3587" xr:uid="{00000000-0005-0000-0000-0000990A0000}"/>
    <cellStyle name="Comma 8 6" xfId="3588" xr:uid="{00000000-0005-0000-0000-00009A0A0000}"/>
    <cellStyle name="Comma 9" xfId="1714" xr:uid="{00000000-0005-0000-0000-00009B0A0000}"/>
    <cellStyle name="Comma 9 2" xfId="3589" xr:uid="{00000000-0005-0000-0000-00009C0A0000}"/>
    <cellStyle name="Comma 9 2 2" xfId="3590" xr:uid="{00000000-0005-0000-0000-00009D0A0000}"/>
    <cellStyle name="Comma 9 2 3" xfId="3591" xr:uid="{00000000-0005-0000-0000-00009E0A0000}"/>
    <cellStyle name="Comma 9 2 4" xfId="3592" xr:uid="{00000000-0005-0000-0000-00009F0A0000}"/>
    <cellStyle name="Comma 9 3" xfId="3593" xr:uid="{00000000-0005-0000-0000-0000A00A0000}"/>
    <cellStyle name="Comma 9 3 2" xfId="3594" xr:uid="{00000000-0005-0000-0000-0000A10A0000}"/>
    <cellStyle name="Comma 9 3 3" xfId="3595" xr:uid="{00000000-0005-0000-0000-0000A20A0000}"/>
    <cellStyle name="Comma 9 3 4" xfId="3596" xr:uid="{00000000-0005-0000-0000-0000A30A0000}"/>
    <cellStyle name="Comma 9 4" xfId="3597" xr:uid="{00000000-0005-0000-0000-0000A40A0000}"/>
    <cellStyle name="Comma 9 5" xfId="3598" xr:uid="{00000000-0005-0000-0000-0000A50A0000}"/>
    <cellStyle name="Comma 9 6" xfId="3599" xr:uid="{00000000-0005-0000-0000-0000A60A0000}"/>
    <cellStyle name="Comma Cents" xfId="782" xr:uid="{00000000-0005-0000-0000-0000A70A0000}"/>
    <cellStyle name="Comma*" xfId="783" xr:uid="{00000000-0005-0000-0000-0000A80A0000}"/>
    <cellStyle name="Comma, 1 dec" xfId="784" xr:uid="{00000000-0005-0000-0000-0000A90A0000}"/>
    <cellStyle name="Comma, 1dec" xfId="3600" xr:uid="{00000000-0005-0000-0000-0000AA0A0000}"/>
    <cellStyle name="Comma[0]" xfId="3601" xr:uid="{00000000-0005-0000-0000-0000AB0A0000}"/>
    <cellStyle name="Comma0" xfId="785" xr:uid="{00000000-0005-0000-0000-0000AC0A0000}"/>
    <cellStyle name="Comma1" xfId="786" xr:uid="{00000000-0005-0000-0000-0000AD0A0000}"/>
    <cellStyle name="Comma1 - Style1" xfId="787" xr:uid="{00000000-0005-0000-0000-0000AE0A0000}"/>
    <cellStyle name="Comma2" xfId="788" xr:uid="{00000000-0005-0000-0000-0000AF0A0000}"/>
    <cellStyle name="Comment" xfId="789" xr:uid="{00000000-0005-0000-0000-0000B00A0000}"/>
    <cellStyle name="Company" xfId="790" xr:uid="{00000000-0005-0000-0000-0000B10A0000}"/>
    <cellStyle name="Company Name" xfId="791" xr:uid="{00000000-0005-0000-0000-0000B20A0000}"/>
    <cellStyle name="Company_CSC July 24" xfId="3602" xr:uid="{00000000-0005-0000-0000-0000B30A0000}"/>
    <cellStyle name="CompanyName" xfId="792" xr:uid="{00000000-0005-0000-0000-0000B40A0000}"/>
    <cellStyle name="Copy Decimal 0" xfId="3603" xr:uid="{00000000-0005-0000-0000-0000B50A0000}"/>
    <cellStyle name="Copy Decimal 0,00" xfId="3604" xr:uid="{00000000-0005-0000-0000-0000B60A0000}"/>
    <cellStyle name="Copy Percent 0" xfId="3605" xr:uid="{00000000-0005-0000-0000-0000B80A0000}"/>
    <cellStyle name="Copy Percent 0,00" xfId="3606" xr:uid="{00000000-0005-0000-0000-0000B90A0000}"/>
    <cellStyle name="Cost" xfId="3607" xr:uid="{00000000-0005-0000-0000-0000BB0A0000}"/>
    <cellStyle name="CountryTitle" xfId="793" xr:uid="{00000000-0005-0000-0000-0000BC0A0000}"/>
    <cellStyle name="Cover" xfId="2259" xr:uid="{00000000-0005-0000-0000-0000BD0A0000}"/>
    <cellStyle name="Cover Date" xfId="794" xr:uid="{00000000-0005-0000-0000-0000BE0A0000}"/>
    <cellStyle name="Cover Subtitle" xfId="795" xr:uid="{00000000-0005-0000-0000-0000BF0A0000}"/>
    <cellStyle name="Cover Title" xfId="796" xr:uid="{00000000-0005-0000-0000-0000C00A0000}"/>
    <cellStyle name="cu" xfId="797" xr:uid="{00000000-0005-0000-0000-0000C10A0000}"/>
    <cellStyle name="CurRatio" xfId="798" xr:uid="{00000000-0005-0000-0000-0000C20A0000}"/>
    <cellStyle name="Currency--" xfId="799" xr:uid="{00000000-0005-0000-0000-0000C30A0000}"/>
    <cellStyle name="Currency [0] Total" xfId="800" xr:uid="{00000000-0005-0000-0000-0000C40A0000}"/>
    <cellStyle name="Currency [0] Total 2" xfId="3669" xr:uid="{00000000-0005-0000-0000-0000C50A0000}"/>
    <cellStyle name="Currency [00]" xfId="801" xr:uid="{00000000-0005-0000-0000-0000C60A0000}"/>
    <cellStyle name="Currency [1]" xfId="802" xr:uid="{00000000-0005-0000-0000-0000C70A0000}"/>
    <cellStyle name="Currency [1] Total" xfId="803" xr:uid="{00000000-0005-0000-0000-0000C80A0000}"/>
    <cellStyle name="Currency [1] Total 2" xfId="3670" xr:uid="{00000000-0005-0000-0000-0000C90A0000}"/>
    <cellStyle name="Currency [1]_Feeder" xfId="804" xr:uid="{00000000-0005-0000-0000-0000CA0A0000}"/>
    <cellStyle name="Currency [2]" xfId="805" xr:uid="{00000000-0005-0000-0000-0000CB0A0000}"/>
    <cellStyle name="Currency [2] Total" xfId="806" xr:uid="{00000000-0005-0000-0000-0000CC0A0000}"/>
    <cellStyle name="Currency [2] Total 2" xfId="3671" xr:uid="{00000000-0005-0000-0000-0000CD0A0000}"/>
    <cellStyle name="Currency [2]_Feeder" xfId="807" xr:uid="{00000000-0005-0000-0000-0000CE0A0000}"/>
    <cellStyle name="Currency [3]" xfId="808" xr:uid="{00000000-0005-0000-0000-0000CF0A0000}"/>
    <cellStyle name="Currency [B]" xfId="809" xr:uid="{00000000-0005-0000-0000-0000D00A0000}"/>
    <cellStyle name="Currency 0" xfId="810" xr:uid="{00000000-0005-0000-0000-0000D10A0000}"/>
    <cellStyle name="Currency 2" xfId="811" xr:uid="{00000000-0005-0000-0000-0000D20A0000}"/>
    <cellStyle name="Currency 2 Total" xfId="812" xr:uid="{00000000-0005-0000-0000-0000D30A0000}"/>
    <cellStyle name="Currency 2 Total 2" xfId="3672" xr:uid="{00000000-0005-0000-0000-0000D40A0000}"/>
    <cellStyle name="Currency 2*" xfId="813" xr:uid="{00000000-0005-0000-0000-0000D50A0000}"/>
    <cellStyle name="Currency 2_Accretion_Dilution" xfId="814" xr:uid="{00000000-0005-0000-0000-0000D60A0000}"/>
    <cellStyle name="Currency 3*" xfId="815" xr:uid="{00000000-0005-0000-0000-0000D70A0000}"/>
    <cellStyle name="Currency dollars[0]" xfId="3608" xr:uid="{00000000-0005-0000-0000-0000D80A0000}"/>
    <cellStyle name="Currency Euros" xfId="816" xr:uid="{00000000-0005-0000-0000-0000D90A0000}"/>
    <cellStyle name="Currency$" xfId="817" xr:uid="{00000000-0005-0000-0000-0000DA0A0000}"/>
    <cellStyle name="Currency*" xfId="818" xr:uid="{00000000-0005-0000-0000-0000DB0A0000}"/>
    <cellStyle name="Currency0" xfId="819" xr:uid="{00000000-0005-0000-0000-0000DD0A0000}"/>
    <cellStyle name="Currency1" xfId="2260" xr:uid="{00000000-0005-0000-0000-0000DE0A0000}"/>
    <cellStyle name="Currency2" xfId="820" xr:uid="{00000000-0005-0000-0000-0000DF0A0000}"/>
    <cellStyle name="Currencyunder" xfId="3609" xr:uid="{00000000-0005-0000-0000-0000E00A0000}"/>
    <cellStyle name="Currsmall" xfId="2261" xr:uid="{00000000-0005-0000-0000-0000E10A0000}"/>
    <cellStyle name="Ch, Column Header" xfId="732" xr:uid="{00000000-0005-0000-0000-0000FC090000}"/>
    <cellStyle name="Change" xfId="733" xr:uid="{00000000-0005-0000-0000-0000FD090000}"/>
    <cellStyle name="Changeable" xfId="734" xr:uid="{00000000-0005-0000-0000-0000FE090000}"/>
    <cellStyle name="Check" xfId="735" xr:uid="{00000000-0005-0000-0000-0000FF090000}"/>
    <cellStyle name="Check Cell 2" xfId="3500" xr:uid="{00000000-0005-0000-0000-0000000A0000}"/>
    <cellStyle name="Check Cell 2 2" xfId="3501" xr:uid="{00000000-0005-0000-0000-0000010A0000}"/>
    <cellStyle name="Choose Number" xfId="736" xr:uid="{00000000-0005-0000-0000-0000020A0000}"/>
    <cellStyle name="d" xfId="821" xr:uid="{00000000-0005-0000-0000-0000E20A0000}"/>
    <cellStyle name="Dash" xfId="822" xr:uid="{00000000-0005-0000-0000-0000E30A0000}"/>
    <cellStyle name="Data" xfId="823" xr:uid="{00000000-0005-0000-0000-0000E40A0000}"/>
    <cellStyle name="Data Link" xfId="2262" xr:uid="{00000000-0005-0000-0000-0000E50A0000}"/>
    <cellStyle name="DataBold" xfId="824" xr:uid="{00000000-0005-0000-0000-0000E60A0000}"/>
    <cellStyle name="Date" xfId="825" xr:uid="{00000000-0005-0000-0000-0000E70A0000}"/>
    <cellStyle name="Date - d-mmm" xfId="3610" xr:uid="{00000000-0005-0000-0000-0000E80A0000}"/>
    <cellStyle name="Date - d-mmm-yy" xfId="3611" xr:uid="{00000000-0005-0000-0000-0000E90A0000}"/>
    <cellStyle name="Date - mmm-yy" xfId="3612" xr:uid="{00000000-0005-0000-0000-0000EA0A0000}"/>
    <cellStyle name="date - Style5" xfId="3613" xr:uid="{00000000-0005-0000-0000-0000EB0A0000}"/>
    <cellStyle name="Date [Abbreviated]" xfId="826" xr:uid="{00000000-0005-0000-0000-0000EC0A0000}"/>
    <cellStyle name="date [dd mmm]" xfId="827" xr:uid="{00000000-0005-0000-0000-0000ED0A0000}"/>
    <cellStyle name="Date [d-mmm-yy]" xfId="828" xr:uid="{00000000-0005-0000-0000-0000EE0A0000}"/>
    <cellStyle name="Date [D-M-Y]" xfId="829" xr:uid="{00000000-0005-0000-0000-0000EF0A0000}"/>
    <cellStyle name="Date [Long Europe]" xfId="830" xr:uid="{00000000-0005-0000-0000-0000F00A0000}"/>
    <cellStyle name="Date [Long U.S.]" xfId="831" xr:uid="{00000000-0005-0000-0000-0000F10A0000}"/>
    <cellStyle name="Date [M/D/Y]" xfId="832" xr:uid="{00000000-0005-0000-0000-0000F20A0000}"/>
    <cellStyle name="Date [M/Y]" xfId="833" xr:uid="{00000000-0005-0000-0000-0000F30A0000}"/>
    <cellStyle name="Date [mm-d-yy]" xfId="834" xr:uid="{00000000-0005-0000-0000-0000F40A0000}"/>
    <cellStyle name="Date [mm-d-yyyy]" xfId="835" xr:uid="{00000000-0005-0000-0000-0000F50A0000}"/>
    <cellStyle name="date [mmm yy]" xfId="836" xr:uid="{00000000-0005-0000-0000-0000F60A0000}"/>
    <cellStyle name="date [mmm yyyy]" xfId="837" xr:uid="{00000000-0005-0000-0000-0000F70A0000}"/>
    <cellStyle name="Date [mmm-d-yyyy]" xfId="838" xr:uid="{00000000-0005-0000-0000-0000F80A0000}"/>
    <cellStyle name="Date [mmm-yy]" xfId="839" xr:uid="{00000000-0005-0000-0000-0000F90A0000}"/>
    <cellStyle name="Date [mmm-yyyy]" xfId="840" xr:uid="{00000000-0005-0000-0000-0000FA0A0000}"/>
    <cellStyle name="Date [M-Y]" xfId="841" xr:uid="{00000000-0005-0000-0000-0000FB0A0000}"/>
    <cellStyle name="Date [Short Europe]" xfId="842" xr:uid="{00000000-0005-0000-0000-0000FC0A0000}"/>
    <cellStyle name="Date [Short U.S.]" xfId="843" xr:uid="{00000000-0005-0000-0000-0000FD0A0000}"/>
    <cellStyle name="Date 2" xfId="3673" xr:uid="{00000000-0005-0000-0000-0000FE0A0000}"/>
    <cellStyle name="Date Aligned" xfId="844" xr:uid="{00000000-0005-0000-0000-0000FF0A0000}"/>
    <cellStyle name="Date Aligned*" xfId="845" xr:uid="{00000000-0005-0000-0000-0000000B0000}"/>
    <cellStyle name="Date dd-mmm" xfId="2263" xr:uid="{00000000-0005-0000-0000-0000020B0000}"/>
    <cellStyle name="Date dd-mmm-yy" xfId="2264" xr:uid="{00000000-0005-0000-0000-0000030B0000}"/>
    <cellStyle name="Date mmm-yy" xfId="2265" xr:uid="{00000000-0005-0000-0000-0000040B0000}"/>
    <cellStyle name="Date Short" xfId="846" xr:uid="{00000000-0005-0000-0000-0000050B0000}"/>
    <cellStyle name="Date, Long" xfId="2266" xr:uid="{00000000-0005-0000-0000-0000060B0000}"/>
    <cellStyle name="Date, Short" xfId="2267" xr:uid="{00000000-0005-0000-0000-0000070B0000}"/>
    <cellStyle name="Date_~7573237" xfId="847" xr:uid="{00000000-0005-0000-0000-0000080B0000}"/>
    <cellStyle name="Date1" xfId="2268" xr:uid="{00000000-0005-0000-0000-0000090B0000}"/>
    <cellStyle name="Date2" xfId="848" xr:uid="{00000000-0005-0000-0000-00000A0B0000}"/>
    <cellStyle name="DateLong" xfId="849" xr:uid="{00000000-0005-0000-0000-00000B0B0000}"/>
    <cellStyle name="Dates" xfId="850" xr:uid="{00000000-0005-0000-0000-00000C0B0000}"/>
    <cellStyle name="DateYear" xfId="851" xr:uid="{00000000-0005-0000-0000-00000D0B0000}"/>
    <cellStyle name="Datum" xfId="2269" xr:uid="{00000000-0005-0000-0000-00000E0B0000}"/>
    <cellStyle name="David" xfId="3614" xr:uid="{00000000-0005-0000-0000-00000F0B0000}"/>
    <cellStyle name="day month" xfId="852" xr:uid="{00000000-0005-0000-0000-0000100B0000}"/>
    <cellStyle name="days" xfId="853" xr:uid="{00000000-0005-0000-0000-0000110B0000}"/>
    <cellStyle name="DblLineDollarAcct" xfId="2270" xr:uid="{00000000-0005-0000-0000-0000120B0000}"/>
    <cellStyle name="DblLinePercent" xfId="2271" xr:uid="{00000000-0005-0000-0000-0000130B0000}"/>
    <cellStyle name="Decimal" xfId="2272" xr:uid="{00000000-0005-0000-0000-0000140B0000}"/>
    <cellStyle name="Decimal (negative)" xfId="2273" xr:uid="{00000000-0005-0000-0000-0000150B0000}"/>
    <cellStyle name="decimal [3]" xfId="854" xr:uid="{00000000-0005-0000-0000-0000160B0000}"/>
    <cellStyle name="decimal [4]" xfId="855" xr:uid="{00000000-0005-0000-0000-0000170B0000}"/>
    <cellStyle name="Decimal 0,0" xfId="3615" xr:uid="{00000000-0005-0000-0000-0000180B0000}"/>
    <cellStyle name="Decimal 0,00" xfId="3616" xr:uid="{00000000-0005-0000-0000-0000190B0000}"/>
    <cellStyle name="Decimal 0,0000" xfId="3617" xr:uid="{00000000-0005-0000-0000-00001A0B0000}"/>
    <cellStyle name="default" xfId="3618" xr:uid="{00000000-0005-0000-0000-00001B0B0000}"/>
    <cellStyle name="Deviant" xfId="2274" xr:uid="{00000000-0005-0000-0000-00001C0B0000}"/>
    <cellStyle name="Dezimal [+line]" xfId="3619" xr:uid="{00000000-0005-0000-0000-00001D0B0000}"/>
    <cellStyle name="Dezimal [0]_ !gesamt planIst 94" xfId="3620" xr:uid="{00000000-0005-0000-0000-00001E0B0000}"/>
    <cellStyle name="Dezimal +" xfId="3621" xr:uid="{00000000-0005-0000-0000-00001F0B0000}"/>
    <cellStyle name="Dezimal + 0" xfId="3622" xr:uid="{00000000-0005-0000-0000-0000200B0000}"/>
    <cellStyle name="Dezimal__Utopia Index Index und Guidance (Deutsch)" xfId="856" xr:uid="{00000000-0005-0000-0000-0000210B0000}"/>
    <cellStyle name="Dia" xfId="857" xr:uid="{00000000-0005-0000-0000-0000220B0000}"/>
    <cellStyle name="d-mmm-yy" xfId="858" xr:uid="{00000000-0005-0000-0000-0000230B0000}"/>
    <cellStyle name="Dollar" xfId="859" xr:uid="{00000000-0005-0000-0000-0000240B0000}"/>
    <cellStyle name="Dollar1" xfId="2275" xr:uid="{00000000-0005-0000-0000-0000250B0000}"/>
    <cellStyle name="Dollar1Blue" xfId="2276" xr:uid="{00000000-0005-0000-0000-0000260B0000}"/>
    <cellStyle name="Dollar2" xfId="2277" xr:uid="{00000000-0005-0000-0000-0000270B0000}"/>
    <cellStyle name="DollarAccounting" xfId="2278" xr:uid="{00000000-0005-0000-0000-0000280B0000}"/>
    <cellStyle name="dollars" xfId="860" xr:uid="{00000000-0005-0000-0000-0000290B0000}"/>
    <cellStyle name="Dollars No Decimal" xfId="861" xr:uid="{00000000-0005-0000-0000-00002A0B0000}"/>
    <cellStyle name="Dollars One Decimal" xfId="862" xr:uid="{00000000-0005-0000-0000-00002B0B0000}"/>
    <cellStyle name="Dollars_MD 1 model_blank_Augustin" xfId="863" xr:uid="{00000000-0005-0000-0000-00002C0B0000}"/>
    <cellStyle name="DollarWhole" xfId="864" xr:uid="{00000000-0005-0000-0000-00002D0B0000}"/>
    <cellStyle name="Dotted Line" xfId="865" xr:uid="{00000000-0005-0000-0000-00002E0B0000}"/>
    <cellStyle name="Double Accounting" xfId="866" xr:uid="{00000000-0005-0000-0000-00002F0B0000}"/>
    <cellStyle name="Double Underline" xfId="867" xr:uid="{00000000-0005-0000-0000-0000300B0000}"/>
    <cellStyle name="Download" xfId="868" xr:uid="{00000000-0005-0000-0000-0000310B0000}"/>
    <cellStyle name="Driver" xfId="869" xr:uid="{00000000-0005-0000-0000-0000320B0000}"/>
    <cellStyle name="Driver Lable" xfId="870" xr:uid="{00000000-0005-0000-0000-0000330B0000}"/>
    <cellStyle name="Driver_Feeder" xfId="871" xr:uid="{00000000-0005-0000-0000-0000340B0000}"/>
    <cellStyle name="Encabez1" xfId="872" xr:uid="{00000000-0005-0000-0000-0000350B0000}"/>
    <cellStyle name="Encabez2" xfId="873" xr:uid="{00000000-0005-0000-0000-0000360B0000}"/>
    <cellStyle name="End Table" xfId="874" xr:uid="{00000000-0005-0000-0000-0000370B0000}"/>
    <cellStyle name="Enter Currency (0)" xfId="875" xr:uid="{00000000-0005-0000-0000-0000380B0000}"/>
    <cellStyle name="Enter Currency (2)" xfId="876" xr:uid="{00000000-0005-0000-0000-0000390B0000}"/>
    <cellStyle name="Enter Units (0)" xfId="877" xr:uid="{00000000-0005-0000-0000-00003A0B0000}"/>
    <cellStyle name="Enter Units (1)" xfId="878" xr:uid="{00000000-0005-0000-0000-00003B0B0000}"/>
    <cellStyle name="Enter Units (2)" xfId="879" xr:uid="{00000000-0005-0000-0000-00003C0B0000}"/>
    <cellStyle name="EPS" xfId="880" xr:uid="{00000000-0005-0000-0000-00003D0B0000}"/>
    <cellStyle name="EPSActual" xfId="881" xr:uid="{00000000-0005-0000-0000-00003E0B0000}"/>
    <cellStyle name="EPSEstimate" xfId="882" xr:uid="{00000000-0005-0000-0000-00003F0B0000}"/>
    <cellStyle name="Estimate" xfId="883" xr:uid="{00000000-0005-0000-0000-0000400B0000}"/>
    <cellStyle name="Euro" xfId="884" xr:uid="{00000000-0005-0000-0000-0000410B0000}"/>
    <cellStyle name="Euro Millions" xfId="885" xr:uid="{00000000-0005-0000-0000-0000420B0000}"/>
    <cellStyle name="Euro_Bertelsmann_with Ratings Adj vs.2" xfId="886" xr:uid="{00000000-0005-0000-0000-0000430B0000}"/>
    <cellStyle name="Euros No Decimal" xfId="887" xr:uid="{00000000-0005-0000-0000-0000440B0000}"/>
    <cellStyle name="Euros One Decimal" xfId="888" xr:uid="{00000000-0005-0000-0000-0000450B0000}"/>
    <cellStyle name="EY House" xfId="889" xr:uid="{00000000-0005-0000-0000-0000460B0000}"/>
    <cellStyle name="EY Narrative text" xfId="2279" xr:uid="{00000000-0005-0000-0000-0000470B0000}"/>
    <cellStyle name="EY%colcalc" xfId="890" xr:uid="{00000000-0005-0000-0000-0000480B0000}"/>
    <cellStyle name="EY%input" xfId="891" xr:uid="{00000000-0005-0000-0000-0000490B0000}"/>
    <cellStyle name="EY%rowcalc" xfId="892" xr:uid="{00000000-0005-0000-0000-00004A0B0000}"/>
    <cellStyle name="EY0dp" xfId="893" xr:uid="{00000000-0005-0000-0000-00004B0B0000}"/>
    <cellStyle name="EY1dp" xfId="894" xr:uid="{00000000-0005-0000-0000-00004C0B0000}"/>
    <cellStyle name="EY2dp" xfId="895" xr:uid="{00000000-0005-0000-0000-00004D0B0000}"/>
    <cellStyle name="EY3dp" xfId="896" xr:uid="{00000000-0005-0000-0000-00004E0B0000}"/>
    <cellStyle name="EYColumnHeading" xfId="897" xr:uid="{00000000-0005-0000-0000-0000500B0000}"/>
    <cellStyle name="EYColumnHeadingItalic" xfId="2281" xr:uid="{00000000-0005-0000-0000-0000510B0000}"/>
    <cellStyle name="EYCoverDatabookName" xfId="2282" xr:uid="{00000000-0005-0000-0000-0000520B0000}"/>
    <cellStyle name="EYCoverDate" xfId="2283" xr:uid="{00000000-0005-0000-0000-0000530B0000}"/>
    <cellStyle name="EYCoverDraft" xfId="2284" xr:uid="{00000000-0005-0000-0000-0000540B0000}"/>
    <cellStyle name="EYCoverProjectName" xfId="2285" xr:uid="{00000000-0005-0000-0000-0000550B0000}"/>
    <cellStyle name="EYCurrency" xfId="2286" xr:uid="{00000000-0005-0000-0000-0000560B0000}"/>
    <cellStyle name="EYChartTitle" xfId="2280" xr:uid="{00000000-0005-0000-0000-00004F0B0000}"/>
    <cellStyle name="EYHeading1" xfId="898" xr:uid="{00000000-0005-0000-0000-0000570B0000}"/>
    <cellStyle name="EYheading2" xfId="899" xr:uid="{00000000-0005-0000-0000-0000580B0000}"/>
    <cellStyle name="EYheading3" xfId="900" xr:uid="{00000000-0005-0000-0000-0000590B0000}"/>
    <cellStyle name="EYNotes" xfId="2287" xr:uid="{00000000-0005-0000-0000-00005A0B0000}"/>
    <cellStyle name="EYNotesHeading" xfId="2288" xr:uid="{00000000-0005-0000-0000-00005B0B0000}"/>
    <cellStyle name="EYnumber" xfId="901" xr:uid="{00000000-0005-0000-0000-00005C0B0000}"/>
    <cellStyle name="EYSectionHeading" xfId="2289" xr:uid="{00000000-0005-0000-0000-00005D0B0000}"/>
    <cellStyle name="EYSheetHeader1" xfId="902" xr:uid="{00000000-0005-0000-0000-00005E0B0000}"/>
    <cellStyle name="EYSheetHeading" xfId="2290" xr:uid="{00000000-0005-0000-0000-00005F0B0000}"/>
    <cellStyle name="EYsmallheading" xfId="2291" xr:uid="{00000000-0005-0000-0000-0000600B0000}"/>
    <cellStyle name="EYSource" xfId="2292" xr:uid="{00000000-0005-0000-0000-0000610B0000}"/>
    <cellStyle name="EYtext" xfId="903" xr:uid="{00000000-0005-0000-0000-0000620B0000}"/>
    <cellStyle name="EYtextbold" xfId="2293" xr:uid="{00000000-0005-0000-0000-0000630B0000}"/>
    <cellStyle name="EYtextbolditalic" xfId="2294" xr:uid="{00000000-0005-0000-0000-0000640B0000}"/>
    <cellStyle name="EYtextitalic" xfId="2295" xr:uid="{00000000-0005-0000-0000-0000650B0000}"/>
    <cellStyle name="fact" xfId="904" xr:uid="{00000000-0005-0000-0000-0000660B0000}"/>
    <cellStyle name="Factor" xfId="1746" xr:uid="{00000000-0005-0000-0000-0000670B0000}"/>
    <cellStyle name="Fest" xfId="2296" xr:uid="{00000000-0005-0000-0000-0000680B0000}"/>
    <cellStyle name="Fijo" xfId="905" xr:uid="{00000000-0005-0000-0000-0000690B0000}"/>
    <cellStyle name="Financiero" xfId="906" xr:uid="{00000000-0005-0000-0000-00006A0B0000}"/>
    <cellStyle name="Fixed" xfId="907" xr:uid="{00000000-0005-0000-0000-00006B0B0000}"/>
    <cellStyle name="Fixed [0]" xfId="908" xr:uid="{00000000-0005-0000-0000-00006C0B0000}"/>
    <cellStyle name="Fixed_Bertelsmann_with Ratings Adj vs.2" xfId="909" xr:uid="{00000000-0005-0000-0000-00006D0B0000}"/>
    <cellStyle name="Fixlong" xfId="2297" xr:uid="{00000000-0005-0000-0000-00006E0B0000}"/>
    <cellStyle name="Footer SBILogo1" xfId="910" xr:uid="{00000000-0005-0000-0000-00006F0B0000}"/>
    <cellStyle name="Footer SBILogo2" xfId="911" xr:uid="{00000000-0005-0000-0000-0000700B0000}"/>
    <cellStyle name="Footnote" xfId="912" xr:uid="{00000000-0005-0000-0000-0000710B0000}"/>
    <cellStyle name="Footnote Reference" xfId="913" xr:uid="{00000000-0005-0000-0000-0000720B0000}"/>
    <cellStyle name="Footnote_comments" xfId="914" xr:uid="{00000000-0005-0000-0000-0000730B0000}"/>
    <cellStyle name="Formula" xfId="2298" xr:uid="{00000000-0005-0000-0000-0000740B0000}"/>
    <cellStyle name="Formule" xfId="2299" xr:uid="{00000000-0005-0000-0000-0000750B0000}"/>
    <cellStyle name="Fraction" xfId="915" xr:uid="{00000000-0005-0000-0000-0000760B0000}"/>
    <cellStyle name="Fraction [8]" xfId="916" xr:uid="{00000000-0005-0000-0000-0000770B0000}"/>
    <cellStyle name="Fraction [Bl]" xfId="917" xr:uid="{00000000-0005-0000-0000-0000780B0000}"/>
    <cellStyle name="Fraction_Feeder" xfId="918" xr:uid="{00000000-0005-0000-0000-0000790B0000}"/>
    <cellStyle name="General" xfId="919" xr:uid="{00000000-0005-0000-0000-00007A0B0000}"/>
    <cellStyle name="General [C]" xfId="920" xr:uid="{00000000-0005-0000-0000-00007B0B0000}"/>
    <cellStyle name="General [R]" xfId="921" xr:uid="{00000000-0005-0000-0000-00007C0B0000}"/>
    <cellStyle name="General heading" xfId="3640" xr:uid="{00000000-0005-0000-0000-00007D0B0000}"/>
    <cellStyle name="Global" xfId="922" xr:uid="{00000000-0005-0000-0000-00007E0B0000}"/>
    <cellStyle name="Grey" xfId="923" xr:uid="{00000000-0005-0000-0000-00007F0B0000}"/>
    <cellStyle name="GrowthRate" xfId="924" xr:uid="{00000000-0005-0000-0000-0000800B0000}"/>
    <cellStyle name="GrowthSeq" xfId="925" xr:uid="{00000000-0005-0000-0000-0000810B0000}"/>
    <cellStyle name="GWN Table Body" xfId="2300" xr:uid="{00000000-0005-0000-0000-0000820B0000}"/>
    <cellStyle name="GWN Table Header" xfId="2301" xr:uid="{00000000-0005-0000-0000-0000830B0000}"/>
    <cellStyle name="GWN Table Left Header" xfId="2302" xr:uid="{00000000-0005-0000-0000-0000840B0000}"/>
    <cellStyle name="GWN Table Note" xfId="2303" xr:uid="{00000000-0005-0000-0000-0000850B0000}"/>
    <cellStyle name="GWN Table Title" xfId="2304" xr:uid="{00000000-0005-0000-0000-0000860B0000}"/>
    <cellStyle name="H 2" xfId="2305" xr:uid="{00000000-0005-0000-0000-0000870B0000}"/>
    <cellStyle name="H Acct 1" xfId="926" xr:uid="{00000000-0005-0000-0000-0000880B0000}"/>
    <cellStyle name="H Acct 1,$" xfId="927" xr:uid="{00000000-0005-0000-0000-0000890B0000}"/>
    <cellStyle name="haeding 2" xfId="928" xr:uid="{00000000-0005-0000-0000-00008B0B0000}"/>
    <cellStyle name="hard" xfId="929" xr:uid="{00000000-0005-0000-0000-00008C0B0000}"/>
    <cellStyle name="Hard code" xfId="930" xr:uid="{00000000-0005-0000-0000-00008D0B0000}"/>
    <cellStyle name="Hard code %" xfId="931" xr:uid="{00000000-0005-0000-0000-00008E0B0000}"/>
    <cellStyle name="Hard code_5y FVebitda" xfId="932" xr:uid="{00000000-0005-0000-0000-00008F0B0000}"/>
    <cellStyle name="Hard nb" xfId="933" xr:uid="{00000000-0005-0000-0000-0000900B0000}"/>
    <cellStyle name="hard no" xfId="934" xr:uid="{00000000-0005-0000-0000-0000910B0000}"/>
    <cellStyle name="hard no." xfId="935" xr:uid="{00000000-0005-0000-0000-0000920B0000}"/>
    <cellStyle name="Hard Percent" xfId="936" xr:uid="{00000000-0005-0000-0000-0000930B0000}"/>
    <cellStyle name="hard_5y FVebitda" xfId="937" xr:uid="{00000000-0005-0000-0000-0000940B0000}"/>
    <cellStyle name="Hardcode 2" xfId="3809" xr:uid="{00000000-0005-0000-0000-0000950B0000}"/>
    <cellStyle name="Hardcoded" xfId="938" xr:uid="{00000000-0005-0000-0000-0000960B0000}"/>
    <cellStyle name="hardno" xfId="2306" xr:uid="{00000000-0005-0000-0000-0000970B0000}"/>
    <cellStyle name="head1" xfId="939" xr:uid="{00000000-0005-0000-0000-0000980B0000}"/>
    <cellStyle name="head2" xfId="940" xr:uid="{00000000-0005-0000-0000-0000990B0000}"/>
    <cellStyle name="Header" xfId="941" xr:uid="{00000000-0005-0000-0000-00009A0B0000}"/>
    <cellStyle name="header 2" xfId="1697" xr:uid="{00000000-0005-0000-0000-00009B0B0000}"/>
    <cellStyle name="Header Draft Stamp" xfId="942" xr:uid="{00000000-0005-0000-0000-00009C0B0000}"/>
    <cellStyle name="Header_LBO" xfId="943" xr:uid="{00000000-0005-0000-0000-00009D0B0000}"/>
    <cellStyle name="Header1" xfId="944" xr:uid="{00000000-0005-0000-0000-00009E0B0000}"/>
    <cellStyle name="Header2" xfId="945" xr:uid="{00000000-0005-0000-0000-00009F0B0000}"/>
    <cellStyle name="Heading" xfId="946" xr:uid="{00000000-0005-0000-0000-0000A00B0000}"/>
    <cellStyle name="Heading 1" xfId="3628" builtinId="16"/>
    <cellStyle name="Heading 1 Above" xfId="947" xr:uid="{00000000-0005-0000-0000-0000A20B0000}"/>
    <cellStyle name="Heading 1+" xfId="948" xr:uid="{00000000-0005-0000-0000-0000A30B0000}"/>
    <cellStyle name="Heading 2 2" xfId="3641" xr:uid="{00000000-0005-0000-0000-0000A40B0000}"/>
    <cellStyle name="Heading 2 Below" xfId="949" xr:uid="{00000000-0005-0000-0000-0000A50B0000}"/>
    <cellStyle name="Heading 2+" xfId="950" xr:uid="{00000000-0005-0000-0000-0000A60B0000}"/>
    <cellStyle name="Heading 3+" xfId="951" xr:uid="{00000000-0005-0000-0000-0000A70B0000}"/>
    <cellStyle name="Heading 5" xfId="952" xr:uid="{00000000-0005-0000-0000-0000A80B0000}"/>
    <cellStyle name="Heading1" xfId="953" xr:uid="{00000000-0005-0000-0000-0000A90B0000}"/>
    <cellStyle name="Heading2" xfId="954" xr:uid="{00000000-0005-0000-0000-0000AA0B0000}"/>
    <cellStyle name="Heading3" xfId="955" xr:uid="{00000000-0005-0000-0000-0000AB0B0000}"/>
    <cellStyle name="Hidden" xfId="956" xr:uid="{00000000-0005-0000-0000-0000AC0B0000}"/>
    <cellStyle name="hide" xfId="957" xr:uid="{00000000-0005-0000-0000-0000AD0B0000}"/>
    <cellStyle name="Highlight" xfId="958" xr:uid="{00000000-0005-0000-0000-0000AE0B0000}"/>
    <cellStyle name="Hist_perc" xfId="959" xr:uid="{00000000-0005-0000-0000-0000AF0B0000}"/>
    <cellStyle name="Historic" xfId="960" xr:uid="{00000000-0005-0000-0000-0000B00B0000}"/>
    <cellStyle name="Historical" xfId="3642" xr:uid="{00000000-0005-0000-0000-0000B10B0000}"/>
    <cellStyle name="historical #" xfId="961" xr:uid="{00000000-0005-0000-0000-0000B20B0000}"/>
    <cellStyle name="historical %" xfId="962" xr:uid="{00000000-0005-0000-0000-0000B30B0000}"/>
    <cellStyle name="ht" xfId="963" xr:uid="{00000000-0005-0000-0000-0000B40B0000}"/>
    <cellStyle name="Hyperlink" xfId="1" builtinId="8" customBuiltin="1"/>
    <cellStyle name="IBESInput" xfId="964" xr:uid="{00000000-0005-0000-0000-0000B60B0000}"/>
    <cellStyle name="Important" xfId="2307" xr:uid="{00000000-0005-0000-0000-0000B70B0000}"/>
    <cellStyle name="Imput" xfId="965" xr:uid="{00000000-0005-0000-0000-0000B80B0000}"/>
    <cellStyle name="IncomeStatement" xfId="966" xr:uid="{00000000-0005-0000-0000-0000B90B0000}"/>
    <cellStyle name="Indent1" xfId="2308" xr:uid="{00000000-0005-0000-0000-0000BA0B0000}"/>
    <cellStyle name="Indented [0]" xfId="967" xr:uid="{00000000-0005-0000-0000-0000BB0B0000}"/>
    <cellStyle name="Indented [2]" xfId="968" xr:uid="{00000000-0005-0000-0000-0000BC0B0000}"/>
    <cellStyle name="Indented [4]" xfId="969" xr:uid="{00000000-0005-0000-0000-0000BD0B0000}"/>
    <cellStyle name="Indented [6]" xfId="970" xr:uid="{00000000-0005-0000-0000-0000BE0B0000}"/>
    <cellStyle name="inpt" xfId="971" xr:uid="{00000000-0005-0000-0000-0000BF0B0000}"/>
    <cellStyle name="Input %" xfId="972" xr:uid="{00000000-0005-0000-0000-0000C00B0000}"/>
    <cellStyle name="Input % (1dp)" xfId="973" xr:uid="{00000000-0005-0000-0000-0000C10B0000}"/>
    <cellStyle name="Input [yellow]" xfId="974" xr:uid="{00000000-0005-0000-0000-0000C20B0000}"/>
    <cellStyle name="Input 0" xfId="975" xr:uid="{00000000-0005-0000-0000-0000C30B0000}"/>
    <cellStyle name="Input 0,0" xfId="976" xr:uid="{00000000-0005-0000-0000-0000C40B0000}"/>
    <cellStyle name="Input 10" xfId="1710" xr:uid="{00000000-0005-0000-0000-0000C50B0000}"/>
    <cellStyle name="Input 10 2" xfId="3704" xr:uid="{00000000-0005-0000-0000-0000C60B0000}"/>
    <cellStyle name="Input 11" xfId="1730" xr:uid="{00000000-0005-0000-0000-0000C70B0000}"/>
    <cellStyle name="Input 11 2" xfId="3709" xr:uid="{00000000-0005-0000-0000-0000C80B0000}"/>
    <cellStyle name="Input 12" xfId="1731" xr:uid="{00000000-0005-0000-0000-0000C90B0000}"/>
    <cellStyle name="Input 12 2" xfId="3710" xr:uid="{00000000-0005-0000-0000-0000CA0B0000}"/>
    <cellStyle name="Input 13" xfId="1738" xr:uid="{00000000-0005-0000-0000-0000CB0B0000}"/>
    <cellStyle name="Input 13 2" xfId="3711" xr:uid="{00000000-0005-0000-0000-0000CC0B0000}"/>
    <cellStyle name="Input 14" xfId="1739" xr:uid="{00000000-0005-0000-0000-0000CD0B0000}"/>
    <cellStyle name="Input 14 2" xfId="3712" xr:uid="{00000000-0005-0000-0000-0000CE0B0000}"/>
    <cellStyle name="Input 2" xfId="1687" xr:uid="{00000000-0005-0000-0000-0000CF0B0000}"/>
    <cellStyle name="Input 2 2" xfId="3699" xr:uid="{00000000-0005-0000-0000-0000D00B0000}"/>
    <cellStyle name="Input 3" xfId="1698" xr:uid="{00000000-0005-0000-0000-0000D10B0000}"/>
    <cellStyle name="Input 3 2" xfId="3701" xr:uid="{00000000-0005-0000-0000-0000D20B0000}"/>
    <cellStyle name="Input 4" xfId="1702" xr:uid="{00000000-0005-0000-0000-0000D30B0000}"/>
    <cellStyle name="Input 4 2" xfId="3702" xr:uid="{00000000-0005-0000-0000-0000D40B0000}"/>
    <cellStyle name="Input 5" xfId="1703" xr:uid="{00000000-0005-0000-0000-0000D50B0000}"/>
    <cellStyle name="Input 5 2" xfId="3703" xr:uid="{00000000-0005-0000-0000-0000D60B0000}"/>
    <cellStyle name="Input 6" xfId="1719" xr:uid="{00000000-0005-0000-0000-0000D70B0000}"/>
    <cellStyle name="Input 6 2" xfId="3707" xr:uid="{00000000-0005-0000-0000-0000D80B0000}"/>
    <cellStyle name="Input 7" xfId="1725" xr:uid="{00000000-0005-0000-0000-0000D90B0000}"/>
    <cellStyle name="Input 7 2" xfId="3708" xr:uid="{00000000-0005-0000-0000-0000DA0B0000}"/>
    <cellStyle name="Input 8" xfId="1712" xr:uid="{00000000-0005-0000-0000-0000DB0B0000}"/>
    <cellStyle name="Input 8 2" xfId="3705" xr:uid="{00000000-0005-0000-0000-0000DC0B0000}"/>
    <cellStyle name="Input 9" xfId="1713" xr:uid="{00000000-0005-0000-0000-0000DD0B0000}"/>
    <cellStyle name="Input 9 2" xfId="3706" xr:uid="{00000000-0005-0000-0000-0000DE0B0000}"/>
    <cellStyle name="Input Cells" xfId="1747" xr:uid="{00000000-0005-0000-0000-0000DF0B0000}"/>
    <cellStyle name="Input comma" xfId="977" xr:uid="{00000000-0005-0000-0000-0000E00B0000}"/>
    <cellStyle name="Input Currency" xfId="978" xr:uid="{00000000-0005-0000-0000-0000E10B0000}"/>
    <cellStyle name="Input Date" xfId="979" xr:uid="{00000000-0005-0000-0000-0000E20B0000}"/>
    <cellStyle name="Input Fixed [0]" xfId="980" xr:uid="{00000000-0005-0000-0000-0000E30B0000}"/>
    <cellStyle name="Input Link" xfId="981" xr:uid="{00000000-0005-0000-0000-0000E40B0000}"/>
    <cellStyle name="Input multiple" xfId="982" xr:uid="{00000000-0005-0000-0000-0000E50B0000}"/>
    <cellStyle name="Input Normal" xfId="983" xr:uid="{00000000-0005-0000-0000-0000E60B0000}"/>
    <cellStyle name="Input Number" xfId="3643" xr:uid="{00000000-0005-0000-0000-0000E70B0000}"/>
    <cellStyle name="Input number (0dp)" xfId="984" xr:uid="{00000000-0005-0000-0000-0000E80B0000}"/>
    <cellStyle name="Input number (1dp)" xfId="985" xr:uid="{00000000-0005-0000-0000-0000E90B0000}"/>
    <cellStyle name="Input Number Normal" xfId="986" xr:uid="{00000000-0005-0000-0000-0000EA0B0000}"/>
    <cellStyle name="Input Percent" xfId="987" xr:uid="{00000000-0005-0000-0000-0000EB0B0000}"/>
    <cellStyle name="Input Percent [2]" xfId="988" xr:uid="{00000000-0005-0000-0000-0000EC0B0000}"/>
    <cellStyle name="Input Percent_Bertelsmann_with Ratings Adj vs.2" xfId="989" xr:uid="{00000000-0005-0000-0000-0000ED0B0000}"/>
    <cellStyle name="Input Titles" xfId="990" xr:uid="{00000000-0005-0000-0000-0000EE0B0000}"/>
    <cellStyle name="Input$" xfId="991" xr:uid="{00000000-0005-0000-0000-0000EF0B0000}"/>
    <cellStyle name="Input%" xfId="992" xr:uid="{00000000-0005-0000-0000-0000F00B0000}"/>
    <cellStyle name="Input0dec" xfId="993" xr:uid="{00000000-0005-0000-0000-0000F10B0000}"/>
    <cellStyle name="Input2dec" xfId="994" xr:uid="{00000000-0005-0000-0000-0000F20B0000}"/>
    <cellStyle name="InputBlueFont" xfId="995" xr:uid="{00000000-0005-0000-0000-0000F30B0000}"/>
    <cellStyle name="InputBlueFontLocked" xfId="996" xr:uid="{00000000-0005-0000-0000-0000F40B0000}"/>
    <cellStyle name="InputCurrency" xfId="997" xr:uid="{00000000-0005-0000-0000-0000F50B0000}"/>
    <cellStyle name="InputCurrency2" xfId="998" xr:uid="{00000000-0005-0000-0000-0000F60B0000}"/>
    <cellStyle name="InputDate" xfId="999" xr:uid="{00000000-0005-0000-0000-0000F70B0000}"/>
    <cellStyle name="InputDate 2" xfId="3674" xr:uid="{00000000-0005-0000-0000-0000F80B0000}"/>
    <cellStyle name="InputHead" xfId="1000" xr:uid="{00000000-0005-0000-0000-0000F90B0000}"/>
    <cellStyle name="InputMultiple1" xfId="1001" xr:uid="{00000000-0005-0000-0000-0000FA0B0000}"/>
    <cellStyle name="InputPercent" xfId="1002" xr:uid="{00000000-0005-0000-0000-0000FB0B0000}"/>
    <cellStyle name="InputPercent1" xfId="1003" xr:uid="{00000000-0005-0000-0000-0000FC0B0000}"/>
    <cellStyle name="InputPop" xfId="1004" xr:uid="{00000000-0005-0000-0000-0000FD0B0000}"/>
    <cellStyle name="Integer" xfId="1005" xr:uid="{00000000-0005-0000-0000-0000FE0B0000}"/>
    <cellStyle name="Item" xfId="1006" xr:uid="{00000000-0005-0000-0000-0000FF0B0000}"/>
    <cellStyle name="ItemTypeClass" xfId="1007" xr:uid="{00000000-0005-0000-0000-0000000C0000}"/>
    <cellStyle name="Komma [0]_laroux" xfId="1008" xr:uid="{00000000-0005-0000-0000-0000010C0000}"/>
    <cellStyle name="Komma_laroux" xfId="1009" xr:uid="{00000000-0005-0000-0000-0000020C0000}"/>
    <cellStyle name="KPMG Heading 1" xfId="1010" xr:uid="{00000000-0005-0000-0000-0000030C0000}"/>
    <cellStyle name="KPMG Heading 2" xfId="1011" xr:uid="{00000000-0005-0000-0000-0000040C0000}"/>
    <cellStyle name="KPMG Heading 3" xfId="1012" xr:uid="{00000000-0005-0000-0000-0000050C0000}"/>
    <cellStyle name="KPMG Heading 4" xfId="1013" xr:uid="{00000000-0005-0000-0000-0000060C0000}"/>
    <cellStyle name="KPMG Normal" xfId="1014" xr:uid="{00000000-0005-0000-0000-0000070C0000}"/>
    <cellStyle name="KPMG Normal Text" xfId="1015" xr:uid="{00000000-0005-0000-0000-0000080C0000}"/>
    <cellStyle name="ligne_detail" xfId="1016" xr:uid="{00000000-0005-0000-0000-0000090C0000}"/>
    <cellStyle name="Line" xfId="1017" xr:uid="{00000000-0005-0000-0000-00000A0C0000}"/>
    <cellStyle name="Link" xfId="1018" xr:uid="{00000000-0005-0000-0000-00000B0C0000}"/>
    <cellStyle name="Link Currency (0)" xfId="1019" xr:uid="{00000000-0005-0000-0000-00000C0C0000}"/>
    <cellStyle name="Link Currency (2)" xfId="1020" xr:uid="{00000000-0005-0000-0000-00000D0C0000}"/>
    <cellStyle name="Link Units (0)" xfId="1021" xr:uid="{00000000-0005-0000-0000-00000E0C0000}"/>
    <cellStyle name="Link Units (1)" xfId="1022" xr:uid="{00000000-0005-0000-0000-00000F0C0000}"/>
    <cellStyle name="Link Units (2)" xfId="1023" xr:uid="{00000000-0005-0000-0000-0000100C0000}"/>
    <cellStyle name="Locked" xfId="1024" xr:uid="{00000000-0005-0000-0000-0000110C0000}"/>
    <cellStyle name="lpt" xfId="1025" xr:uid="{00000000-0005-0000-0000-0000120C0000}"/>
    <cellStyle name="lspt" xfId="1026" xr:uid="{00000000-0005-0000-0000-0000130C0000}"/>
    <cellStyle name="m" xfId="1027" xr:uid="{00000000-0005-0000-0000-0000140C0000}"/>
    <cellStyle name="m/d/yy" xfId="1028" xr:uid="{00000000-0005-0000-0000-0000150C0000}"/>
    <cellStyle name="m1" xfId="1029" xr:uid="{00000000-0005-0000-0000-0000160C0000}"/>
    <cellStyle name="Main item" xfId="1030" xr:uid="{00000000-0005-0000-0000-0000170C0000}"/>
    <cellStyle name="Main Title" xfId="1031" xr:uid="{00000000-0005-0000-0000-0000180C0000}"/>
    <cellStyle name="Margins" xfId="1032" xr:uid="{00000000-0005-0000-0000-0000190C0000}"/>
    <cellStyle name="Migliaia (0)" xfId="1033" xr:uid="{00000000-0005-0000-0000-00001A0C0000}"/>
    <cellStyle name="Migliaia_AdR prelim valuation 010130 base case Ver5 Final" xfId="1034" xr:uid="{00000000-0005-0000-0000-00001B0C0000}"/>
    <cellStyle name="Millares [0]_Asset Mgmt " xfId="1689" xr:uid="{00000000-0005-0000-0000-00001C0C0000}"/>
    <cellStyle name="Millares_Asset Mgmt " xfId="1690" xr:uid="{00000000-0005-0000-0000-00001D0C0000}"/>
    <cellStyle name="Milliers [0]_AR1194" xfId="1035" xr:uid="{00000000-0005-0000-0000-00001E0C0000}"/>
    <cellStyle name="Milliers_AR1194" xfId="1036" xr:uid="{00000000-0005-0000-0000-00001F0C0000}"/>
    <cellStyle name="million" xfId="1037" xr:uid="{00000000-0005-0000-0000-0000200C0000}"/>
    <cellStyle name="million [1]" xfId="1038" xr:uid="{00000000-0005-0000-0000-0000210C0000}"/>
    <cellStyle name="million_DCF" xfId="1039" xr:uid="{00000000-0005-0000-0000-0000220C0000}"/>
    <cellStyle name="millions" xfId="1040" xr:uid="{00000000-0005-0000-0000-0000230C0000}"/>
    <cellStyle name="MLComma0" xfId="1041" xr:uid="{00000000-0005-0000-0000-0000240C0000}"/>
    <cellStyle name="MLDollar0" xfId="1042" xr:uid="{00000000-0005-0000-0000-0000250C0000}"/>
    <cellStyle name="MLEuro0" xfId="1043" xr:uid="{00000000-0005-0000-0000-0000260C0000}"/>
    <cellStyle name="MLMultiple0" xfId="1044" xr:uid="{00000000-0005-0000-0000-0000270C0000}"/>
    <cellStyle name="MLPercent0" xfId="1045" xr:uid="{00000000-0005-0000-0000-0000280C0000}"/>
    <cellStyle name="MLPound0" xfId="1046" xr:uid="{00000000-0005-0000-0000-0000290C0000}"/>
    <cellStyle name="MLYen0" xfId="1047" xr:uid="{00000000-0005-0000-0000-00002A0C0000}"/>
    <cellStyle name="mod1" xfId="1048" xr:uid="{00000000-0005-0000-0000-00002B0C0000}"/>
    <cellStyle name="model" xfId="1049" xr:uid="{00000000-0005-0000-0000-00002C0C0000}"/>
    <cellStyle name="modelo1" xfId="1050" xr:uid="{00000000-0005-0000-0000-00002D0C0000}"/>
    <cellStyle name="Moneda [0]_Asset Mgmt " xfId="1691" xr:uid="{00000000-0005-0000-0000-00002E0C0000}"/>
    <cellStyle name="Moneda_Asset Mgmt " xfId="1692" xr:uid="{00000000-0005-0000-0000-00002F0C0000}"/>
    <cellStyle name="Monétaire [0]_AR1194" xfId="1051" xr:uid="{00000000-0005-0000-0000-0000300C0000}"/>
    <cellStyle name="Monétaire_AR1194" xfId="1052" xr:uid="{00000000-0005-0000-0000-0000310C0000}"/>
    <cellStyle name="Monetario" xfId="1053" xr:uid="{00000000-0005-0000-0000-0000320C0000}"/>
    <cellStyle name="Money" xfId="1054" xr:uid="{00000000-0005-0000-0000-0000330C0000}"/>
    <cellStyle name="month" xfId="1055" xr:uid="{00000000-0005-0000-0000-0000340C0000}"/>
    <cellStyle name="MonthYears" xfId="1056" xr:uid="{00000000-0005-0000-0000-0000350C0000}"/>
    <cellStyle name="Morgan" xfId="1057" xr:uid="{00000000-0005-0000-0000-0000360C0000}"/>
    <cellStyle name="Multiple" xfId="1058" xr:uid="{00000000-0005-0000-0000-0000370C0000}"/>
    <cellStyle name="Multiple [0]" xfId="1059" xr:uid="{00000000-0005-0000-0000-0000380C0000}"/>
    <cellStyle name="Multiple [1]" xfId="1060" xr:uid="{00000000-0005-0000-0000-0000390C0000}"/>
    <cellStyle name="Multiple_detailed bank case 21 3 05" xfId="1061" xr:uid="{00000000-0005-0000-0000-00003A0C0000}"/>
    <cellStyle name="Multiple1" xfId="1062" xr:uid="{00000000-0005-0000-0000-00003B0C0000}"/>
    <cellStyle name="MultipleBelow" xfId="1063" xr:uid="{00000000-0005-0000-0000-00003C0C0000}"/>
    <cellStyle name="MultipleDouble" xfId="1064" xr:uid="{00000000-0005-0000-0000-00003D0C0000}"/>
    <cellStyle name="MultipleInput" xfId="1065" xr:uid="{00000000-0005-0000-0000-00003E0C0000}"/>
    <cellStyle name="MultipleInput 2" xfId="3675" xr:uid="{00000000-0005-0000-0000-00003F0C0000}"/>
    <cellStyle name="Multiples1" xfId="1066" xr:uid="{00000000-0005-0000-0000-0000400C0000}"/>
    <cellStyle name="n" xfId="1693" xr:uid="{00000000-0005-0000-0000-0000410C0000}"/>
    <cellStyle name="n0" xfId="1067" xr:uid="{00000000-0005-0000-0000-0000420C0000}"/>
    <cellStyle name="n1" xfId="1068" xr:uid="{00000000-0005-0000-0000-0000430C0000}"/>
    <cellStyle name="n2" xfId="1069" xr:uid="{00000000-0005-0000-0000-0000440C0000}"/>
    <cellStyle name="NA is zero" xfId="1070" xr:uid="{00000000-0005-0000-0000-0000450C0000}"/>
    <cellStyle name="Name" xfId="1071" xr:uid="{00000000-0005-0000-0000-0000460C0000}"/>
    <cellStyle name="NivelFila_2_Consejo2001" xfId="1072" xr:uid="{00000000-0005-0000-0000-0000470C0000}"/>
    <cellStyle name="No Border" xfId="1073" xr:uid="{00000000-0005-0000-0000-0000480C0000}"/>
    <cellStyle name="no dec" xfId="1074" xr:uid="{00000000-0005-0000-0000-0000490C0000}"/>
    <cellStyle name="No Decimal" xfId="1075" xr:uid="{00000000-0005-0000-0000-00004A0C0000}"/>
    <cellStyle name="No.s to 1dp" xfId="1076" xr:uid="{00000000-0005-0000-0000-00004B0C0000}"/>
    <cellStyle name="NORAYAS" xfId="1077" xr:uid="{00000000-0005-0000-0000-00004C0C0000}"/>
    <cellStyle name="Norm" xfId="1078" xr:uid="{00000000-0005-0000-0000-00004D0C0000}"/>
    <cellStyle name="norma;l" xfId="1079" xr:uid="{00000000-0005-0000-0000-00004E0C0000}"/>
    <cellStyle name="norma;l 2" xfId="3676" xr:uid="{00000000-0005-0000-0000-00004F0C0000}"/>
    <cellStyle name="Normal" xfId="0" builtinId="0"/>
    <cellStyle name="Normal--" xfId="1080" xr:uid="{00000000-0005-0000-0000-0000510C0000}"/>
    <cellStyle name="Normal - Style1" xfId="1081" xr:uid="{00000000-0005-0000-0000-0000520C0000}"/>
    <cellStyle name="Normal (no,)" xfId="1082" xr:uid="{00000000-0005-0000-0000-0000530C0000}"/>
    <cellStyle name="Normal [0]" xfId="1083" xr:uid="{00000000-0005-0000-0000-0000540C0000}"/>
    <cellStyle name="Normal [1]" xfId="1084" xr:uid="{00000000-0005-0000-0000-0000550C0000}"/>
    <cellStyle name="Normal [2]" xfId="1085" xr:uid="{00000000-0005-0000-0000-0000560C0000}"/>
    <cellStyle name="Normal [3]" xfId="1086" xr:uid="{00000000-0005-0000-0000-0000570C0000}"/>
    <cellStyle name="normal [zero]" xfId="1087" xr:uid="{00000000-0005-0000-0000-0000580C0000}"/>
    <cellStyle name="Normal 10" xfId="1716" xr:uid="{00000000-0005-0000-0000-0000590C0000}"/>
    <cellStyle name="Normal 11" xfId="1717" xr:uid="{00000000-0005-0000-0000-00005A0C0000}"/>
    <cellStyle name="Normal 12" xfId="1728" xr:uid="{00000000-0005-0000-0000-00005B0C0000}"/>
    <cellStyle name="Normal 13" xfId="1734" xr:uid="{00000000-0005-0000-0000-00005C0C0000}"/>
    <cellStyle name="Normal 14" xfId="1736" xr:uid="{00000000-0005-0000-0000-00005D0C0000}"/>
    <cellStyle name="Normal 15" xfId="1742" xr:uid="{00000000-0005-0000-0000-00005E0C0000}"/>
    <cellStyle name="Normal 16" xfId="2310" xr:uid="{00000000-0005-0000-0000-00005F0C0000}"/>
    <cellStyle name="Normal 16 2" xfId="3715" xr:uid="{00000000-0005-0000-0000-0000600C0000}"/>
    <cellStyle name="Normal 2" xfId="3" xr:uid="{00000000-0005-0000-0000-0000610C0000}"/>
    <cellStyle name="Normal 2 2" xfId="1686" xr:uid="{00000000-0005-0000-0000-0000620C0000}"/>
    <cellStyle name="Normal 2 3" xfId="1699" xr:uid="{00000000-0005-0000-0000-0000630C0000}"/>
    <cellStyle name="Normal 3" xfId="7" xr:uid="{00000000-0005-0000-0000-0000640C0000}"/>
    <cellStyle name="Normal 4" xfId="1694" xr:uid="{00000000-0005-0000-0000-0000650C0000}"/>
    <cellStyle name="Normal 5" xfId="1695" xr:uid="{00000000-0005-0000-0000-0000660C0000}"/>
    <cellStyle name="Normal 5 3" xfId="3623" xr:uid="{00000000-0005-0000-0000-0000670C0000}"/>
    <cellStyle name="Normal 6" xfId="1705" xr:uid="{00000000-0005-0000-0000-0000680C0000}"/>
    <cellStyle name="Normal 7" xfId="1721" xr:uid="{00000000-0005-0000-0000-0000690C0000}"/>
    <cellStyle name="Normal 8" xfId="1723" xr:uid="{00000000-0005-0000-0000-00006A0C0000}"/>
    <cellStyle name="Normal 9" xfId="1708" xr:uid="{00000000-0005-0000-0000-00006B0C0000}"/>
    <cellStyle name="Normal Bold" xfId="1088" xr:uid="{00000000-0005-0000-0000-00006C0C0000}"/>
    <cellStyle name="Normal Italics" xfId="1089" xr:uid="{00000000-0005-0000-0000-00006D0C0000}"/>
    <cellStyle name="Normal Pct" xfId="1090" xr:uid="{00000000-0005-0000-0000-00006E0C0000}"/>
    <cellStyle name="Normal%Input" xfId="1091" xr:uid="{00000000-0005-0000-0000-00006F0C0000}"/>
    <cellStyle name="normal;" xfId="1092" xr:uid="{00000000-0005-0000-0000-0000700C0000}"/>
    <cellStyle name="normal; 2" xfId="3677" xr:uid="{00000000-0005-0000-0000-0000710C0000}"/>
    <cellStyle name="Normal_Copy of Rank Model - 230108 VB" xfId="2311" xr:uid="{00000000-0005-0000-0000-0000720C0000}"/>
    <cellStyle name="Normal_Southern Cross LBO v9" xfId="2" xr:uid="{00000000-0005-0000-0000-0000730C0000}"/>
    <cellStyle name="Normal2" xfId="1093" xr:uid="{00000000-0005-0000-0000-0000740C0000}"/>
    <cellStyle name="NormalBold" xfId="1094" xr:uid="{00000000-0005-0000-0000-0000750C0000}"/>
    <cellStyle name="NormalE" xfId="1095" xr:uid="{00000000-0005-0000-0000-0000760C0000}"/>
    <cellStyle name="NormalGB" xfId="1096" xr:uid="{00000000-0005-0000-0000-0000770C0000}"/>
    <cellStyle name="NormalMultiple" xfId="1097" xr:uid="{00000000-0005-0000-0000-0000780C0000}"/>
    <cellStyle name="NormalNumber" xfId="1098" xr:uid="{00000000-0005-0000-0000-0000790C0000}"/>
    <cellStyle name="Normalny_LTP2001 MIS (1) " xfId="1099" xr:uid="{00000000-0005-0000-0000-00007A0C0000}"/>
    <cellStyle name="NormalPerso" xfId="1100" xr:uid="{00000000-0005-0000-0000-00007B0C0000}"/>
    <cellStyle name="Normalx" xfId="1101" xr:uid="{00000000-0005-0000-0000-00007C0C0000}"/>
    <cellStyle name="NormalxShadow" xfId="1102" xr:uid="{00000000-0005-0000-0000-00007D0C0000}"/>
    <cellStyle name="Notes" xfId="1103" xr:uid="{00000000-0005-0000-0000-00007E0C0000}"/>
    <cellStyle name="NPPESalesPct" xfId="1104" xr:uid="{00000000-0005-0000-0000-00007F0C0000}"/>
    <cellStyle name="Number" xfId="1105" xr:uid="{00000000-0005-0000-0000-0000800C0000}"/>
    <cellStyle name="Number [0]" xfId="1106" xr:uid="{00000000-0005-0000-0000-0000810C0000}"/>
    <cellStyle name="Number 2" xfId="3678" xr:uid="{00000000-0005-0000-0000-0000820C0000}"/>
    <cellStyle name="Number_M&amp;A Model" xfId="1107" xr:uid="{00000000-0005-0000-0000-0000830C0000}"/>
    <cellStyle name="NWI%S" xfId="1108" xr:uid="{00000000-0005-0000-0000-0000840C0000}"/>
    <cellStyle name="Œ…‹æØ‚è [0.00]_GE 3 MINIMUM" xfId="1109" xr:uid="{00000000-0005-0000-0000-0000850C0000}"/>
    <cellStyle name="Œ…‹æØ‚è_GE 3 MINIMUM" xfId="1110" xr:uid="{00000000-0005-0000-0000-0000860C0000}"/>
    <cellStyle name="One Decimal" xfId="1111" xr:uid="{00000000-0005-0000-0000-0000870C0000}"/>
    <cellStyle name="onedec" xfId="1112" xr:uid="{00000000-0005-0000-0000-0000880C0000}"/>
    <cellStyle name="Option" xfId="1113" xr:uid="{00000000-0005-0000-0000-0000890C0000}"/>
    <cellStyle name="Output (0dp#)" xfId="1115" xr:uid="{00000000-0005-0000-0000-00008B0C0000}"/>
    <cellStyle name="Output (0dp%)" xfId="1116" xr:uid="{00000000-0005-0000-0000-00008C0C0000}"/>
    <cellStyle name="Output (1dp#)" xfId="1117" xr:uid="{00000000-0005-0000-0000-00008D0C0000}"/>
    <cellStyle name="Output (1dp%)" xfId="1118" xr:uid="{00000000-0005-0000-0000-00008E0C0000}"/>
    <cellStyle name="Output (1dpx)" xfId="1119" xr:uid="{00000000-0005-0000-0000-00008F0C0000}"/>
    <cellStyle name="Output (2dp#)" xfId="1120" xr:uid="{00000000-0005-0000-0000-0000900C0000}"/>
    <cellStyle name="Output Labels" xfId="1121" xr:uid="{00000000-0005-0000-0000-0000910C0000}"/>
    <cellStyle name="OutputPct" xfId="1122" xr:uid="{00000000-0005-0000-0000-0000920C0000}"/>
    <cellStyle name="Outputs (Locked)" xfId="1123" xr:uid="{00000000-0005-0000-0000-0000930C0000}"/>
    <cellStyle name="outh America" xfId="1114" xr:uid="{00000000-0005-0000-0000-00008A0C0000}"/>
    <cellStyle name="OVER" xfId="1124" xr:uid="{00000000-0005-0000-0000-0000940C0000}"/>
    <cellStyle name="p" xfId="1125" xr:uid="{00000000-0005-0000-0000-0000950C0000}"/>
    <cellStyle name="P&amp;L Numbers" xfId="1126" xr:uid="{00000000-0005-0000-0000-0000960C0000}"/>
    <cellStyle name="p_DCF" xfId="1127" xr:uid="{00000000-0005-0000-0000-0000970C0000}"/>
    <cellStyle name="p_DCF_M&amp;A Model" xfId="1128" xr:uid="{00000000-0005-0000-0000-0000980C0000}"/>
    <cellStyle name="p_DCF_SHIT" xfId="1129" xr:uid="{00000000-0005-0000-0000-0000990C0000}"/>
    <cellStyle name="p_DCF_SHIT_M&amp;A Model" xfId="1130" xr:uid="{00000000-0005-0000-0000-00009A0C0000}"/>
    <cellStyle name="p_DCF_VERA_2" xfId="1131" xr:uid="{00000000-0005-0000-0000-00009B0C0000}"/>
    <cellStyle name="p_DCF_VERA_2_M&amp;A Model" xfId="1132" xr:uid="{00000000-0005-0000-0000-00009C0C0000}"/>
    <cellStyle name="p_M&amp;A Model" xfId="1133" xr:uid="{00000000-0005-0000-0000-00009D0C0000}"/>
    <cellStyle name="p_M&amp;A Model 2" xfId="3679" xr:uid="{00000000-0005-0000-0000-00009E0C0000}"/>
    <cellStyle name="p_M&amp;A projections" xfId="1134" xr:uid="{00000000-0005-0000-0000-00009F0C0000}"/>
    <cellStyle name="p_M&amp;A projections 2" xfId="3680" xr:uid="{00000000-0005-0000-0000-0000A00C0000}"/>
    <cellStyle name="p_SHIT" xfId="1135" xr:uid="{00000000-0005-0000-0000-0000A10C0000}"/>
    <cellStyle name="p_SHIT_M&amp;A Model" xfId="1136" xr:uid="{00000000-0005-0000-0000-0000A20C0000}"/>
    <cellStyle name="p_VERA" xfId="1137" xr:uid="{00000000-0005-0000-0000-0000A30C0000}"/>
    <cellStyle name="p_VERA_1" xfId="1138" xr:uid="{00000000-0005-0000-0000-0000A40C0000}"/>
    <cellStyle name="p_VERA_1_M&amp;A Model" xfId="1139" xr:uid="{00000000-0005-0000-0000-0000A50C0000}"/>
    <cellStyle name="p_VERA_2" xfId="1140" xr:uid="{00000000-0005-0000-0000-0000A60C0000}"/>
    <cellStyle name="p_VERA_2_M&amp;A Model" xfId="1141" xr:uid="{00000000-0005-0000-0000-0000A70C0000}"/>
    <cellStyle name="p_xMidcap4_24" xfId="1142" xr:uid="{00000000-0005-0000-0000-0000A80C0000}"/>
    <cellStyle name="p_xMidcap4_24_M&amp;A Model" xfId="1143" xr:uid="{00000000-0005-0000-0000-0000A90C0000}"/>
    <cellStyle name="p1" xfId="1144" xr:uid="{00000000-0005-0000-0000-0000AA0C0000}"/>
    <cellStyle name="Page break" xfId="1145" xr:uid="{00000000-0005-0000-0000-0000AB0C0000}"/>
    <cellStyle name="Page Heading" xfId="1146" xr:uid="{00000000-0005-0000-0000-0000AC0C0000}"/>
    <cellStyle name="Page Heading Large" xfId="1147" xr:uid="{00000000-0005-0000-0000-0000AD0C0000}"/>
    <cellStyle name="Page Heading Small" xfId="1148" xr:uid="{00000000-0005-0000-0000-0000AE0C0000}"/>
    <cellStyle name="Page Number" xfId="1149" xr:uid="{00000000-0005-0000-0000-0000AF0C0000}"/>
    <cellStyle name="Pattern" xfId="1150" xr:uid="{00000000-0005-0000-0000-0000B00C0000}"/>
    <cellStyle name="patterns" xfId="1151" xr:uid="{00000000-0005-0000-0000-0000B10C0000}"/>
    <cellStyle name="pc1" xfId="1152" xr:uid="{00000000-0005-0000-0000-0000B20C0000}"/>
    <cellStyle name="pcent" xfId="1153" xr:uid="{00000000-0005-0000-0000-0000B30C0000}"/>
    <cellStyle name="Pct 1" xfId="1154" xr:uid="{00000000-0005-0000-0000-0000B40C0000}"/>
    <cellStyle name="pct_sub" xfId="1155" xr:uid="{00000000-0005-0000-0000-0000B50C0000}"/>
    <cellStyle name="Pctdec1itals" xfId="1156" xr:uid="{00000000-0005-0000-0000-0000B60C0000}"/>
    <cellStyle name="pd" xfId="1157" xr:uid="{00000000-0005-0000-0000-0000B70C0000}"/>
    <cellStyle name="pe" xfId="1158" xr:uid="{00000000-0005-0000-0000-0000B80C0000}"/>
    <cellStyle name="Pence" xfId="1159" xr:uid="{00000000-0005-0000-0000-0000B90C0000}"/>
    <cellStyle name="pence [0]" xfId="1160" xr:uid="{00000000-0005-0000-0000-0000BA0C0000}"/>
    <cellStyle name="pence [1]" xfId="1161" xr:uid="{00000000-0005-0000-0000-0000BB0C0000}"/>
    <cellStyle name="pence_DCF" xfId="1162" xr:uid="{00000000-0005-0000-0000-0000BC0C0000}"/>
    <cellStyle name="per" xfId="1163" xr:uid="{00000000-0005-0000-0000-0000BD0C0000}"/>
    <cellStyle name="per.style" xfId="1748" xr:uid="{00000000-0005-0000-0000-0000BE0C0000}"/>
    <cellStyle name="percemt" xfId="1164" xr:uid="{00000000-0005-0000-0000-0000BF0C0000}"/>
    <cellStyle name="percemt 2" xfId="3681" xr:uid="{00000000-0005-0000-0000-0000C00C0000}"/>
    <cellStyle name="Percent" xfId="2309" builtinId="5"/>
    <cellStyle name="Percent (0.0)" xfId="1165" xr:uid="{00000000-0005-0000-0000-0000C20C0000}"/>
    <cellStyle name="Percent (0.00)" xfId="1166" xr:uid="{00000000-0005-0000-0000-0000C30C0000}"/>
    <cellStyle name="Percent (1)" xfId="1167" xr:uid="{00000000-0005-0000-0000-0000C40C0000}"/>
    <cellStyle name="Percent [0]" xfId="1168" xr:uid="{00000000-0005-0000-0000-0000C50C0000}"/>
    <cellStyle name="Percent [0] Total" xfId="1169" xr:uid="{00000000-0005-0000-0000-0000C60C0000}"/>
    <cellStyle name="Percent [0] Total 2" xfId="3682" xr:uid="{00000000-0005-0000-0000-0000C70C0000}"/>
    <cellStyle name="Percent [0]_comparison" xfId="1170" xr:uid="{00000000-0005-0000-0000-0000C80C0000}"/>
    <cellStyle name="Percent [00]" xfId="1171" xr:uid="{00000000-0005-0000-0000-0000C90C0000}"/>
    <cellStyle name="Percent [00] 2" xfId="3683" xr:uid="{00000000-0005-0000-0000-0000CA0C0000}"/>
    <cellStyle name="Percent [1]" xfId="1172" xr:uid="{00000000-0005-0000-0000-0000CB0C0000}"/>
    <cellStyle name="percent [1-]" xfId="1173" xr:uid="{00000000-0005-0000-0000-0000CC0C0000}"/>
    <cellStyle name="Percent [1] --" xfId="1174" xr:uid="{00000000-0005-0000-0000-0000CD0C0000}"/>
    <cellStyle name="Percent [1] Total" xfId="1175" xr:uid="{00000000-0005-0000-0000-0000CE0C0000}"/>
    <cellStyle name="Percent [1] Total 2" xfId="3684" xr:uid="{00000000-0005-0000-0000-0000CF0C0000}"/>
    <cellStyle name="Percent [1]_Base acqfin hybrid model_S3" xfId="1176" xr:uid="{00000000-0005-0000-0000-0000D00C0000}"/>
    <cellStyle name="percent [100]" xfId="1177" xr:uid="{00000000-0005-0000-0000-0000D10C0000}"/>
    <cellStyle name="Percent [2]" xfId="1178" xr:uid="{00000000-0005-0000-0000-0000D20C0000}"/>
    <cellStyle name="Percent [2] Total" xfId="1179" xr:uid="{00000000-0005-0000-0000-0000D30C0000}"/>
    <cellStyle name="Percent [2] Total 2" xfId="3685" xr:uid="{00000000-0005-0000-0000-0000D40C0000}"/>
    <cellStyle name="Percent [2]_57 Project Fly (2)" xfId="1180" xr:uid="{00000000-0005-0000-0000-0000D50C0000}"/>
    <cellStyle name="Percent [3]" xfId="1181" xr:uid="{00000000-0005-0000-0000-0000D60C0000}"/>
    <cellStyle name="Percent [3]--" xfId="1182" xr:uid="{00000000-0005-0000-0000-0000D70C0000}"/>
    <cellStyle name="Percent [4]" xfId="1183" xr:uid="{00000000-0005-0000-0000-0000D90C0000}"/>
    <cellStyle name="Percent 0" xfId="1184" xr:uid="{00000000-0005-0000-0000-0000DA0C0000}"/>
    <cellStyle name="Percent 0.00" xfId="1185" xr:uid="{00000000-0005-0000-0000-0000DB0C0000}"/>
    <cellStyle name="Percent 10" xfId="1727" xr:uid="{00000000-0005-0000-0000-0000DD0C0000}"/>
    <cellStyle name="Percent 11" xfId="1733" xr:uid="{00000000-0005-0000-0000-0000DE0C0000}"/>
    <cellStyle name="Percent 12" xfId="1735" xr:uid="{00000000-0005-0000-0000-0000DF0C0000}"/>
    <cellStyle name="Percent 13" xfId="1741" xr:uid="{00000000-0005-0000-0000-0000E00C0000}"/>
    <cellStyle name="Percent 14" xfId="1743" xr:uid="{00000000-0005-0000-0000-0000E10C0000}"/>
    <cellStyle name="Percent 2" xfId="5" xr:uid="{00000000-0005-0000-0000-0000E20C0000}"/>
    <cellStyle name="Percent 3" xfId="1700" xr:uid="{00000000-0005-0000-0000-0000E30C0000}"/>
    <cellStyle name="Percent 4" xfId="1706" xr:uid="{00000000-0005-0000-0000-0000E40C0000}"/>
    <cellStyle name="Percent 5" xfId="1707" xr:uid="{00000000-0005-0000-0000-0000E50C0000}"/>
    <cellStyle name="Percent 6" xfId="1722" xr:uid="{00000000-0005-0000-0000-0000E60C0000}"/>
    <cellStyle name="Percent 7" xfId="1726" xr:uid="{00000000-0005-0000-0000-0000E70C0000}"/>
    <cellStyle name="Percent 8" xfId="1715" xr:uid="{00000000-0005-0000-0000-0000E80C0000}"/>
    <cellStyle name="Percent 9" xfId="1718" xr:uid="{00000000-0005-0000-0000-0000E90C0000}"/>
    <cellStyle name="Percent Comma" xfId="1186" xr:uid="{00000000-0005-0000-0000-0000EA0C0000}"/>
    <cellStyle name="percent har" xfId="1187" xr:uid="{00000000-0005-0000-0000-0000EB0C0000}"/>
    <cellStyle name="Percent Hard" xfId="1188" xr:uid="{00000000-0005-0000-0000-0000EC0C0000}"/>
    <cellStyle name="Percent Input" xfId="1189" xr:uid="{00000000-0005-0000-0000-0000ED0C0000}"/>
    <cellStyle name="Percent SuppCalc (0.0)" xfId="1190" xr:uid="{00000000-0005-0000-0000-0000EE0C0000}"/>
    <cellStyle name="Percent SuppCalc Input (0.0)" xfId="1191" xr:uid="{00000000-0005-0000-0000-0000EF0C0000}"/>
    <cellStyle name="Percent*" xfId="1192" xr:uid="{00000000-0005-0000-0000-0000F00C0000}"/>
    <cellStyle name="Percent1" xfId="1193" xr:uid="{00000000-0005-0000-0000-0000F10C0000}"/>
    <cellStyle name="Percent1Blue" xfId="1194" xr:uid="{00000000-0005-0000-0000-0000F20C0000}"/>
    <cellStyle name="Percent2" xfId="1195" xr:uid="{00000000-0005-0000-0000-0000F30C0000}"/>
    <cellStyle name="Percent2Blue" xfId="1196" xr:uid="{00000000-0005-0000-0000-0000F40C0000}"/>
    <cellStyle name="Percentage" xfId="1197" xr:uid="{00000000-0005-0000-0000-0000F50C0000}"/>
    <cellStyle name="PercentChange" xfId="1198" xr:uid="{00000000-0005-0000-0000-0000F60C0000}"/>
    <cellStyle name="PercentPerso" xfId="1199" xr:uid="{00000000-0005-0000-0000-0000F70C0000}"/>
    <cellStyle name="PercentPresentation" xfId="1200" xr:uid="{00000000-0005-0000-0000-0000F80C0000}"/>
    <cellStyle name="PercentSales" xfId="1201" xr:uid="{00000000-0005-0000-0000-0000F90C0000}"/>
    <cellStyle name="Percentuale_AAON_summary_Kevin" xfId="1202" xr:uid="{00000000-0005-0000-0000-0000FA0C0000}"/>
    <cellStyle name="percnet" xfId="1203" xr:uid="{00000000-0005-0000-0000-0000FB0C0000}"/>
    <cellStyle name="percnet 2" xfId="3686" xr:uid="{00000000-0005-0000-0000-0000FC0C0000}"/>
    <cellStyle name="perecent" xfId="1204" xr:uid="{00000000-0005-0000-0000-0000FD0C0000}"/>
    <cellStyle name="Period" xfId="1205" xr:uid="{00000000-0005-0000-0000-0000FE0C0000}"/>
    <cellStyle name="Perlong" xfId="1206" xr:uid="{00000000-0005-0000-0000-0000FF0C0000}"/>
    <cellStyle name="PerShare" xfId="1207" xr:uid="{00000000-0005-0000-0000-0000000D0000}"/>
    <cellStyle name="pf" xfId="1208" xr:uid="{00000000-0005-0000-0000-0000010D0000}"/>
    <cellStyle name="PLAN1" xfId="1209" xr:uid="{00000000-0005-0000-0000-0000020D0000}"/>
    <cellStyle name="POPS" xfId="1210" xr:uid="{00000000-0005-0000-0000-0000030D0000}"/>
    <cellStyle name="Porcentaje" xfId="1211" xr:uid="{00000000-0005-0000-0000-0000040D0000}"/>
    <cellStyle name="Porcentual_CAPEX_Acea_Alcatel_2505" xfId="1212" xr:uid="{00000000-0005-0000-0000-0000050D0000}"/>
    <cellStyle name="Pound" xfId="1213" xr:uid="{00000000-0005-0000-0000-0000060D0000}"/>
    <cellStyle name="Pound [1]" xfId="1214" xr:uid="{00000000-0005-0000-0000-0000070D0000}"/>
    <cellStyle name="Pound [2]" xfId="1215" xr:uid="{00000000-0005-0000-0000-0000080D0000}"/>
    <cellStyle name="Pounds No Decimal" xfId="1216" xr:uid="{00000000-0005-0000-0000-0000090D0000}"/>
    <cellStyle name="Pounds Total 2" xfId="1217" xr:uid="{00000000-0005-0000-0000-00000A0D0000}"/>
    <cellStyle name="Pounds Total 2 2" xfId="3687" xr:uid="{00000000-0005-0000-0000-00000B0D0000}"/>
    <cellStyle name="pp" xfId="1218" xr:uid="{00000000-0005-0000-0000-00000C0D0000}"/>
    <cellStyle name="ppp" xfId="1219" xr:uid="{00000000-0005-0000-0000-00000D0D0000}"/>
    <cellStyle name="PrePop Currency (0)" xfId="1220" xr:uid="{00000000-0005-0000-0000-00000E0D0000}"/>
    <cellStyle name="PrePop Currency (2)" xfId="1221" xr:uid="{00000000-0005-0000-0000-00000F0D0000}"/>
    <cellStyle name="PrePop Units (0)" xfId="1222" xr:uid="{00000000-0005-0000-0000-0000100D0000}"/>
    <cellStyle name="PrePop Units (1)" xfId="1223" xr:uid="{00000000-0005-0000-0000-0000110D0000}"/>
    <cellStyle name="PrePop Units (2)" xfId="1224" xr:uid="{00000000-0005-0000-0000-0000120D0000}"/>
    <cellStyle name="Presentation" xfId="1225" xr:uid="{00000000-0005-0000-0000-0000130D0000}"/>
    <cellStyle name="PresentationZero" xfId="1226" xr:uid="{00000000-0005-0000-0000-0000140D0000}"/>
    <cellStyle name="Price" xfId="1227" xr:uid="{00000000-0005-0000-0000-0000150D0000}"/>
    <cellStyle name="Private" xfId="1228" xr:uid="{00000000-0005-0000-0000-0000160D0000}"/>
    <cellStyle name="Private1" xfId="1229" xr:uid="{00000000-0005-0000-0000-0000170D0000}"/>
    <cellStyle name="Profit figure" xfId="1230" xr:uid="{00000000-0005-0000-0000-0000180D0000}"/>
    <cellStyle name="Proj" xfId="1231" xr:uid="{00000000-0005-0000-0000-0000190D0000}"/>
    <cellStyle name="pt" xfId="1232" xr:uid="{00000000-0005-0000-0000-00001A0D0000}"/>
    <cellStyle name="ptit" xfId="1233" xr:uid="{00000000-0005-0000-0000-00001B0D0000}"/>
    <cellStyle name="r" xfId="1234" xr:uid="{00000000-0005-0000-0000-00001C0D0000}"/>
    <cellStyle name="Range" xfId="1235" xr:uid="{00000000-0005-0000-0000-00001D0D0000}"/>
    <cellStyle name="rat" xfId="1236" xr:uid="{00000000-0005-0000-0000-00001E0D0000}"/>
    <cellStyle name="rate" xfId="1237" xr:uid="{00000000-0005-0000-0000-00001F0D0000}"/>
    <cellStyle name="Ratio" xfId="1238" xr:uid="{00000000-0005-0000-0000-0000200D0000}"/>
    <cellStyle name="Ratio Comma" xfId="1239" xr:uid="{00000000-0005-0000-0000-0000210D0000}"/>
    <cellStyle name="Ratio_57 Project Fly (2)" xfId="1240" xr:uid="{00000000-0005-0000-0000-0000220D0000}"/>
    <cellStyle name="RatioX" xfId="1241" xr:uid="{00000000-0005-0000-0000-0000230D0000}"/>
    <cellStyle name="red" xfId="1242" xr:uid="{00000000-0005-0000-0000-0000240D0000}"/>
    <cellStyle name="Red Box" xfId="1243" xr:uid="{00000000-0005-0000-0000-0000250D0000}"/>
    <cellStyle name="Red font" xfId="1244" xr:uid="{00000000-0005-0000-0000-0000260D0000}"/>
    <cellStyle name="Red Text" xfId="1245" xr:uid="{00000000-0005-0000-0000-0000270D0000}"/>
    <cellStyle name="Report" xfId="1246" xr:uid="{00000000-0005-0000-0000-0000280D0000}"/>
    <cellStyle name="Results % 0 dp" xfId="1247" xr:uid="{00000000-0005-0000-0000-0000290D0000}"/>
    <cellStyle name="Results % 1 dp" xfId="1248" xr:uid="{00000000-0005-0000-0000-00002A0D0000}"/>
    <cellStyle name="Results % 2 dp" xfId="1249" xr:uid="{00000000-0005-0000-0000-00002B0D0000}"/>
    <cellStyle name="Results % 3 dp" xfId="1250" xr:uid="{00000000-0005-0000-0000-00002C0D0000}"/>
    <cellStyle name="Results 0 dp" xfId="1251" xr:uid="{00000000-0005-0000-0000-00002D0D0000}"/>
    <cellStyle name="Results 1 dp" xfId="1252" xr:uid="{00000000-0005-0000-0000-00002E0D0000}"/>
    <cellStyle name="Results 2 dp" xfId="1253" xr:uid="{00000000-0005-0000-0000-00002F0D0000}"/>
    <cellStyle name="Results 3 dp" xfId="1254" xr:uid="{00000000-0005-0000-0000-0000300D0000}"/>
    <cellStyle name="Results x 1 dp" xfId="1255" xr:uid="{00000000-0005-0000-0000-0000310D0000}"/>
    <cellStyle name="Results x 2 dp" xfId="1256" xr:uid="{00000000-0005-0000-0000-0000320D0000}"/>
    <cellStyle name="Right" xfId="1257" xr:uid="{00000000-0005-0000-0000-0000330D0000}"/>
    <cellStyle name="Rounding" xfId="1258" xr:uid="{00000000-0005-0000-0000-0000340D0000}"/>
    <cellStyle name="Row Heading" xfId="1259" xr:uid="{00000000-0005-0000-0000-0000350D0000}"/>
    <cellStyle name="Row Headings" xfId="1260" xr:uid="{00000000-0005-0000-0000-0000360D0000}"/>
    <cellStyle name="Row Title 1" xfId="1261" xr:uid="{00000000-0005-0000-0000-0000370D0000}"/>
    <cellStyle name="Row Title 2" xfId="1262" xr:uid="{00000000-0005-0000-0000-0000380D0000}"/>
    <cellStyle name="Row Title 3" xfId="1263" xr:uid="{00000000-0005-0000-0000-0000390D0000}"/>
    <cellStyle name="Row Total" xfId="1264" xr:uid="{00000000-0005-0000-0000-00003A0D0000}"/>
    <cellStyle name="RowHead" xfId="1265" xr:uid="{00000000-0005-0000-0000-00003B0D0000}"/>
    <cellStyle name="RowHeading" xfId="1266" xr:uid="{00000000-0005-0000-0000-00003C0D0000}"/>
    <cellStyle name="s" xfId="1267" xr:uid="{00000000-0005-0000-0000-00003D0D0000}"/>
    <cellStyle name="s_Accretion (2)" xfId="1268" xr:uid="{00000000-0005-0000-0000-00003E0D0000}"/>
    <cellStyle name="s_Accretion (2)_1" xfId="1269" xr:uid="{00000000-0005-0000-0000-00003F0D0000}"/>
    <cellStyle name="s_Accretion (2)_2" xfId="1270" xr:uid="{00000000-0005-0000-0000-0000400D0000}"/>
    <cellStyle name="s_ad3" xfId="1271" xr:uid="{00000000-0005-0000-0000-0000410D0000}"/>
    <cellStyle name="s_ad3_1" xfId="1272" xr:uid="{00000000-0005-0000-0000-0000420D0000}"/>
    <cellStyle name="s_ad3_2" xfId="1273" xr:uid="{00000000-0005-0000-0000-0000430D0000}"/>
    <cellStyle name="s_ad5" xfId="1274" xr:uid="{00000000-0005-0000-0000-0000440D0000}"/>
    <cellStyle name="s_ad5_1" xfId="1275" xr:uid="{00000000-0005-0000-0000-0000450D0000}"/>
    <cellStyle name="s_AdditionalPrint Code" xfId="1276" xr:uid="{00000000-0005-0000-0000-0000460D0000}"/>
    <cellStyle name="s_AdditionalPrint Code_1" xfId="1277" xr:uid="{00000000-0005-0000-0000-0000470D0000}"/>
    <cellStyle name="s_asko1" xfId="1278" xr:uid="{00000000-0005-0000-0000-0000480D0000}"/>
    <cellStyle name="s_asko1_1" xfId="1279" xr:uid="{00000000-0005-0000-0000-0000490D0000}"/>
    <cellStyle name="s_Assumptions" xfId="1280" xr:uid="{00000000-0005-0000-0000-00004A0D0000}"/>
    <cellStyle name="s_B_S_Ratios _B" xfId="1281" xr:uid="{00000000-0005-0000-0000-00004B0D0000}"/>
    <cellStyle name="s_B_S_Ratios_T" xfId="1282" xr:uid="{00000000-0005-0000-0000-00004C0D0000}"/>
    <cellStyle name="s_Bal Sheets (2)" xfId="1283" xr:uid="{00000000-0005-0000-0000-00004D0D0000}"/>
    <cellStyle name="s_Bal Sheets (2)_1" xfId="1284" xr:uid="{00000000-0005-0000-0000-00004E0D0000}"/>
    <cellStyle name="s_Bal Sheets (2)_2" xfId="1285" xr:uid="{00000000-0005-0000-0000-00004F0D0000}"/>
    <cellStyle name="s_btr_2" xfId="1286" xr:uid="{00000000-0005-0000-0000-0000500D0000}"/>
    <cellStyle name="s_btr_2_1" xfId="1287" xr:uid="{00000000-0005-0000-0000-0000510D0000}"/>
    <cellStyle name="s_btr_2_2" xfId="1288" xr:uid="{00000000-0005-0000-0000-0000520D0000}"/>
    <cellStyle name="s_btr_3" xfId="1289" xr:uid="{00000000-0005-0000-0000-0000530D0000}"/>
    <cellStyle name="s_btr_3_1" xfId="1290" xr:uid="{00000000-0005-0000-0000-0000540D0000}"/>
    <cellStyle name="s_Bullet model 122" xfId="1291" xr:uid="{00000000-0005-0000-0000-0000550D0000}"/>
    <cellStyle name="s_Buy Back Model_adapted" xfId="1292" xr:uid="{00000000-0005-0000-0000-0000560D0000}"/>
    <cellStyle name="s_Cases (2)" xfId="1293" xr:uid="{00000000-0005-0000-0000-0000570D0000}"/>
    <cellStyle name="s_Cases (2)_1" xfId="1294" xr:uid="{00000000-0005-0000-0000-0000580D0000}"/>
    <cellStyle name="s_Cases (2)_1_M&amp;A Model" xfId="1295" xr:uid="{00000000-0005-0000-0000-0000590D0000}"/>
    <cellStyle name="s_Cases (2)_1_M&amp;A projections" xfId="1296" xr:uid="{00000000-0005-0000-0000-00005A0D0000}"/>
    <cellStyle name="s_Cases (2)_2" xfId="1297" xr:uid="{00000000-0005-0000-0000-00005B0D0000}"/>
    <cellStyle name="s_Cases (2)_M&amp;A Model" xfId="1298" xr:uid="{00000000-0005-0000-0000-00005C0D0000}"/>
    <cellStyle name="s_Cases (2)_M&amp;A projections" xfId="1299" xr:uid="{00000000-0005-0000-0000-00005D0D0000}"/>
    <cellStyle name="s_Cases (3)" xfId="1300" xr:uid="{00000000-0005-0000-0000-00005E0D0000}"/>
    <cellStyle name="s_Cases (3)_1" xfId="1301" xr:uid="{00000000-0005-0000-0000-00005F0D0000}"/>
    <cellStyle name="s_Cases (3)_2" xfId="1302" xr:uid="{00000000-0005-0000-0000-0000600D0000}"/>
    <cellStyle name="s_Cases (4)" xfId="1303" xr:uid="{00000000-0005-0000-0000-0000610D0000}"/>
    <cellStyle name="s_Cases (4)_1" xfId="1304" xr:uid="{00000000-0005-0000-0000-0000620D0000}"/>
    <cellStyle name="s_Crown" xfId="1305" xr:uid="{00000000-0005-0000-0000-0000630D0000}"/>
    <cellStyle name="s_Crown_1" xfId="1306" xr:uid="{00000000-0005-0000-0000-0000640D0000}"/>
    <cellStyle name="s_Crown_2" xfId="1307" xr:uid="{00000000-0005-0000-0000-0000650D0000}"/>
    <cellStyle name="s_dccmod1" xfId="1308" xr:uid="{00000000-0005-0000-0000-0000660D0000}"/>
    <cellStyle name="s_dccmod1_1" xfId="1309" xr:uid="{00000000-0005-0000-0000-0000670D0000}"/>
    <cellStyle name="s_dccmod1_2" xfId="1310" xr:uid="{00000000-0005-0000-0000-0000680D0000}"/>
    <cellStyle name="s_dcf" xfId="1311" xr:uid="{00000000-0005-0000-0000-0000690D0000}"/>
    <cellStyle name="s_DCF Matrix (2)" xfId="1312" xr:uid="{00000000-0005-0000-0000-00006A0D0000}"/>
    <cellStyle name="s_DCF Matrix (2)_1" xfId="1313" xr:uid="{00000000-0005-0000-0000-00006B0D0000}"/>
    <cellStyle name="s_DCF Matrix (3)" xfId="1314" xr:uid="{00000000-0005-0000-0000-00006C0D0000}"/>
    <cellStyle name="s_DCF Matrix (3)_1" xfId="1315" xr:uid="{00000000-0005-0000-0000-00006D0D0000}"/>
    <cellStyle name="s_DCF Matrix (4)" xfId="1316" xr:uid="{00000000-0005-0000-0000-00006E0D0000}"/>
    <cellStyle name="s_DCF Matrix (4)_1" xfId="1317" xr:uid="{00000000-0005-0000-0000-00006F0D0000}"/>
    <cellStyle name="s_DCF Matrix (4)_2" xfId="1318" xr:uid="{00000000-0005-0000-0000-0000700D0000}"/>
    <cellStyle name="s_dcf_1" xfId="1319" xr:uid="{00000000-0005-0000-0000-0000710D0000}"/>
    <cellStyle name="s_DCFLBO Code" xfId="1320" xr:uid="{00000000-0005-0000-0000-0000720D0000}"/>
    <cellStyle name="s_DCFLBO Code_1" xfId="1321" xr:uid="{00000000-0005-0000-0000-0000730D0000}"/>
    <cellStyle name="s_Definc_dcf_Industries_270301_ma" xfId="1322" xr:uid="{00000000-0005-0000-0000-0000740D0000}"/>
    <cellStyle name="s_Dilution" xfId="1323" xr:uid="{00000000-0005-0000-0000-0000750D0000}"/>
    <cellStyle name="s_DMPR Sale (2)" xfId="1324" xr:uid="{00000000-0005-0000-0000-0000760D0000}"/>
    <cellStyle name="s_Earnings (2)" xfId="1325" xr:uid="{00000000-0005-0000-0000-0000770D0000}"/>
    <cellStyle name="s_Earnings (2)_1" xfId="1326" xr:uid="{00000000-0005-0000-0000-0000780D0000}"/>
    <cellStyle name="s_Earnings (2)_1_M&amp;A Model" xfId="1327" xr:uid="{00000000-0005-0000-0000-0000790D0000}"/>
    <cellStyle name="s_Earnings (2)_1_M&amp;A projections" xfId="1328" xr:uid="{00000000-0005-0000-0000-00007A0D0000}"/>
    <cellStyle name="s_Earnings (2)_2" xfId="1329" xr:uid="{00000000-0005-0000-0000-00007B0D0000}"/>
    <cellStyle name="s_Earnings (2)_2_M&amp;A Model" xfId="1330" xr:uid="{00000000-0005-0000-0000-00007C0D0000}"/>
    <cellStyle name="s_Earnings (2)_2_M&amp;A projections" xfId="1331" xr:uid="{00000000-0005-0000-0000-00007D0D0000}"/>
    <cellStyle name="s_Earnings (2)_M&amp;A Model" xfId="1332" xr:uid="{00000000-0005-0000-0000-00007E0D0000}"/>
    <cellStyle name="s_Earnings (2)_M&amp;A projections" xfId="1333" xr:uid="{00000000-0005-0000-0000-00007F0D0000}"/>
    <cellStyle name="s_Earn-out (2)" xfId="1334" xr:uid="{00000000-0005-0000-0000-0000800D0000}"/>
    <cellStyle name="s_Earn-out (2)_1" xfId="1335" xr:uid="{00000000-0005-0000-0000-0000810D0000}"/>
    <cellStyle name="s_Euro 2 (2)" xfId="1336" xr:uid="{00000000-0005-0000-0000-0000820D0000}"/>
    <cellStyle name="s_Euro 2 (2)_1" xfId="1337" xr:uid="{00000000-0005-0000-0000-0000830D0000}"/>
    <cellStyle name="s_Euro PICS (2)" xfId="1338" xr:uid="{00000000-0005-0000-0000-0000840D0000}"/>
    <cellStyle name="s_Euro PICS (2)_1" xfId="1339" xr:uid="{00000000-0005-0000-0000-0000850D0000}"/>
    <cellStyle name="s_Euro PICS (3)" xfId="1340" xr:uid="{00000000-0005-0000-0000-0000860D0000}"/>
    <cellStyle name="s_Euro PICS (3)_1" xfId="1341" xr:uid="{00000000-0005-0000-0000-0000870D0000}"/>
    <cellStyle name="s_Europe (2)" xfId="1342" xr:uid="{00000000-0005-0000-0000-0000880D0000}"/>
    <cellStyle name="s_Europe (2)_1" xfId="1343" xr:uid="{00000000-0005-0000-0000-0000890D0000}"/>
    <cellStyle name="s_Europe (2)_2" xfId="1344" xr:uid="{00000000-0005-0000-0000-00008A0D0000}"/>
    <cellStyle name="s_Final Model2" xfId="1345" xr:uid="{00000000-0005-0000-0000-00008B0D0000}"/>
    <cellStyle name="s_Final Model2_1" xfId="1346" xr:uid="{00000000-0005-0000-0000-00008C0D0000}"/>
    <cellStyle name="s_FINALWOOLMODEL" xfId="1347" xr:uid="{00000000-0005-0000-0000-00008D0D0000}"/>
    <cellStyle name="s_Financials_B" xfId="1348" xr:uid="{00000000-0005-0000-0000-00008E0D0000}"/>
    <cellStyle name="s_Financials_T" xfId="1349" xr:uid="{00000000-0005-0000-0000-00008F0D0000}"/>
    <cellStyle name="s_Grandvision_LBO2" xfId="1350" xr:uid="{00000000-0005-0000-0000-0000900D0000}"/>
    <cellStyle name="s_Grouse+Pelican" xfId="1351" xr:uid="{00000000-0005-0000-0000-0000910D0000}"/>
    <cellStyle name="s_Hist Inputs (2)" xfId="1352" xr:uid="{00000000-0005-0000-0000-0000920D0000}"/>
    <cellStyle name="s_Hist Inputs (2)_1" xfId="1353" xr:uid="{00000000-0005-0000-0000-0000930D0000}"/>
    <cellStyle name="s_Hist Inputs (3)" xfId="1354" xr:uid="{00000000-0005-0000-0000-0000940D0000}"/>
    <cellStyle name="s_Hist Inputs (3)_1" xfId="1355" xr:uid="{00000000-0005-0000-0000-0000950D0000}"/>
    <cellStyle name="s_Hist Inputs (4)" xfId="1356" xr:uid="{00000000-0005-0000-0000-0000960D0000}"/>
    <cellStyle name="s_Hist Inputs (4)_1" xfId="1357" xr:uid="{00000000-0005-0000-0000-0000970D0000}"/>
    <cellStyle name="s_LBO" xfId="1358" xr:uid="{00000000-0005-0000-0000-0000980D0000}"/>
    <cellStyle name="s_LBO IRR (2)" xfId="1359" xr:uid="{00000000-0005-0000-0000-0000990D0000}"/>
    <cellStyle name="s_LBO IRR (2)_1" xfId="1360" xr:uid="{00000000-0005-0000-0000-00009A0D0000}"/>
    <cellStyle name="s_LBO Sens (2)" xfId="1361" xr:uid="{00000000-0005-0000-0000-00009B0D0000}"/>
    <cellStyle name="s_LBO Sens (2)_1" xfId="1362" xr:uid="{00000000-0005-0000-0000-00009C0D0000}"/>
    <cellStyle name="s_LBO Sens (2)_2" xfId="1363" xr:uid="{00000000-0005-0000-0000-00009D0D0000}"/>
    <cellStyle name="s_LBO Summary (2)" xfId="1364" xr:uid="{00000000-0005-0000-0000-00009E0D0000}"/>
    <cellStyle name="s_LBO Summary (2)_1" xfId="1365" xr:uid="{00000000-0005-0000-0000-00009F0D0000}"/>
    <cellStyle name="s_LBO_1" xfId="1366" xr:uid="{00000000-0005-0000-0000-0000A00D0000}"/>
    <cellStyle name="s_LBO_2" xfId="1367" xr:uid="{00000000-0005-0000-0000-0000A10D0000}"/>
    <cellStyle name="s_lbo1" xfId="1368" xr:uid="{00000000-0005-0000-0000-0000A20D0000}"/>
    <cellStyle name="s_lbo1_1" xfId="1369" xr:uid="{00000000-0005-0000-0000-0000A30D0000}"/>
    <cellStyle name="s_lbo1_2" xfId="1370" xr:uid="{00000000-0005-0000-0000-0000A40D0000}"/>
    <cellStyle name="s_lbo3" xfId="1371" xr:uid="{00000000-0005-0000-0000-0000A50D0000}"/>
    <cellStyle name="s_lbo3_1" xfId="1372" xr:uid="{00000000-0005-0000-0000-0000A60D0000}"/>
    <cellStyle name="s_LBO5" xfId="1373" xr:uid="{00000000-0005-0000-0000-0000A70D0000}"/>
    <cellStyle name="s_LBO5_1" xfId="1374" xr:uid="{00000000-0005-0000-0000-0000A80D0000}"/>
    <cellStyle name="s_M&amp;A Model" xfId="1375" xr:uid="{00000000-0005-0000-0000-0000A90D0000}"/>
    <cellStyle name="s_M&amp;A projections" xfId="1376" xr:uid="{00000000-0005-0000-0000-0000AA0D0000}"/>
    <cellStyle name="s_MainPrint Code" xfId="1377" xr:uid="{00000000-0005-0000-0000-0000AB0D0000}"/>
    <cellStyle name="s_MainPrint Code_1" xfId="1378" xr:uid="{00000000-0005-0000-0000-0000AC0D0000}"/>
    <cellStyle name="s_Matrix_B" xfId="1379" xr:uid="{00000000-0005-0000-0000-0000AD0D0000}"/>
    <cellStyle name="s_Matrix_T" xfId="1380" xr:uid="{00000000-0005-0000-0000-0000AE0D0000}"/>
    <cellStyle name="s_Merger" xfId="1381" xr:uid="{00000000-0005-0000-0000-0000AF0D0000}"/>
    <cellStyle name="s_mod14" xfId="1382" xr:uid="{00000000-0005-0000-0000-0000B00D0000}"/>
    <cellStyle name="s_mod14_1" xfId="1383" xr:uid="{00000000-0005-0000-0000-0000B10D0000}"/>
    <cellStyle name="s_mod7" xfId="1384" xr:uid="{00000000-0005-0000-0000-0000B20D0000}"/>
    <cellStyle name="s_mod7_1" xfId="1385" xr:uid="{00000000-0005-0000-0000-0000B30D0000}"/>
    <cellStyle name="s_mod9" xfId="1386" xr:uid="{00000000-0005-0000-0000-0000B40D0000}"/>
    <cellStyle name="s_mod9_1" xfId="1387" xr:uid="{00000000-0005-0000-0000-0000B50D0000}"/>
    <cellStyle name="s_model1" xfId="1388" xr:uid="{00000000-0005-0000-0000-0000B60D0000}"/>
    <cellStyle name="s_model1_1" xfId="1389" xr:uid="{00000000-0005-0000-0000-0000B70D0000}"/>
    <cellStyle name="s_model1_2" xfId="1390" xr:uid="{00000000-0005-0000-0000-0000B80D0000}"/>
    <cellStyle name="s_model19" xfId="1391" xr:uid="{00000000-0005-0000-0000-0000B90D0000}"/>
    <cellStyle name="s_model19_1" xfId="1392" xr:uid="{00000000-0005-0000-0000-0000BA0D0000}"/>
    <cellStyle name="s_model2" xfId="1393" xr:uid="{00000000-0005-0000-0000-0000BB0D0000}"/>
    <cellStyle name="s_model6" xfId="1394" xr:uid="{00000000-0005-0000-0000-0000BC0D0000}"/>
    <cellStyle name="s_model6_1" xfId="1395" xr:uid="{00000000-0005-0000-0000-0000BD0D0000}"/>
    <cellStyle name="s_model6_2" xfId="1396" xr:uid="{00000000-0005-0000-0000-0000BE0D0000}"/>
    <cellStyle name="s_NOL (2)" xfId="1397" xr:uid="{00000000-0005-0000-0000-0000BF0D0000}"/>
    <cellStyle name="s_NOL (2)_1" xfId="1398" xr:uid="{00000000-0005-0000-0000-0000C00D0000}"/>
    <cellStyle name="s_NOL (2)_2" xfId="1399" xr:uid="{00000000-0005-0000-0000-0000C10D0000}"/>
    <cellStyle name="s_P_L_Ratios" xfId="1400" xr:uid="{00000000-0005-0000-0000-0000C20D0000}"/>
    <cellStyle name="s_P_L_Ratios_B" xfId="1401" xr:uid="{00000000-0005-0000-0000-0000C30D0000}"/>
    <cellStyle name="s_Paint 18 - MC" xfId="1402" xr:uid="{00000000-0005-0000-0000-0000C40D0000}"/>
    <cellStyle name="s_PFMA Cap (2)" xfId="1403" xr:uid="{00000000-0005-0000-0000-0000C50D0000}"/>
    <cellStyle name="s_PFMA Cap (2)_1" xfId="1404" xr:uid="{00000000-0005-0000-0000-0000C60D0000}"/>
    <cellStyle name="s_PFMA Cap (2)_2" xfId="1405" xr:uid="{00000000-0005-0000-0000-0000C70D0000}"/>
    <cellStyle name="s_PFMA Credit (2)" xfId="1406" xr:uid="{00000000-0005-0000-0000-0000C80D0000}"/>
    <cellStyle name="s_PFMA Credit (2)_1" xfId="1407" xr:uid="{00000000-0005-0000-0000-0000C90D0000}"/>
    <cellStyle name="s_RECESSA" xfId="1408" xr:uid="{00000000-0005-0000-0000-0000CA0D0000}"/>
    <cellStyle name="s_RECESSA_1" xfId="1409" xr:uid="{00000000-0005-0000-0000-0000CB0D0000}"/>
    <cellStyle name="s_Restructuring (2)" xfId="1410" xr:uid="{00000000-0005-0000-0000-0000CC0D0000}"/>
    <cellStyle name="s_Restructuring (2)_1" xfId="1411" xr:uid="{00000000-0005-0000-0000-0000CD0D0000}"/>
    <cellStyle name="s_Restructuring (2)_2" xfId="1412" xr:uid="{00000000-0005-0000-0000-0000CE0D0000}"/>
    <cellStyle name="s_Revised" xfId="1413" xr:uid="{00000000-0005-0000-0000-0000CF0D0000}"/>
    <cellStyle name="s_S_By_S" xfId="1414" xr:uid="{00000000-0005-0000-0000-0000D00D0000}"/>
    <cellStyle name="s_saft_1" xfId="1415" xr:uid="{00000000-0005-0000-0000-0000D10D0000}"/>
    <cellStyle name="s_saft_1_2" xfId="1416" xr:uid="{00000000-0005-0000-0000-0000D20D0000}"/>
    <cellStyle name="s_Schedules (2)" xfId="1417" xr:uid="{00000000-0005-0000-0000-0000D30D0000}"/>
    <cellStyle name="s_Schedules (2)_1" xfId="1418" xr:uid="{00000000-0005-0000-0000-0000D40D0000}"/>
    <cellStyle name="s_Schedules (2)_2" xfId="1419" xr:uid="{00000000-0005-0000-0000-0000D50D0000}"/>
    <cellStyle name="s_Sheet5" xfId="1420" xr:uid="{00000000-0005-0000-0000-0000D60D0000}"/>
    <cellStyle name="s_Standalone (2)" xfId="1421" xr:uid="{00000000-0005-0000-0000-0000D70D0000}"/>
    <cellStyle name="s_Standalone (2)_1" xfId="1422" xr:uid="{00000000-0005-0000-0000-0000D80D0000}"/>
    <cellStyle name="s_Standalone (2)_2" xfId="1423" xr:uid="{00000000-0005-0000-0000-0000D90D0000}"/>
    <cellStyle name="s_Trading Val Calc (2)" xfId="1424" xr:uid="{00000000-0005-0000-0000-0000DA0D0000}"/>
    <cellStyle name="s_Trading Val Calc (2)_1" xfId="1425" xr:uid="{00000000-0005-0000-0000-0000DB0D0000}"/>
    <cellStyle name="s_Val Sum (2)" xfId="1426" xr:uid="{00000000-0005-0000-0000-0000DC0D0000}"/>
    <cellStyle name="s_Val Sum (2)_1" xfId="1427" xr:uid="{00000000-0005-0000-0000-0000DD0D0000}"/>
    <cellStyle name="s_Val Sum (2)_2" xfId="1428" xr:uid="{00000000-0005-0000-0000-0000DE0D0000}"/>
    <cellStyle name="s_Valuation " xfId="1429" xr:uid="{00000000-0005-0000-0000-0000DF0D0000}"/>
    <cellStyle name="s_WACC benchmarking" xfId="1430" xr:uid="{00000000-0005-0000-0000-0000E00D0000}"/>
    <cellStyle name="s_WACC benchmarking 2" xfId="3688" xr:uid="{00000000-0005-0000-0000-0000E10D0000}"/>
    <cellStyle name="s_West Ham (2)" xfId="1431" xr:uid="{00000000-0005-0000-0000-0000E20D0000}"/>
    <cellStyle name="s_West Ham (2)_1" xfId="1432" xr:uid="{00000000-0005-0000-0000-0000E30D0000}"/>
    <cellStyle name="s_West Ham (2)_2" xfId="1433" xr:uid="{00000000-0005-0000-0000-0000E40D0000}"/>
    <cellStyle name="s_Westham (2)" xfId="1434" xr:uid="{00000000-0005-0000-0000-0000E50D0000}"/>
    <cellStyle name="s_Westham (2)_1" xfId="1435" xr:uid="{00000000-0005-0000-0000-0000E60D0000}"/>
    <cellStyle name="s_Westham (2)_2" xfId="1436" xr:uid="{00000000-0005-0000-0000-0000E70D0000}"/>
    <cellStyle name="s_Wool_01_07_12_1999_1" xfId="1437" xr:uid="{00000000-0005-0000-0000-0000E80D0000}"/>
    <cellStyle name="s_Wool_01_07_12_1999_2" xfId="1438" xr:uid="{00000000-0005-0000-0000-0000E90D0000}"/>
    <cellStyle name="s_Wool_14_12_1999_2" xfId="1439" xr:uid="{00000000-0005-0000-0000-0000EA0D0000}"/>
    <cellStyle name="s_Wool_15_02_2000" xfId="1440" xr:uid="{00000000-0005-0000-0000-0000EB0D0000}"/>
    <cellStyle name="s_Wool_15_02_2000_1" xfId="1441" xr:uid="{00000000-0005-0000-0000-0000EC0D0000}"/>
    <cellStyle name="s_Wool_15_02_2000_2" xfId="1442" xr:uid="{00000000-0005-0000-0000-0000ED0D0000}"/>
    <cellStyle name="s_WoolEuro_12_04_2000_02_1" xfId="1443" xr:uid="{00000000-0005-0000-0000-0000EE0D0000}"/>
    <cellStyle name="s_WoolEuro_12_04_2000_02_2" xfId="1444" xr:uid="{00000000-0005-0000-0000-0000EF0D0000}"/>
    <cellStyle name="s_WoolEuro_17_03_2000_1" xfId="1445" xr:uid="{00000000-0005-0000-0000-0000F00D0000}"/>
    <cellStyle name="s_WoolEuro_20_03_2000_3" xfId="1446" xr:uid="{00000000-0005-0000-0000-0000F10D0000}"/>
    <cellStyle name="s_WoolEuroEx_14_04_2000_01" xfId="1447" xr:uid="{00000000-0005-0000-0000-0000F20D0000}"/>
    <cellStyle name="s_WoolEuroEx_14_04_2000_01_1" xfId="1448" xr:uid="{00000000-0005-0000-0000-0000F30D0000}"/>
    <cellStyle name="Salomon Logo" xfId="1449" xr:uid="{00000000-0005-0000-0000-0000F40D0000}"/>
    <cellStyle name="same_prices" xfId="1450" xr:uid="{00000000-0005-0000-0000-0000F50D0000}"/>
    <cellStyle name="SAPBEXaggData" xfId="1451" xr:uid="{00000000-0005-0000-0000-0000F60D0000}"/>
    <cellStyle name="SAPBEXaggDataEmph" xfId="1452" xr:uid="{00000000-0005-0000-0000-0000F70D0000}"/>
    <cellStyle name="SAPBEXaggExc1" xfId="1453" xr:uid="{00000000-0005-0000-0000-0000F80D0000}"/>
    <cellStyle name="SAPBEXaggExc1Emph" xfId="1454" xr:uid="{00000000-0005-0000-0000-0000F90D0000}"/>
    <cellStyle name="SAPBEXaggExc2" xfId="1455" xr:uid="{00000000-0005-0000-0000-0000FA0D0000}"/>
    <cellStyle name="SAPBEXaggExc2Emph" xfId="1456" xr:uid="{00000000-0005-0000-0000-0000FB0D0000}"/>
    <cellStyle name="SAPBEXaggItem" xfId="1457" xr:uid="{00000000-0005-0000-0000-0000FC0D0000}"/>
    <cellStyle name="SAPBEXchaText" xfId="1458" xr:uid="{00000000-0005-0000-0000-0000FD0D0000}"/>
    <cellStyle name="SAPBEXfilterDrill" xfId="1459" xr:uid="{00000000-0005-0000-0000-0000FE0D0000}"/>
    <cellStyle name="SAPBEXfilterItem" xfId="1460" xr:uid="{00000000-0005-0000-0000-0000FF0D0000}"/>
    <cellStyle name="SAPBEXfilterText" xfId="1461" xr:uid="{00000000-0005-0000-0000-0000000E0000}"/>
    <cellStyle name="SAPBEXformats" xfId="1462" xr:uid="{00000000-0005-0000-0000-0000010E0000}"/>
    <cellStyle name="SAPBEXheaderData" xfId="1463" xr:uid="{00000000-0005-0000-0000-0000020E0000}"/>
    <cellStyle name="SAPBEXheaderItem" xfId="1464" xr:uid="{00000000-0005-0000-0000-0000030E0000}"/>
    <cellStyle name="SAPBEXheaderText" xfId="1465" xr:uid="{00000000-0005-0000-0000-0000040E0000}"/>
    <cellStyle name="SAPBEXresData" xfId="1466" xr:uid="{00000000-0005-0000-0000-0000050E0000}"/>
    <cellStyle name="SAPBEXresDataEmph" xfId="1467" xr:uid="{00000000-0005-0000-0000-0000060E0000}"/>
    <cellStyle name="SAPBEXresExc1" xfId="1468" xr:uid="{00000000-0005-0000-0000-0000070E0000}"/>
    <cellStyle name="SAPBEXresExc1Emph" xfId="1469" xr:uid="{00000000-0005-0000-0000-0000080E0000}"/>
    <cellStyle name="SAPBEXresExc2" xfId="1470" xr:uid="{00000000-0005-0000-0000-0000090E0000}"/>
    <cellStyle name="SAPBEXresExc2Emph" xfId="1471" xr:uid="{00000000-0005-0000-0000-00000A0E0000}"/>
    <cellStyle name="SAPBEXresItem" xfId="1472" xr:uid="{00000000-0005-0000-0000-00000B0E0000}"/>
    <cellStyle name="SAPBEXstdData" xfId="1473" xr:uid="{00000000-0005-0000-0000-00000C0E0000}"/>
    <cellStyle name="SAPBEXstdDataEmph" xfId="1474" xr:uid="{00000000-0005-0000-0000-00000D0E0000}"/>
    <cellStyle name="SAPBEXstdExc1" xfId="1475" xr:uid="{00000000-0005-0000-0000-00000E0E0000}"/>
    <cellStyle name="SAPBEXstdExc1Emph" xfId="1476" xr:uid="{00000000-0005-0000-0000-00000F0E0000}"/>
    <cellStyle name="SAPBEXstdExc2" xfId="1477" xr:uid="{00000000-0005-0000-0000-0000100E0000}"/>
    <cellStyle name="SAPBEXstdExc2Emph" xfId="1478" xr:uid="{00000000-0005-0000-0000-0000110E0000}"/>
    <cellStyle name="SAPBEXstdItem" xfId="1479" xr:uid="{00000000-0005-0000-0000-0000120E0000}"/>
    <cellStyle name="SAPBEXsubData" xfId="1480" xr:uid="{00000000-0005-0000-0000-0000130E0000}"/>
    <cellStyle name="SAPBEXsubDataEmph" xfId="1481" xr:uid="{00000000-0005-0000-0000-0000140E0000}"/>
    <cellStyle name="SAPBEXsubExc1" xfId="1482" xr:uid="{00000000-0005-0000-0000-0000150E0000}"/>
    <cellStyle name="SAPBEXsubExc1Emph" xfId="1483" xr:uid="{00000000-0005-0000-0000-0000160E0000}"/>
    <cellStyle name="SAPBEXsubExc2" xfId="1484" xr:uid="{00000000-0005-0000-0000-0000170E0000}"/>
    <cellStyle name="SAPBEXsubExc2Emph" xfId="1485" xr:uid="{00000000-0005-0000-0000-0000180E0000}"/>
    <cellStyle name="SAPBEXsubItem" xfId="1486" xr:uid="{00000000-0005-0000-0000-0000190E0000}"/>
    <cellStyle name="SAPBEXtitle" xfId="1487" xr:uid="{00000000-0005-0000-0000-00001A0E0000}"/>
    <cellStyle name="SAPBEXundefined" xfId="1488" xr:uid="{00000000-0005-0000-0000-00001B0E0000}"/>
    <cellStyle name="SAPKey" xfId="1489" xr:uid="{00000000-0005-0000-0000-00001C0E0000}"/>
    <cellStyle name="SAPLocked" xfId="1490" xr:uid="{00000000-0005-0000-0000-00001D0E0000}"/>
    <cellStyle name="SAPOutput" xfId="1491" xr:uid="{00000000-0005-0000-0000-00001E0E0000}"/>
    <cellStyle name="SAPSpace" xfId="1492" xr:uid="{00000000-0005-0000-0000-00001F0E0000}"/>
    <cellStyle name="SAPText" xfId="1493" xr:uid="{00000000-0005-0000-0000-0000200E0000}"/>
    <cellStyle name="SAPUnLocked" xfId="1494" xr:uid="{00000000-0005-0000-0000-0000210E0000}"/>
    <cellStyle name="ScripFactor" xfId="1495" xr:uid="{00000000-0005-0000-0000-0000220E0000}"/>
    <cellStyle name="sd" xfId="1496" xr:uid="{00000000-0005-0000-0000-0000230E0000}"/>
    <cellStyle name="Section" xfId="1497" xr:uid="{00000000-0005-0000-0000-0000240E0000}"/>
    <cellStyle name="Section name" xfId="1498" xr:uid="{00000000-0005-0000-0000-0000250E0000}"/>
    <cellStyle name="Section Title" xfId="1499" xr:uid="{00000000-0005-0000-0000-0000260E0000}"/>
    <cellStyle name="Section_M&amp;A Model" xfId="1500" xr:uid="{00000000-0005-0000-0000-0000270E0000}"/>
    <cellStyle name="SectionHeading" xfId="1501" xr:uid="{00000000-0005-0000-0000-0000280E0000}"/>
    <cellStyle name="Separador de milhares [0]_planbrasil 1" xfId="1502" xr:uid="{00000000-0005-0000-0000-0000290E0000}"/>
    <cellStyle name="Separador de milhares_planbrasil 1" xfId="1503" xr:uid="{00000000-0005-0000-0000-00002A0E0000}"/>
    <cellStyle name="sf" xfId="1504" xr:uid="{00000000-0005-0000-0000-00002B0E0000}"/>
    <cellStyle name="sff" xfId="1505" xr:uid="{00000000-0005-0000-0000-00002C0E0000}"/>
    <cellStyle name="Shaded" xfId="1506" xr:uid="{00000000-0005-0000-0000-00002D0E0000}"/>
    <cellStyle name="Shading" xfId="1507" xr:uid="{00000000-0005-0000-0000-00002E0E0000}"/>
    <cellStyle name="Shares" xfId="1508" xr:uid="{00000000-0005-0000-0000-00002F0E0000}"/>
    <cellStyle name="Sheetmult" xfId="1509" xr:uid="{00000000-0005-0000-0000-0000300E0000}"/>
    <cellStyle name="Short Date" xfId="1510" xr:uid="{00000000-0005-0000-0000-0000310E0000}"/>
    <cellStyle name="Short Time" xfId="1511" xr:uid="{00000000-0005-0000-0000-0000320E0000}"/>
    <cellStyle name="Shtmultx" xfId="1512" xr:uid="{00000000-0005-0000-0000-0000330E0000}"/>
    <cellStyle name="Single Accounting" xfId="1513" xr:uid="{00000000-0005-0000-0000-0000340E0000}"/>
    <cellStyle name="Single Border" xfId="1514" xr:uid="{00000000-0005-0000-0000-0000350E0000}"/>
    <cellStyle name="Single Underline" xfId="1515" xr:uid="{00000000-0005-0000-0000-0000360E0000}"/>
    <cellStyle name="Small Number" xfId="1516" xr:uid="{00000000-0005-0000-0000-0000370E0000}"/>
    <cellStyle name="Small Page Heading" xfId="1517" xr:uid="{00000000-0005-0000-0000-0000380E0000}"/>
    <cellStyle name="Small Percentage" xfId="1518" xr:uid="{00000000-0005-0000-0000-0000390E0000}"/>
    <cellStyle name="Spreadsheet title" xfId="1519" xr:uid="{00000000-0005-0000-0000-00003A0E0000}"/>
    <cellStyle name="spt" xfId="1520" xr:uid="{00000000-0005-0000-0000-00003B0E0000}"/>
    <cellStyle name="ss" xfId="1521" xr:uid="{00000000-0005-0000-0000-00003C0E0000}"/>
    <cellStyle name="ss0" xfId="1522" xr:uid="{00000000-0005-0000-0000-00003D0E0000}"/>
    <cellStyle name="ss0 2" xfId="3689" xr:uid="{00000000-0005-0000-0000-00003E0E0000}"/>
    <cellStyle name="ss1" xfId="1523" xr:uid="{00000000-0005-0000-0000-00003F0E0000}"/>
    <cellStyle name="ss1 2" xfId="3690" xr:uid="{00000000-0005-0000-0000-0000400E0000}"/>
    <cellStyle name="ss2" xfId="1524" xr:uid="{00000000-0005-0000-0000-0000410E0000}"/>
    <cellStyle name="ss2 2" xfId="3691" xr:uid="{00000000-0005-0000-0000-0000420E0000}"/>
    <cellStyle name="ssp " xfId="1525" xr:uid="{00000000-0005-0000-0000-0000430E0000}"/>
    <cellStyle name="st" xfId="1526" xr:uid="{00000000-0005-0000-0000-0000440E0000}"/>
    <cellStyle name="Standaard_balance" xfId="1527" xr:uid="{00000000-0005-0000-0000-0000450E0000}"/>
    <cellStyle name="Standard" xfId="1528" xr:uid="{00000000-0005-0000-0000-0000460E0000}"/>
    <cellStyle name="Standard Header" xfId="1529" xr:uid="{00000000-0005-0000-0000-0000470E0000}"/>
    <cellStyle name="Standard__Utopia Index Index und Guidance (Deutsch)" xfId="1530" xr:uid="{00000000-0005-0000-0000-0000480E0000}"/>
    <cellStyle name="Std_1" xfId="1531" xr:uid="{00000000-0005-0000-0000-0000490E0000}"/>
    <cellStyle name="Stock Comma" xfId="1532" xr:uid="{00000000-0005-0000-0000-00004A0E0000}"/>
    <cellStyle name="Stock Price" xfId="1533" xr:uid="{00000000-0005-0000-0000-00004B0E0000}"/>
    <cellStyle name="STYL1 - Style1" xfId="1536" xr:uid="{00000000-0005-0000-0000-00004F0E0000}"/>
    <cellStyle name="Style 1" xfId="1537" xr:uid="{00000000-0005-0000-0000-0000500E0000}"/>
    <cellStyle name="Style 2" xfId="1538" xr:uid="{00000000-0005-0000-0000-0000510E0000}"/>
    <cellStyle name="Style 3" xfId="1539" xr:uid="{00000000-0005-0000-0000-0000520E0000}"/>
    <cellStyle name="Strange" xfId="1534" xr:uid="{00000000-0005-0000-0000-00004C0E0000}"/>
    <cellStyle name="Strictly confidential" xfId="1535" xr:uid="{00000000-0005-0000-0000-00004D0E0000}"/>
    <cellStyle name="Strictly confidential 2" xfId="3692" xr:uid="{00000000-0005-0000-0000-00004E0E0000}"/>
    <cellStyle name="Subhead" xfId="1540" xr:uid="{00000000-0005-0000-0000-0000530E0000}"/>
    <cellStyle name="Subheadbldun" xfId="1541" xr:uid="{00000000-0005-0000-0000-0000540E0000}"/>
    <cellStyle name="SubHeading" xfId="1542" xr:uid="{00000000-0005-0000-0000-0000550E0000}"/>
    <cellStyle name="SubHeading 1" xfId="1543" xr:uid="{00000000-0005-0000-0000-0000560E0000}"/>
    <cellStyle name="SubHeading 2" xfId="1544" xr:uid="{00000000-0005-0000-0000-0000570E0000}"/>
    <cellStyle name="SubHeading_57 Project Fly (2)" xfId="1545" xr:uid="{00000000-0005-0000-0000-0000580E0000}"/>
    <cellStyle name="SubsidTitle" xfId="1546" xr:uid="{00000000-0005-0000-0000-0000590E0000}"/>
    <cellStyle name="SubsubHead" xfId="1547" xr:uid="{00000000-0005-0000-0000-00005A0E0000}"/>
    <cellStyle name="Subtitle" xfId="1548" xr:uid="{00000000-0005-0000-0000-00005B0E0000}"/>
    <cellStyle name="Sub-titulo" xfId="1549" xr:uid="{00000000-0005-0000-0000-00005C0E0000}"/>
    <cellStyle name="Sub-titulo 2" xfId="1550" xr:uid="{00000000-0005-0000-0000-00005D0E0000}"/>
    <cellStyle name="Subtotal" xfId="1551" xr:uid="{00000000-0005-0000-0000-00005E0E0000}"/>
    <cellStyle name="Sub-total" xfId="1552" xr:uid="{00000000-0005-0000-0000-00005F0E0000}"/>
    <cellStyle name="Subtotal 2" xfId="3693" xr:uid="{00000000-0005-0000-0000-0000600E0000}"/>
    <cellStyle name="Subtotal_left" xfId="1553" xr:uid="{00000000-0005-0000-0000-0000610E0000}"/>
    <cellStyle name="Summary" xfId="1554" xr:uid="{00000000-0005-0000-0000-0000620E0000}"/>
    <cellStyle name="Summe" xfId="1555" xr:uid="{00000000-0005-0000-0000-0000630E0000}"/>
    <cellStyle name="SuppCalc (0.0)" xfId="1556" xr:uid="{00000000-0005-0000-0000-0000640E0000}"/>
    <cellStyle name="SwitchA" xfId="1557" xr:uid="{00000000-0005-0000-0000-0000650E0000}"/>
    <cellStyle name="SwitchR" xfId="1558" xr:uid="{00000000-0005-0000-0000-0000660E0000}"/>
    <cellStyle name="t" xfId="1559" xr:uid="{00000000-0005-0000-0000-0000670E0000}"/>
    <cellStyle name="t#" xfId="1560" xr:uid="{00000000-0005-0000-0000-0000680E0000}"/>
    <cellStyle name="t%" xfId="1561" xr:uid="{00000000-0005-0000-0000-0000690E0000}"/>
    <cellStyle name="t_Ithaca_Options Outstanding_20051211" xfId="1562" xr:uid="{00000000-0005-0000-0000-00006A0E0000}"/>
    <cellStyle name="t_Manager" xfId="1563" xr:uid="{00000000-0005-0000-0000-00006B0E0000}"/>
    <cellStyle name="t_Valuation" xfId="1564" xr:uid="{00000000-0005-0000-0000-00006C0E0000}"/>
    <cellStyle name="t_WACC benchmarking" xfId="1565" xr:uid="{00000000-0005-0000-0000-00006D0E0000}"/>
    <cellStyle name="t1" xfId="1566" xr:uid="{00000000-0005-0000-0000-00006E0E0000}"/>
    <cellStyle name="Table" xfId="1567" xr:uid="{00000000-0005-0000-0000-00006F0E0000}"/>
    <cellStyle name="Table Col Head" xfId="1568" xr:uid="{00000000-0005-0000-0000-0000700E0000}"/>
    <cellStyle name="table column heading" xfId="1569" xr:uid="{00000000-0005-0000-0000-0000710E0000}"/>
    <cellStyle name="Table Head" xfId="1570" xr:uid="{00000000-0005-0000-0000-0000720E0000}"/>
    <cellStyle name="Table Head Aligned" xfId="1571" xr:uid="{00000000-0005-0000-0000-0000730E0000}"/>
    <cellStyle name="Table Head Blue" xfId="1572" xr:uid="{00000000-0005-0000-0000-0000740E0000}"/>
    <cellStyle name="Table Head Green" xfId="1573" xr:uid="{00000000-0005-0000-0000-0000750E0000}"/>
    <cellStyle name="Table Head__WACC analysis" xfId="1574" xr:uid="{00000000-0005-0000-0000-0000760E0000}"/>
    <cellStyle name="Table Heading" xfId="1575" xr:uid="{00000000-0005-0000-0000-0000770E0000}"/>
    <cellStyle name="Table Source" xfId="1576" xr:uid="{00000000-0005-0000-0000-0000780E0000}"/>
    <cellStyle name="Table Sub Head" xfId="1577" xr:uid="{00000000-0005-0000-0000-0000790E0000}"/>
    <cellStyle name="Table Sub Heading" xfId="1578" xr:uid="{00000000-0005-0000-0000-00007A0E0000}"/>
    <cellStyle name="Table Text" xfId="1579" xr:uid="{00000000-0005-0000-0000-00007B0E0000}"/>
    <cellStyle name="Table Title" xfId="1580" xr:uid="{00000000-0005-0000-0000-00007C0E0000}"/>
    <cellStyle name="Table Units" xfId="1581" xr:uid="{00000000-0005-0000-0000-00007D0E0000}"/>
    <cellStyle name="Table_Header" xfId="1582" xr:uid="{00000000-0005-0000-0000-00007E0E0000}"/>
    <cellStyle name="TableBase" xfId="1583" xr:uid="{00000000-0005-0000-0000-00007F0E0000}"/>
    <cellStyle name="TableBase 2" xfId="3694" xr:uid="{00000000-0005-0000-0000-0000800E0000}"/>
    <cellStyle name="TableColumnHeading" xfId="1584" xr:uid="{00000000-0005-0000-0000-0000810E0000}"/>
    <cellStyle name="TableFootnotes" xfId="1585" xr:uid="{00000000-0005-0000-0000-0000820E0000}"/>
    <cellStyle name="TableHead" xfId="1586" xr:uid="{00000000-0005-0000-0000-0000830E0000}"/>
    <cellStyle name="TableName" xfId="1587" xr:uid="{00000000-0005-0000-0000-0000840E0000}"/>
    <cellStyle name="TableSubTitleItalic" xfId="1588" xr:uid="{00000000-0005-0000-0000-0000850E0000}"/>
    <cellStyle name="TableText" xfId="1589" xr:uid="{00000000-0005-0000-0000-0000860E0000}"/>
    <cellStyle name="TableTitle" xfId="1590" xr:uid="{00000000-0005-0000-0000-0000870E0000}"/>
    <cellStyle name="TableTitleFormat" xfId="1591" xr:uid="{00000000-0005-0000-0000-0000880E0000}"/>
    <cellStyle name="Tag" xfId="1592" xr:uid="{00000000-0005-0000-0000-0000890E0000}"/>
    <cellStyle name="Test" xfId="1593" xr:uid="{00000000-0005-0000-0000-00008A0E0000}"/>
    <cellStyle name="Test [green]" xfId="1594" xr:uid="{00000000-0005-0000-0000-00008B0E0000}"/>
    <cellStyle name="Text" xfId="1595" xr:uid="{00000000-0005-0000-0000-00008C0E0000}"/>
    <cellStyle name="Text [4]" xfId="1596" xr:uid="{00000000-0005-0000-0000-00008D0E0000}"/>
    <cellStyle name="Text [8]" xfId="1597" xr:uid="{00000000-0005-0000-0000-00008E0E0000}"/>
    <cellStyle name="Text [Bullet]" xfId="1598" xr:uid="{00000000-0005-0000-0000-00008F0E0000}"/>
    <cellStyle name="Text [Dash]" xfId="1599" xr:uid="{00000000-0005-0000-0000-0000900E0000}"/>
    <cellStyle name="Text [Em-Dash]" xfId="1600" xr:uid="{00000000-0005-0000-0000-0000910E0000}"/>
    <cellStyle name="Text 1" xfId="1601" xr:uid="{00000000-0005-0000-0000-0000920E0000}"/>
    <cellStyle name="Text 2" xfId="1602" xr:uid="{00000000-0005-0000-0000-0000930E0000}"/>
    <cellStyle name="Text Head" xfId="1603" xr:uid="{00000000-0005-0000-0000-0000940E0000}"/>
    <cellStyle name="Text Head 1" xfId="1604" xr:uid="{00000000-0005-0000-0000-0000950E0000}"/>
    <cellStyle name="Text Head 2" xfId="1605" xr:uid="{00000000-0005-0000-0000-0000960E0000}"/>
    <cellStyle name="Text Indent 1" xfId="1606" xr:uid="{00000000-0005-0000-0000-0000970E0000}"/>
    <cellStyle name="Text Indent 2" xfId="1607" xr:uid="{00000000-0005-0000-0000-0000980E0000}"/>
    <cellStyle name="Text Indent A" xfId="1608" xr:uid="{00000000-0005-0000-0000-0000990E0000}"/>
    <cellStyle name="Text Indent B" xfId="1609" xr:uid="{00000000-0005-0000-0000-00009A0E0000}"/>
    <cellStyle name="Text Indent C" xfId="1610" xr:uid="{00000000-0005-0000-0000-00009B0E0000}"/>
    <cellStyle name="Text Wrap" xfId="1611" xr:uid="{00000000-0005-0000-0000-00009C0E0000}"/>
    <cellStyle name="Text_comparison" xfId="1612" xr:uid="{00000000-0005-0000-0000-00009D0E0000}"/>
    <cellStyle name="TFCF" xfId="1613" xr:uid="{00000000-0005-0000-0000-00009E0E0000}"/>
    <cellStyle name="Tick" xfId="1616" xr:uid="{00000000-0005-0000-0000-0000A10E0000}"/>
    <cellStyle name="time" xfId="1617" xr:uid="{00000000-0005-0000-0000-0000A20E0000}"/>
    <cellStyle name="Time Strip" xfId="1618" xr:uid="{00000000-0005-0000-0000-0000A30E0000}"/>
    <cellStyle name="Time_M&amp;A Model" xfId="1619" xr:uid="{00000000-0005-0000-0000-0000A40E0000}"/>
    <cellStyle name="times" xfId="1620" xr:uid="{00000000-0005-0000-0000-0000A50E0000}"/>
    <cellStyle name="Times [1]" xfId="1621" xr:uid="{00000000-0005-0000-0000-0000A60E0000}"/>
    <cellStyle name="Times [1] Total" xfId="1622" xr:uid="{00000000-0005-0000-0000-0000A70E0000}"/>
    <cellStyle name="Times [1] Total 2" xfId="3695" xr:uid="{00000000-0005-0000-0000-0000A80E0000}"/>
    <cellStyle name="Times [1]_GP_NEM_4" xfId="1623" xr:uid="{00000000-0005-0000-0000-0000A90E0000}"/>
    <cellStyle name="Times [2]" xfId="1624" xr:uid="{00000000-0005-0000-0000-0000AA0E0000}"/>
    <cellStyle name="Times [2] Total" xfId="1625" xr:uid="{00000000-0005-0000-0000-0000AB0E0000}"/>
    <cellStyle name="Times [2] Total 2" xfId="3696" xr:uid="{00000000-0005-0000-0000-0000AC0E0000}"/>
    <cellStyle name="Times [2]_GP_NEM_4" xfId="1626" xr:uid="{00000000-0005-0000-0000-0000AD0E0000}"/>
    <cellStyle name="Times [3]" xfId="1627" xr:uid="{00000000-0005-0000-0000-0000AE0E0000}"/>
    <cellStyle name="Times 10" xfId="1628" xr:uid="{00000000-0005-0000-0000-0000AF0E0000}"/>
    <cellStyle name="Times 12" xfId="1629" xr:uid="{00000000-0005-0000-0000-0000B00E0000}"/>
    <cellStyle name="Times New Roman" xfId="1630" xr:uid="{00000000-0005-0000-0000-0000B10E0000}"/>
    <cellStyle name="times_EXPN" xfId="1631" xr:uid="{00000000-0005-0000-0000-0000B20E0000}"/>
    <cellStyle name="titel" xfId="1632" xr:uid="{00000000-0005-0000-0000-0000B30E0000}"/>
    <cellStyle name="Title Heading" xfId="1633" xr:uid="{00000000-0005-0000-0000-0000B40E0000}"/>
    <cellStyle name="Title II" xfId="1634" xr:uid="{00000000-0005-0000-0000-0000B50E0000}"/>
    <cellStyle name="Title1" xfId="1635" xr:uid="{00000000-0005-0000-0000-0000B60E0000}"/>
    <cellStyle name="Title2" xfId="1636" xr:uid="{00000000-0005-0000-0000-0000B70E0000}"/>
    <cellStyle name="TitleII" xfId="1637" xr:uid="{00000000-0005-0000-0000-0000B80E0000}"/>
    <cellStyle name="Titles" xfId="1638" xr:uid="{00000000-0005-0000-0000-0000B90E0000}"/>
    <cellStyle name="Titles2" xfId="1639" xr:uid="{00000000-0005-0000-0000-0000BA0E0000}"/>
    <cellStyle name="TitleYear" xfId="1640" xr:uid="{00000000-0005-0000-0000-0000BB0E0000}"/>
    <cellStyle name="Titulo-Seccion" xfId="1642" xr:uid="{00000000-0005-0000-0000-0000BD0E0000}"/>
    <cellStyle name="titre_col" xfId="1641" xr:uid="{00000000-0005-0000-0000-0000BC0E0000}"/>
    <cellStyle name="tom" xfId="1643" xr:uid="{00000000-0005-0000-0000-0000BE0E0000}"/>
    <cellStyle name="Top Edge" xfId="1644" xr:uid="{00000000-0005-0000-0000-0000BF0E0000}"/>
    <cellStyle name="TopCaption" xfId="1645" xr:uid="{00000000-0005-0000-0000-0000C00E0000}"/>
    <cellStyle name="Topline" xfId="1646" xr:uid="{00000000-0005-0000-0000-0000C10E0000}"/>
    <cellStyle name="Topline 2" xfId="3697" xr:uid="{00000000-0005-0000-0000-0000C20E0000}"/>
    <cellStyle name="Totals" xfId="1647" xr:uid="{00000000-0005-0000-0000-0000C30E0000}"/>
    <cellStyle name="Totals [0]" xfId="1648" xr:uid="{00000000-0005-0000-0000-0000C40E0000}"/>
    <cellStyle name="Totals [2]" xfId="1649" xr:uid="{00000000-0005-0000-0000-0000C50E0000}"/>
    <cellStyle name="Totals_57 Project Fly (2)" xfId="1650" xr:uid="{00000000-0005-0000-0000-0000C60E0000}"/>
    <cellStyle name="ts0" xfId="1652" xr:uid="{00000000-0005-0000-0000-0000C80E0000}"/>
    <cellStyle name="ts1" xfId="1653" xr:uid="{00000000-0005-0000-0000-0000C90E0000}"/>
    <cellStyle name="ts2" xfId="1654" xr:uid="{00000000-0005-0000-0000-0000CA0E0000}"/>
    <cellStyle name="thousand" xfId="1614" xr:uid="{00000000-0005-0000-0000-00009F0E0000}"/>
    <cellStyle name="threedecplace" xfId="1615" xr:uid="{00000000-0005-0000-0000-0000A00E0000}"/>
    <cellStyle name="trailing" xfId="1651" xr:uid="{00000000-0005-0000-0000-0000C70E0000}"/>
    <cellStyle name="u" xfId="1655" xr:uid="{00000000-0005-0000-0000-0000CB0E0000}"/>
    <cellStyle name="u_MD 1 model_blank_Augustin" xfId="1656" xr:uid="{00000000-0005-0000-0000-0000CC0E0000}"/>
    <cellStyle name="ubordinated Debt" xfId="1657" xr:uid="{00000000-0005-0000-0000-0000CD0E0000}"/>
    <cellStyle name="Undefiniert" xfId="1658" xr:uid="{00000000-0005-0000-0000-0000CE0E0000}"/>
    <cellStyle name="underline" xfId="1659" xr:uid="{00000000-0005-0000-0000-0000CF0E0000}"/>
    <cellStyle name="Underscore" xfId="1660" xr:uid="{00000000-0005-0000-0000-0000D00E0000}"/>
    <cellStyle name="Underscore 2" xfId="3698" xr:uid="{00000000-0005-0000-0000-0000D10E0000}"/>
    <cellStyle name="units" xfId="1661" xr:uid="{00000000-0005-0000-0000-0000D20E0000}"/>
    <cellStyle name="Unprot" xfId="1662" xr:uid="{00000000-0005-0000-0000-0000D30E0000}"/>
    <cellStyle name="Unprot$" xfId="1663" xr:uid="{00000000-0005-0000-0000-0000D40E0000}"/>
    <cellStyle name="Unprotect" xfId="1664" xr:uid="{00000000-0005-0000-0000-0000D50E0000}"/>
    <cellStyle name="User_Defined_A" xfId="1665" xr:uid="{00000000-0005-0000-0000-0000D60E0000}"/>
    <cellStyle name="Valuta (0)" xfId="1666" xr:uid="{00000000-0005-0000-0000-0000D70E0000}"/>
    <cellStyle name="Valuta [0]_DCF Filos" xfId="1667" xr:uid="{00000000-0005-0000-0000-0000D80E0000}"/>
    <cellStyle name="Valuta_Compkey_95" xfId="1668" xr:uid="{00000000-0005-0000-0000-0000D90E0000}"/>
    <cellStyle name="VertPC" xfId="1669" xr:uid="{00000000-0005-0000-0000-0000DA0E0000}"/>
    <cellStyle name="Währung [0]_Admin" xfId="1670" xr:uid="{00000000-0005-0000-0000-0000DB0E0000}"/>
    <cellStyle name="Währung_Admin" xfId="1671" xr:uid="{00000000-0005-0000-0000-0000DC0E0000}"/>
    <cellStyle name="White" xfId="1672" xr:uid="{00000000-0005-0000-0000-0000DD0E0000}"/>
    <cellStyle name="WholeNumber" xfId="1673" xr:uid="{00000000-0005-0000-0000-0000DE0E0000}"/>
    <cellStyle name="WP Header" xfId="1674" xr:uid="{00000000-0005-0000-0000-0000DF0E0000}"/>
    <cellStyle name="WrappedBold" xfId="1675" xr:uid="{00000000-0005-0000-0000-0000E00E0000}"/>
    <cellStyle name="x0" xfId="1676" xr:uid="{00000000-0005-0000-0000-0000E10E0000}"/>
    <cellStyle name="x1" xfId="1677" xr:uid="{00000000-0005-0000-0000-0000E20E0000}"/>
    <cellStyle name="x2" xfId="1678" xr:uid="{00000000-0005-0000-0000-0000E30E0000}"/>
    <cellStyle name="year" xfId="1679" xr:uid="{00000000-0005-0000-0000-0000E40E0000}"/>
    <cellStyle name="Year Estimates" xfId="1680" xr:uid="{00000000-0005-0000-0000-0000E50E0000}"/>
    <cellStyle name="Year Historicals" xfId="1681" xr:uid="{00000000-0005-0000-0000-0000E60E0000}"/>
    <cellStyle name="Year_MD 1 model_blank_Augustin" xfId="1682" xr:uid="{00000000-0005-0000-0000-0000E70E0000}"/>
    <cellStyle name="YearA" xfId="1683" xr:uid="{00000000-0005-0000-0000-0000E80E0000}"/>
    <cellStyle name="YearE" xfId="1684" xr:uid="{00000000-0005-0000-0000-0000E90E0000}"/>
    <cellStyle name="Yen" xfId="1685" xr:uid="{00000000-0005-0000-0000-0000EA0E0000}"/>
  </cellStyles>
  <dxfs count="0"/>
  <tableStyles count="0" defaultTableStyle="TableStyleMedium9" defaultPivotStyle="PivotStyleLight16"/>
  <colors>
    <mruColors>
      <color rgb="FFFFFFCC"/>
      <color rgb="FFE5F1F3"/>
      <color rgb="FFEAEDD2"/>
      <color rgb="FFDED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3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u903129\Desktop\ChartPRO\ChartPRO%20Master%20v3m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arb\Desktop\fiel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Working%20_ValCom_11.05.06_APK_FINALVALCOM.xls.zip\Working%20_ValCom_11.05.06_APK_FINALVALC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haf\Local%20Settings\Temporary%20Internet%20Files\OLKC\15%2003%2007%20Project%20Blue%20model%20(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Defence\Model\BB%20Defence%20Model%20v9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NILIAD\Workings\Nov%2005\Working%20file%20RelVal%20ODYSSEY%2003.11.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Bia\Models\Feb%202006\Project%20Bia_Feb%202006_v4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416046\Temp\notes9DC704\Talvivaara%20Finance_08.05.06v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Esmond\Kazakhmys\2006\ENR%20Model%20V3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239287\Temp\notesB0A751\ENR%20v15_27.11.06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MDOn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Jan_%202005%20MANAGEMENT%20ACCOUNTS%2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Client%20Directory\H\Hays\Model\Recruitment_model_310507_v7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ining\Admin\Mincomps\General%20mining\2005\Mining%20Comps%2007_07_0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ergers\Client%20Directory\F\FKI\FKI_model_v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Copy%20of%20Rusal_model_v%2016%20xls.zip\Copy%20of%20Rusal_model_v.1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Tuck\Models\Round%20II\Project%20Tuck_JPMC%20version%20v5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3/cf$/Corporate%20Finance%20Advice/Teams/M&amp;A/Christopher/Client%20Directory/BOC/Models/Merger%20models/2005/Project%20Tango%20Model%20(version%2050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InterContinental%20Hotels\2008\Valuation%20and%20defence%20-%20June%202008\Data%20Files\Excel%20Data%201506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jfrehner\Local%20Settings\Temporary%20Internet%20Files\OLK94\legal\Anylyst%20Company%20Model\DCF%20Cocoon%2003071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Executive%20Summary%20(Tear%20Sheets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maharaj\Local%20Settings\Temporary%20Internet%20Files\OLK84\Project%20Victoria%20version%2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Lydian\NGC%20ongoing\Lydian%20Model\NGCH%20Model%20(LCAJF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eals\Dolphin\Lydian%20Model\legal\Anylyst%20Company%20Model\DCF%20Cocoon%2003071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Project%20Diablo\Model\superceded\DML%20Model%20(version%202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ea Standard"/>
      <sheetName val="Area Stack"/>
      <sheetName val="Area Stack 100%"/>
      <sheetName val="Bar_clustered"/>
      <sheetName val="Bar stack"/>
      <sheetName val="Bar clustered w zero axis"/>
      <sheetName val="Bar clustered with 2 axes"/>
      <sheetName val="Bar clustered and stacked"/>
      <sheetName val="Floating bar"/>
      <sheetName val="Stack bar 100%"/>
      <sheetName val="Barbell"/>
      <sheetName val="Bubble 1"/>
      <sheetName val="Bubble 2 (grid)"/>
      <sheetName val="Column"/>
      <sheetName val="Column stack"/>
      <sheetName val="Column clustered w zero axis"/>
      <sheetName val="Column clustered with 2 axes"/>
      <sheetName val="Column clustered and stacked"/>
      <sheetName val="Data Arrangement (2)"/>
      <sheetName val="Reserved"/>
      <sheetName val="Double stacked column"/>
      <sheetName val="Floating column"/>
      <sheetName val="Stack column 100%"/>
      <sheetName val="Line"/>
      <sheetName val="Line with column"/>
      <sheetName val="Line with column stack"/>
      <sheetName val="Line with zero axis"/>
      <sheetName val="2 clustered+stacked col w_ line"/>
      <sheetName val="Pie"/>
      <sheetName val="Pie with pie"/>
      <sheetName val="Pie with column"/>
      <sheetName val="Price volume"/>
      <sheetName val="Radar"/>
      <sheetName val="Scatter"/>
      <sheetName val="Scatterline (with annotations)"/>
      <sheetName val="Step"/>
      <sheetName val="Waterfall 1"/>
      <sheetName val="Waterfall 2 (negative)"/>
      <sheetName val="Data Arrangement"/>
      <sheetName val="Color Grid"/>
      <sheetName val="Sheet1"/>
      <sheetName val="Assum"/>
      <sheetName val="CRO Input"/>
      <sheetName val="Storage"/>
      <sheetName val="CSAS-Liquidity"/>
      <sheetName val="AccDil"/>
      <sheetName val="Comps input"/>
      <sheetName val="InitialinputsJim"/>
      <sheetName val="DCF"/>
      <sheetName val="Valuation"/>
      <sheetName val="WyomProd"/>
      <sheetName val="Output_risked"/>
      <sheetName val="ASPT"/>
      <sheetName val="Outputs"/>
      <sheetName val="Probable Production"/>
      <sheetName val="Operating_Output"/>
      <sheetName val="Open"/>
      <sheetName val="ind"/>
      <sheetName val="Input"/>
      <sheetName val="Graph 1"/>
      <sheetName val="ChartPRO Master v3m3"/>
      <sheetName val="Advances"/>
      <sheetName val="ONEInput"/>
      <sheetName val="Master"/>
      <sheetName val="CCM by Initiative"/>
      <sheetName val="SFS by Initiative"/>
      <sheetName val="MAIN"/>
      <sheetName val="Accounts"/>
      <sheetName val="Front Page"/>
      <sheetName val="Area_Standard"/>
      <sheetName val="Area_Stack"/>
      <sheetName val="Area_Stack_100%"/>
      <sheetName val="Bar_stack"/>
      <sheetName val="Bar_clustered_w_zero_axis"/>
      <sheetName val="Bar_clustered_with_2_axes"/>
      <sheetName val="Bar_clustered_and_stacked"/>
      <sheetName val="Floating_bar"/>
      <sheetName val="Stack_bar_100%"/>
      <sheetName val="Bubble_1"/>
      <sheetName val="Bubble_2_(grid)"/>
      <sheetName val="Column_stack"/>
      <sheetName val="Column_clustered_w_zero_axis"/>
      <sheetName val="Column_clustered_with_2_axes"/>
      <sheetName val="Column_clustered_and_stacked"/>
      <sheetName val="Data_Arrangement_(2)"/>
      <sheetName val="Double_stacked_column"/>
      <sheetName val="Floating_column"/>
      <sheetName val="Stack_column_100%"/>
      <sheetName val="Line_with_column"/>
      <sheetName val="Line_with_column_stack"/>
      <sheetName val="Line_with_zero_axis"/>
      <sheetName val="2_clustered+stacked_col_w__line"/>
      <sheetName val="Pie_with_pie"/>
      <sheetName val="Pie_with_column"/>
      <sheetName val="Price_volume"/>
      <sheetName val="Scatterline_(with_annotations)"/>
      <sheetName val="Waterfall_1"/>
      <sheetName val="Waterfall_2_(negative)"/>
      <sheetName val="Data_Arrangement"/>
      <sheetName val="Color_Grid"/>
      <sheetName val="COMBINED_BS"/>
      <sheetName val="COMBINED_IS"/>
      <sheetName val="HAS_GETS"/>
      <sheetName val="TRANS_SUM"/>
      <sheetName val="Industry List"/>
      <sheetName val="Macro"/>
      <sheetName val="Traffic Buildup"/>
      <sheetName val="One-off costs"/>
      <sheetName val="Barrabeta"/>
      <sheetName val="Instructions"/>
      <sheetName val="C"/>
      <sheetName val="CRO_Input"/>
      <sheetName val="Comps_input"/>
      <sheetName val="Probable_Production"/>
      <sheetName val="Data Validation lists"/>
      <sheetName val="Bookrunners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ootball"/>
      <sheetName val="Title"/>
      <sheetName val="ANS_pre"/>
      <sheetName val="ANS_Calendarised"/>
      <sheetName val="ANS_Financing"/>
      <sheetName val="ANS_LBO"/>
      <sheetName val="LBO"/>
      <sheetName val="ANS_post"/>
      <sheetName val="Input Sheets &gt;&gt;&gt;"/>
      <sheetName val="ANS_developments"/>
      <sheetName val="Share price performance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"/>
      <sheetName val="V"/>
      <sheetName val="Valuation"/>
      <sheetName val="FootballField"/>
      <sheetName val="Contribution"/>
      <sheetName val="EBIT_SPLIT"/>
      <sheetName val="Buy-in_1y"/>
      <sheetName val="Buy-in_6mo"/>
      <sheetName val="2yr &amp; 1yr share price"/>
      <sheetName val="sop valuation"/>
      <sheetName val="TAKEOUT_ANALYSIS"/>
      <sheetName val="xstrata as %"/>
      <sheetName val="Share price_2years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COCKPIT"/>
      <sheetName val="Scenario Selector"/>
      <sheetName val="Cluster Formation"/>
      <sheetName val="DCF_Summary Sheet"/>
      <sheetName val="Group_AVP"/>
      <sheetName val="Group_Breakup_SOTP"/>
      <sheetName val="Group_DCF_SOTP"/>
      <sheetName val="LBO"/>
      <sheetName val="Group_Segmental_Breakdown"/>
      <sheetName val="Chemicals &amp; Plastics Breakdown"/>
      <sheetName val="Group_Net_Debt"/>
      <sheetName val="Group_Share_Options"/>
      <sheetName val="Group_Share_Buyback"/>
      <sheetName val="Group_WACC"/>
      <sheetName val="Group_Historical_Data"/>
      <sheetName val="Group_Broker_Estimates"/>
      <sheetName val="Group_Input"/>
      <sheetName val="Agriculture_Cluster"/>
      <sheetName val="Agriculture Cluster_DCF"/>
      <sheetName val="Agriculture Cluster_COCKPIT"/>
      <sheetName val="Blue Corning_Cluster"/>
      <sheetName val="Blue Corning Cluster_DCF"/>
      <sheetName val="Blue Corning Cluster_COCKPIT"/>
      <sheetName val="Standalone Other_Cluster"/>
      <sheetName val="Standalone Other Cluster_DCF"/>
      <sheetName val="Stdalone Other Cluster_COCKPIT"/>
      <sheetName val="Specialty Chemicals_Cluster"/>
      <sheetName val="Specialty Chemicals Cluster_DCF"/>
      <sheetName val="Specialty Chem Cluster_COCKPIT"/>
      <sheetName val="Specialty Plastics_Cluster"/>
      <sheetName val="Specialty Plastics Cluster_DCF"/>
      <sheetName val="Specialty Plast Cluster_COCKPIT"/>
      <sheetName val="Core_Cluster"/>
      <sheetName val="Core Cluster_DCF"/>
      <sheetName val="Core Cluster_COCKPIT"/>
      <sheetName val="Value Centre_Standalone_Total"/>
      <sheetName val="Value Centre_Standalone_DCF"/>
      <sheetName val="Disposal_Total"/>
      <sheetName val="Disposal Total_DCF"/>
      <sheetName val="Agro Science_Input"/>
      <sheetName val="Agro Science_DCF"/>
      <sheetName val="Blue Corning JV_Input"/>
      <sheetName val="Blue Corning_DCF"/>
      <sheetName val="Fabricated Products_Input"/>
      <sheetName val="Fabricated Products_DCF"/>
      <sheetName val="Cellulose Ethers_Input"/>
      <sheetName val="Cellulose Ethers_DCF"/>
      <sheetName val="Acrylates_Input"/>
      <sheetName val="Acrylates_DCF"/>
      <sheetName val="Oxo Chemicals_Input"/>
      <sheetName val="Oxo Chemicals_DCF"/>
      <sheetName val="Glycol Ethers_Input"/>
      <sheetName val="Glycol Ethers_DCF"/>
      <sheetName val="SB_SBR_Input"/>
      <sheetName val="SB_SBR_DCF"/>
      <sheetName val="Vinyl Acetates_Input"/>
      <sheetName val="Vinyl Acetates_DCF"/>
      <sheetName val="PEG's_PPG's_Input"/>
      <sheetName val="PEG's_PPG's_DCF"/>
      <sheetName val="Other Chemicals_Input"/>
      <sheetName val="Other Chemicals_DCF"/>
      <sheetName val="Polycarbonate_Input"/>
      <sheetName val="Polycarbonate_DCF"/>
      <sheetName val="Epoxies_Input"/>
      <sheetName val="Epoxies_DCF"/>
      <sheetName val="Polyurethanes_Input"/>
      <sheetName val="Polyurethanes_DCF"/>
      <sheetName val="ABS_SAN_Input"/>
      <sheetName val="ABS_SAN_DCF"/>
      <sheetName val="Other Plastics_Input"/>
      <sheetName val="Other_Plastics_DCF"/>
      <sheetName val="Chlorinated Basics_Input"/>
      <sheetName val="Chlorinated_Basics_DCF"/>
      <sheetName val="Cl-Solvents_Input"/>
      <sheetName val="Cl-Solvents_DCF"/>
      <sheetName val="Propylene Glycols_Input"/>
      <sheetName val="Propylene Glycols_DCF"/>
      <sheetName val="Polystyrene_Input"/>
      <sheetName val="Polystyrene_DCF"/>
      <sheetName val="Ethylene_PE_Input"/>
      <sheetName val="Ethylene_PE_DCF"/>
      <sheetName val="PP_Input"/>
      <sheetName val="PP_DCF"/>
      <sheetName val="EO_EG_Input"/>
      <sheetName val="EO_EG_DCF"/>
      <sheetName val="Chemical Sales_Input"/>
      <sheetName val="Chemical Sales_DCF"/>
      <sheetName val="Hydrocarbons Sales_Input"/>
      <sheetName val="Hydrocarbons Sales_DCF"/>
      <sheetName val="Other Affiliates_Input"/>
      <sheetName val="Other Affiliates_DC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/>
      <sheetData sheetId="28" refreshError="1"/>
      <sheetData sheetId="29" refreshError="1"/>
      <sheetData sheetId="30"/>
      <sheetData sheetId="31" refreshError="1"/>
      <sheetData sheetId="32" refreshError="1"/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VT-BB &gt;&gt;&gt;"/>
      <sheetName val="VT-BB Dealsheet"/>
      <sheetName val="VT—BB"/>
      <sheetName val="VT Summary"/>
      <sheetName val="Re-rating"/>
      <sheetName val="VT Standalone &gt;&gt;&gt;"/>
      <sheetName val="VT Financials"/>
      <sheetName val="VT DCF"/>
      <sheetName val="VT SOTP"/>
      <sheetName val="VT AVP"/>
      <sheetName val="VT Communication"/>
      <sheetName val="VT Defence"/>
      <sheetName val="VT Education&amp;Skills"/>
      <sheetName val="VT Ships"/>
      <sheetName val="VT Services"/>
      <sheetName val="VT Division Split"/>
      <sheetName val="VT Input"/>
      <sheetName val="VT Brokers"/>
      <sheetName val="VT Options"/>
      <sheetName val="Demerger &gt;&gt;&gt;"/>
      <sheetName val="Demerger Dealsheet"/>
      <sheetName val="Output"/>
      <sheetName val="DefenceCo"/>
      <sheetName val="SupportCo"/>
      <sheetName val="BB Valuation &gt;&gt;&gt;"/>
      <sheetName val="BB Dealsheet"/>
      <sheetName val="BB Summary"/>
      <sheetName val="Datastream"/>
      <sheetName val="BB DCF"/>
      <sheetName val="BB Division split"/>
      <sheetName val="BB Brokers"/>
      <sheetName val="BB Networks"/>
      <sheetName val="Rail"/>
      <sheetName val="BB Engineering"/>
      <sheetName val="BB Defence"/>
      <sheetName val="BB Technical"/>
      <sheetName val="DML DCF"/>
      <sheetName val="BB LBO"/>
      <sheetName val="BB SOTP"/>
      <sheetName val="merger model&gt;&gt;&gt;"/>
      <sheetName val="Combined"/>
      <sheetName val="Debt"/>
      <sheetName val="Slides"/>
      <sheetName val="MOD Synergies"/>
      <sheetName val="Babcock synergies"/>
      <sheetName val="Babcock &gt;&gt;&gt;"/>
      <sheetName val="Babcock_brokers"/>
      <sheetName val="Babcock_internal"/>
      <sheetName val="Assumptions"/>
      <sheetName val="Babcock Statements"/>
      <sheetName val="BNS"/>
      <sheetName val="BB AVP"/>
      <sheetName val="Footballfield"/>
      <sheetName val="BB Options"/>
      <sheetName val="Diablo &gt;&gt;&gt;"/>
      <sheetName val="Diablo statement"/>
      <sheetName val="Valuation"/>
      <sheetName val="Value Math"/>
      <sheetName val="SOTP"/>
      <sheetName val="LBO"/>
      <sheetName val="Summary"/>
      <sheetName val="DCF"/>
      <sheetName val="Synergies"/>
      <sheetName val="BAE &gt;&gt;&gt;"/>
      <sheetName val="BAE Output"/>
      <sheetName val="PPS"/>
      <sheetName val="BAE Brokers"/>
      <sheetName val="BAE-BB Dealsheet"/>
      <sheetName val="BAE—BB"/>
      <sheetName val="BB Calanderised"/>
      <sheetName val="BAE DCF"/>
      <sheetName val="AVP"/>
      <sheetName val="Diablo New Input"/>
      <sheetName val="Other"/>
      <sheetName val="Submarine"/>
      <sheetName val="Ships"/>
      <sheetName val="WSMI"/>
      <sheetName val="Defence Systems"/>
      <sheetName val="Commercial"/>
      <sheetName val="Consultancy"/>
      <sheetName val="Other acq &gt;&gt;&gt;"/>
      <sheetName val="Springtime"/>
      <sheetName val="Indigo"/>
      <sheetName val="Integral"/>
      <sheetName val="Babcock internal"/>
      <sheetName val="Babcock profit and loss"/>
      <sheetName val="Babcock cashflow"/>
      <sheetName val="Babcock balance sheet"/>
      <sheetName val="Springtime Acc"/>
      <sheetName val="INDIGO Acc"/>
      <sheetName val="INTEGRAL Acc"/>
      <sheetName val="US&amp;EuroEarnings"/>
      <sheetName val="NovUp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MO_PD"/>
      <sheetName val="PMO_NN"/>
      <sheetName val="PMO_N"/>
      <sheetName val="PMO_VED"/>
      <sheetName val="PMO_KM"/>
      <sheetName val="PMO_ACA"/>
      <sheetName val="PMO_AOA"/>
      <sheetName val="PMO_TC"/>
      <sheetName val="PMO_FAL"/>
      <sheetName val="PMO_CVRD"/>
      <sheetName val="PMO_AA"/>
      <sheetName val="PMO_BHP"/>
      <sheetName val="PMO_RT"/>
      <sheetName val="PMO_XTA"/>
      <sheetName val="Contribution"/>
      <sheetName val="Valuation"/>
      <sheetName val="EBIT_SPLIT"/>
      <sheetName val="FootballField"/>
      <sheetName val="Buy-in_1y"/>
      <sheetName val="Buy-in_6mo"/>
      <sheetName val="VALUE_MATH_MIM"/>
      <sheetName val="TAKEOUT_ANALYSIS"/>
      <sheetName val="2yr &amp; 1yr share price"/>
      <sheetName val="XTA_FAL"/>
      <sheetName val="Share price_2years"/>
      <sheetName val="sop valuation"/>
      <sheetName val="xstrata as %"/>
      <sheetName val="Operational"/>
      <sheetName val="F"/>
      <sheetName val="NPV"/>
      <sheetName val="Relati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Notes"/>
      <sheetName val="Agenda_1"/>
      <sheetName val="VeniceBrokerEsti"/>
      <sheetName val="Venice_PF"/>
      <sheetName val="DUBLIN_IS&amp;CFS_€"/>
      <sheetName val="NPV"/>
      <sheetName val="LBO"/>
      <sheetName val="Pension_IS&amp;CFS"/>
      <sheetName val="DUBLIN_IS&amp;CFS"/>
      <sheetName val="Agenda_2"/>
      <sheetName val="Agenda_3"/>
      <sheetName val="Agenda_4"/>
      <sheetName val="Schedules"/>
      <sheetName val="Agenda_5"/>
      <sheetName val="AVP"/>
      <sheetName val="DCF_Bridge"/>
      <sheetName val="DCF"/>
      <sheetName val="FootballField"/>
      <sheetName val="Assumptions"/>
      <sheetName val="DD_Case"/>
      <sheetName val="NOSH—Mar 05"/>
      <sheetName val="Quarterly_IS&amp;CFS"/>
      <sheetName val="QuarterlyFinancing"/>
      <sheetName val="Quarterly_BS&amp;Schedules"/>
      <sheetName val="LucerneSettings"/>
      <sheetName val="BankCase"/>
      <sheetName val="LucerneCase"/>
      <sheetName val="DetailedAnnualModel"/>
      <sheetName val="PPS"/>
      <sheetName val="Payoff"/>
      <sheetName val="Buy-in"/>
      <sheetName val="DealSheet"/>
      <sheetName val="DublinBrokerEsti"/>
      <sheetName val="Venice_IS&amp;CFS"/>
      <sheetName val="MktData"/>
      <sheetName val="CFS"/>
      <sheetName val="BS_LucerneCase"/>
      <sheetName val="Pension"/>
      <sheetName val="EPS_Forecast"/>
      <sheetName val="PE_Bands"/>
      <sheetName val="Index"/>
      <sheetName val="DSE"/>
      <sheetName val="REQUEST_TABLE"/>
      <sheetName val="Shareholder analysis&gt;&gt;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K"/>
      <sheetName val="A"/>
      <sheetName val="PPV"/>
      <sheetName val="Output"/>
      <sheetName val="PS"/>
      <sheetName val="CS"/>
      <sheetName val="OS"/>
      <sheetName val="WV"/>
      <sheetName val="Comparison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Assumptions"/>
      <sheetName val="Summary"/>
      <sheetName val="Alum of Kaz_LC"/>
      <sheetName val="EEC"/>
      <sheetName val="Kazchrome"/>
      <sheetName val="Zhairemskiy Gorno"/>
      <sheetName val="SSGPO"/>
      <sheetName val="KazAlum Smelter"/>
      <sheetName val="Transport"/>
      <sheetName val="Trading"/>
      <sheetName val="ENRC Marketing"/>
      <sheetName val="Sum of Parts"/>
      <sheetName val="Comparison"/>
      <sheetName val="Summary Financials"/>
      <sheetName val="Corica AG"/>
      <sheetName val="ENR Alumina AG"/>
      <sheetName val="ENR Ferroalloy AG"/>
      <sheetName val="ENR Iron AG"/>
      <sheetName val="ENR Technik AG"/>
      <sheetName val="Exchange Rate"/>
      <sheetName val="Half year exchange"/>
      <sheetName val="Previous model&amp;Currency Switch"/>
      <sheetName val="Alum of Kaz_LC Hist. Model"/>
      <sheetName val="SSGPO Hist"/>
      <sheetName val="Zhairem Hist."/>
      <sheetName val="Kazchrome Hist. Model"/>
      <sheetName val="EEC Hist Model"/>
      <sheetName val="As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5"/>
      <sheetName val="FCF"/>
      <sheetName val="Div"/>
      <sheetName val="Split"/>
      <sheetName val="KMB"/>
      <sheetName val="Ass"/>
      <sheetName val="WACC"/>
      <sheetName val="Charts"/>
      <sheetName val="Fin"/>
      <sheetName val="Val"/>
      <sheetName val="Sens"/>
      <sheetName val="Combo"/>
      <sheetName val="Chrome"/>
      <sheetName val="Alumina"/>
      <sheetName val="Iron"/>
      <sheetName val="Power"/>
      <sheetName val="Zhairem"/>
      <sheetName val="Transport"/>
      <sheetName val="Trading"/>
      <sheetName val="Finance"/>
      <sheetName val="DDS"/>
      <sheetName val="Mktdata"/>
      <sheetName val="FTSE"/>
      <sheetName val="Rerating"/>
      <sheetName val="Input"/>
      <sheetName val="Financi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1Input"/>
      <sheetName val="aBaseCoFin"/>
      <sheetName val="DEALSheet"/>
      <sheetName val="DealOpeningBS"/>
      <sheetName val="NewcoBuildup"/>
      <sheetName val="NewcoNOLs"/>
      <sheetName val="IS_Proforma"/>
      <sheetName val="BS_Proforma"/>
      <sheetName val="CF"/>
      <sheetName val="DCF"/>
      <sheetName val="LBO"/>
      <sheetName val="ExecSummary"/>
      <sheetName val="Summary2"/>
      <sheetName val="RatingsRatios"/>
      <sheetName val="CoverSheet"/>
      <sheetName val="Changes"/>
      <sheetName val="InputMaster"/>
      <sheetName val="a_Storage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"/>
      <sheetName val="Dep"/>
      <sheetName val="FA Proof"/>
      <sheetName val="cpl"/>
      <sheetName val="Consolidated P&amp;L"/>
      <sheetName val="SCHEDULE 1 mk1"/>
      <sheetName val="SCHEDULE1"/>
      <sheetName val="SCHEDULE 2 MK1"/>
      <sheetName val="SCHEDULE 2"/>
      <sheetName val="SCHEDULE 3"/>
      <sheetName val="SCHEDULE 4"/>
      <sheetName val="SCHEDULE 5"/>
      <sheetName val="cashfl_wkns"/>
      <sheetName val="pres_cashflow"/>
      <sheetName val="Balance Sheet Budget"/>
      <sheetName val="FA NBV"/>
      <sheetName val="Consolidated Clubs"/>
      <sheetName val="Head Office"/>
      <sheetName val="Clubs 1"/>
      <sheetName val="Clubs1tearoff"/>
      <sheetName val="Clubs 2"/>
      <sheetName val="Clubs 3"/>
      <sheetName val="NGC PM"/>
      <sheetName val="GOLF"/>
      <sheetName val="summary Sched 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ain_DealSheet"/>
      <sheetName val="Pro-Forma"/>
      <sheetName val="PF_valuemath"/>
      <sheetName val="Pro-Forma Financials"/>
      <sheetName val="PF_leverage"/>
      <sheetName val="PF_Input"/>
      <sheetName val="PF_PPS"/>
      <sheetName val="PF Financials_Perm_Temp"/>
      <sheetName val="Combined_Temp_DCF"/>
      <sheetName val="CombinedTemps_AVP"/>
      <sheetName val="PF Financials_Perm_Temp_Flex"/>
      <sheetName val="PF_leverage_Perm_Temp"/>
      <sheetName val="PF_Perm_Temp_valuemath"/>
      <sheetName val="Hays"/>
      <sheetName val="Hays_DealSheet"/>
      <sheetName val="Hays_Assumptions"/>
      <sheetName val="Hays_Financials"/>
      <sheetName val="Hays_Financials_Cal"/>
      <sheetName val="Hays_DCF"/>
      <sheetName val="Hays_LBO"/>
      <sheetName val="Hays_Workings"/>
      <sheetName val="Hays_Consolidated_AVP"/>
      <sheetName val="Hays_notes"/>
      <sheetName val="Hays_FootballField"/>
      <sheetName val="Hays_Perm_Temp_Financials"/>
      <sheetName val="Hays_Perm_Temp_Fin_Flexed"/>
      <sheetName val="Hays_Temp_DCF"/>
      <sheetName val="Hays_Perm_DCF"/>
      <sheetName val="Temp_LBO"/>
      <sheetName val="Temps_Consolidated_AVP"/>
      <sheetName val="Temps_FootballField"/>
      <sheetName val="DS_Hays"/>
      <sheetName val="Hays_PPS"/>
      <sheetName val="Vedior"/>
      <sheetName val="Ved_DealSheet"/>
      <sheetName val="Ved_Assumptions"/>
      <sheetName val="Ved_Financials"/>
      <sheetName val="Ved_DCF"/>
      <sheetName val="Ved_Financials_Cal"/>
      <sheetName val="Ved_Temp_FootballField"/>
      <sheetName val="Ved_Consolidated_AVP"/>
      <sheetName val="Ved_FootballField"/>
      <sheetName val="Ved_LBO"/>
      <sheetName val="NOSH"/>
      <sheetName val="Ved_Perm_Temp_Financials"/>
      <sheetName val="Ved_Perm_Temp_Financials_£_Cal"/>
      <sheetName val="Ved_Temp_DCF"/>
      <sheetName val="Ved_Perm_DCF"/>
      <sheetName val="Ved_Temp_Consolidated_AVP"/>
      <sheetName val="Ved_PPS"/>
      <sheetName val="DS_Ved"/>
      <sheetName val="Adecco"/>
      <sheetName val="Adecco_DealSheet"/>
      <sheetName val="Adecco_Assumptions"/>
      <sheetName val="Adecco_Financials"/>
      <sheetName val="Adecco_Financials_Cal"/>
      <sheetName val="Adecco_DCF"/>
      <sheetName val="Adecco_LBO"/>
      <sheetName val="Adecco_Workings"/>
      <sheetName val="Adecco_Consolidated_AVP"/>
      <sheetName val="Adecco_notes"/>
      <sheetName val="Adecco_FootballField"/>
      <sheetName val="DS_Adecco"/>
      <sheetName val="Adecco_PPS"/>
      <sheetName val="DS_ALL"/>
      <sheetName val="Hays_VED_MV"/>
      <sheetName val="PE_evolution"/>
      <sheetName val="Shr_Graphs"/>
      <sheetName val="Template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 refreshError="1"/>
      <sheetData sheetId="35"/>
      <sheetData sheetId="36" refreshError="1"/>
      <sheetData sheetId="37" refreshError="1"/>
      <sheetData sheetId="38" refreshError="1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/>
      <sheetData sheetId="67" refreshError="1"/>
      <sheetData sheetId="68"/>
      <sheetData sheetId="6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stream"/>
      <sheetName val="Input"/>
      <sheetName val="Benchmark"/>
      <sheetName val="Multiple"/>
      <sheetName val="Financials"/>
      <sheetName val="Output_coal"/>
      <sheetName val="NRG_output"/>
      <sheetName val="Output"/>
      <sheetName val="FLEX_OUTPUT"/>
      <sheetName val="Rolling_mult"/>
      <sheetName val="Charts"/>
      <sheetName val="PMO"/>
      <sheetName val="PMO (2)"/>
      <sheetName val="V"/>
      <sheetName val="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KI impact"/>
      <sheetName val="Assumptions"/>
      <sheetName val="MAIN"/>
      <sheetName val="Fin Sum Output"/>
      <sheetName val="Pitch Output"/>
      <sheetName val="EQ. IRR"/>
      <sheetName val="DIV INC"/>
      <sheetName val="S&amp;P"/>
      <sheetName val="Toggles"/>
      <sheetName val="DCF 3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Input"/>
      <sheetName val="Financials"/>
      <sheetName val="DCF_Fishing"/>
      <sheetName val="Football"/>
      <sheetName val="Inpu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onsolidated"/>
      <sheetName val="Consolidated output"/>
      <sheetName val="Valuation"/>
      <sheetName val="F"/>
      <sheetName val="Operational"/>
      <sheetName val="Relative"/>
      <sheetName val="Overhead"/>
      <sheetName val="Tax"/>
      <sheetName val="NPV"/>
      <sheetName val="Assumptions"/>
      <sheetName val="NGZ"/>
      <sheetName val="AGK"/>
      <sheetName val="ACG"/>
      <sheetName val="BGZ"/>
      <sheetName val="QAL"/>
      <sheetName val="BrAZ"/>
      <sheetName val="KrAZ"/>
      <sheetName val="SAZ"/>
      <sheetName val="NkAZ"/>
      <sheetName val="KhAZ"/>
      <sheetName val="CBK"/>
      <sheetName val="BCG"/>
      <sheetName val="Komi"/>
      <sheetName val="Resal"/>
      <sheetName val="CvetM"/>
      <sheetName val="Belis"/>
      <sheetName val="&gt;&gt;&gt;Armenal, Sayanal, SF&gt;&gt;&gt;"/>
      <sheetName val="Main Ass"/>
      <sheetName val="P&amp;L"/>
      <sheetName val="CF"/>
      <sheetName val="Det Assum"/>
      <sheetName val="CAPEX"/>
      <sheetName val="OPEX"/>
      <sheetName val="WACC calculation"/>
    </sheetNames>
    <sheetDataSet>
      <sheetData sheetId="0" refreshError="1"/>
      <sheetData sheetId="1"/>
      <sheetData sheetId="2" refreshError="1"/>
      <sheetData sheetId="3"/>
      <sheetData sheetId="4"/>
      <sheetData sheetId="5"/>
      <sheetData sheetId="6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emo"/>
      <sheetName val="Notes"/>
      <sheetName val="ANS_QUARTERLY---&gt;"/>
      <sheetName val="PF_B+W+A_Q-IS&amp;CFS"/>
      <sheetName val="PF_B+W+A_Q-BS"/>
      <sheetName val="ANS_Q-Financing"/>
      <sheetName val="ANS_Q-Reconciliation"/>
      <sheetName val="ANS_Q"/>
      <sheetName val="BHC_WHC_QUARTERLY---&gt;"/>
      <sheetName val="PF_B+W_Q-IS&amp;CFS"/>
      <sheetName val="PF_B+W_Q-BS"/>
      <sheetName val="WHC_Q-Financing"/>
      <sheetName val="Q_Reconciliation"/>
      <sheetName val="WHC_Q-securitisation"/>
      <sheetName val="ANS_ANNUAL---&gt;"/>
      <sheetName val="PF_B+W+A_IS&amp;CFS"/>
      <sheetName val="PF_B+W+A_BS"/>
      <sheetName val="EBITDA_split"/>
      <sheetName val="ANS_Financing"/>
      <sheetName val="ANS_Reconciliation"/>
      <sheetName val="ANS_Calendarised"/>
      <sheetName val="ANS"/>
      <sheetName val="Div_ANS"/>
      <sheetName val="Equity value"/>
      <sheetName val="Grove_impact_2"/>
      <sheetName val="Grove impact"/>
      <sheetName val="Bridges"/>
      <sheetName val="Grove_IS"/>
      <sheetName val="ANS_DCF"/>
      <sheetName val="PPS"/>
      <sheetName val="BHC_WHC_ANNUAL&gt;&gt;&gt;&gt;"/>
      <sheetName val="PF_B+W_IS&amp;CFS"/>
      <sheetName val="PF_B+W_BS"/>
      <sheetName val="WHC_Financing"/>
      <sheetName val="Dividend"/>
      <sheetName val="Reconciliation"/>
      <sheetName val="Barchester"/>
      <sheetName val="WHC_non-securitised"/>
      <sheetName val="WHC_securitisation"/>
      <sheetName val="WHC"/>
      <sheetName val="LBO"/>
      <sheetName val="Input Sheets &gt;&gt;&gt;"/>
      <sheetName val="BHC_Q"/>
      <sheetName val="WHC_SECD_Q"/>
      <sheetName val="Barchester_ANS_Q"/>
      <sheetName val="BHC_NEW"/>
      <sheetName val="BHC_DD"/>
      <sheetName val="BHC_HbH"/>
      <sheetName val="WHC_SECD"/>
      <sheetName val="Barchester_ANS_Year"/>
      <sheetName val="ANS_HbH"/>
      <sheetName val="DD_ANS"/>
      <sheetName val="Barchester_280"/>
      <sheetName val="Barchester_INPUTS"/>
      <sheetName val="Barchester_develop"/>
      <sheetName val="Barchester_280_Input"/>
      <sheetName val="Cygnet"/>
      <sheetName val="Care_villages"/>
      <sheetName val="WHC_developments"/>
      <sheetName val="ANS_developm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Input financials"/>
      <sheetName val="Financial impact"/>
      <sheetName val="SynergyDisposal"/>
      <sheetName val="DCF - TANGO combined"/>
      <sheetName val="BOCbrokerModel"/>
      <sheetName val="BOC broker assumptions"/>
      <sheetName val="BOC_Strat_plan"/>
      <sheetName val="LindebrokerModel"/>
      <sheetName val="Linde broker assumptions"/>
      <sheetName val="Linde comparison"/>
      <sheetName val="LindeGE"/>
      <sheetName val="Linde Gases"/>
      <sheetName val="Linde Engineering"/>
      <sheetName val="Linde MH"/>
      <sheetName val="MH assumptions"/>
      <sheetName val="Praxair"/>
      <sheetName val="AirProducts"/>
      <sheetName val="BOCE &gt;&gt;&gt;"/>
      <sheetName val="BOCE_assumptions_evolution"/>
      <sheetName val="BOCE model -Mkt Growth"/>
      <sheetName val="BOCE model -Base conservative"/>
      <sheetName val="BOCE LBO Assumptions"/>
      <sheetName val="LBO Input"/>
      <sheetName val="BOCE LBO"/>
      <sheetName val="BOCE mgmt assumptions"/>
      <sheetName val="BOCE assumptions"/>
      <sheetName val="PPS"/>
      <sheetName val="BOCE Benchmarking"/>
      <sheetName val="Wafer_Fab_Region"/>
      <sheetName val="MykrolisbrokerModel"/>
      <sheetName val="Mykrolis assumptions "/>
      <sheetName val="LeyboldModel"/>
      <sheetName val="Unaxis assumptions"/>
      <sheetName val="BASF Model"/>
      <sheetName val="BASF Broker assumptions"/>
      <sheetName val="Pro-forma"/>
      <sheetName val="BASF Assumptions"/>
      <sheetName val="Analysis &gt;&gt;&gt;"/>
      <sheetName val="Combination Analysis"/>
      <sheetName val="DebtCap BASF acq BOC"/>
      <sheetName val="LBO &gt;&gt;&gt;"/>
      <sheetName val="MAIN"/>
      <sheetName val="DIV INC"/>
      <sheetName val="EQ. IRR"/>
      <sheetName val="Comparables"/>
      <sheetName val="AVP Analysis"/>
      <sheetName val="BOC minorities value"/>
      <sheetName val="Sheet1"/>
      <sheetName val="Acc - dilution"/>
      <sheetName val="GE acc -dil"/>
      <sheetName val="Siemens acc-dil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Combined"/>
      <sheetName val="Consultancy"/>
      <sheetName val="Defence Systems"/>
      <sheetName val="DCF"/>
      <sheetName val="SOTP"/>
      <sheetName val="LBO"/>
      <sheetName val="Ships"/>
      <sheetName val="Submarine"/>
      <sheetName val="Debt"/>
      <sheetName val="Babcock synergies"/>
      <sheetName val="Valuation"/>
      <sheetName val="VT DCF"/>
      <sheetName val="WSMI"/>
      <sheetName val="Operational"/>
      <sheetName val="F"/>
      <sheetName val="NPV"/>
      <sheetName val="Relative"/>
      <sheetName val="US&amp;EuroEarnings"/>
      <sheetName val="Toggles"/>
      <sheetName val="Shr_Graphs"/>
      <sheetName val="Hays_VED_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WAP"/>
      <sheetName val="Buy-In Analysis"/>
      <sheetName val="__FDSCACHE__"/>
      <sheetName val="Share price performance"/>
      <sheetName val="Broker Estimates"/>
      <sheetName val="DCF_Group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GRY"/>
      <sheetName val="NGPS"/>
      <sheetName val="Validation &amp; Graph Calcs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n Amort (4)"/>
      <sheetName val="Sen Amort (3)"/>
      <sheetName val="Sen Amort (2)"/>
      <sheetName val="Sen Amort (ref)"/>
      <sheetName val="Model Revisions"/>
      <sheetName val="Sen Amort (Sen Bond)"/>
      <sheetName val="Sen Amort (HYB)"/>
      <sheetName val="Index"/>
      <sheetName val="Control"/>
      <sheetName val="Summary"/>
      <sheetName val="IS Input"/>
      <sheetName val="BS Input"/>
      <sheetName val="Funding Requirement"/>
      <sheetName val="Funding"/>
      <sheetName val="Fees"/>
      <sheetName val="Base Case Inputs"/>
      <sheetName val="Scenarios"/>
      <sheetName val="Currency"/>
      <sheetName val="Returns"/>
      <sheetName val="Inc Statement"/>
      <sheetName val="WACD"/>
      <sheetName val="DCF"/>
      <sheetName val="Bal Sheet"/>
      <sheetName val="Cash Flows"/>
      <sheetName val="Ratios"/>
      <sheetName val="Equity"/>
      <sheetName val="S PIK"/>
      <sheetName val="J PIK"/>
      <sheetName val="Senior Bond"/>
      <sheetName val="ZAR Senior"/>
      <sheetName val="Sen Sub Bond"/>
      <sheetName val="Bond Assumptions"/>
      <sheetName val="Refinance"/>
      <sheetName val="Error Check"/>
      <sheetName val="Sync check"/>
      <sheetName val="Template"/>
      <sheetName val="Presentations 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/>
      <sheetData sheetId="23"/>
      <sheetData sheetId="24" refreshError="1"/>
      <sheetData sheetId="25"/>
      <sheetData sheetId="26"/>
      <sheetData sheetId="27"/>
      <sheetData sheetId="28" refreshError="1"/>
      <sheetData sheetId="29"/>
      <sheetData sheetId="30" refreshError="1"/>
      <sheetData sheetId="31"/>
      <sheetData sheetId="32"/>
      <sheetData sheetId="33"/>
      <sheetData sheetId="34" refreshError="1"/>
      <sheetData sheetId="35" refreshError="1"/>
      <sheetData sheetId="3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RR DUN"/>
      <sheetName val="IRR Edn"/>
      <sheetName val="Consolidation"/>
      <sheetName val="Summary 2004 Data"/>
      <sheetName val="MB ave sub"/>
      <sheetName val="MB def_income"/>
      <sheetName val="MB Total (2)"/>
      <sheetName val="MB Edinburgh"/>
      <sheetName val="MB Dundee"/>
      <sheetName val="MB Anniesland"/>
      <sheetName val="MB Chorley"/>
      <sheetName val="MB Dudley"/>
      <sheetName val="MB Ipswich"/>
      <sheetName val="MB Carlton"/>
      <sheetName val="MB Bristol"/>
      <sheetName val="MB Dartford"/>
      <sheetName val="MB York"/>
      <sheetName val="MB Cambridge"/>
      <sheetName val="MB Gidea"/>
      <sheetName val="MB Leicester"/>
      <sheetName val="MB Hatfield"/>
      <sheetName val="MB Swindon"/>
      <sheetName val="MB Hertford"/>
      <sheetName val="Source"/>
      <sheetName val="MODEL"/>
      <sheetName val="Monthly Summary P&amp;L - NGRY"/>
      <sheetName val="Cons.P&amp;L"/>
      <sheetName val="NBV Analysis"/>
      <sheetName val="Club_Capex_Profit_Summary"/>
      <sheetName val="New Plan"/>
      <sheetName val="The Tax Comp"/>
      <sheetName val="Group Tax"/>
      <sheetName val="Deferred Tax"/>
      <sheetName val="Summary UK M&amp;A"/>
      <sheetName val="UK Listed Peers"/>
      <sheetName val="UK Comp Table"/>
      <sheetName val="Valuation Drivers"/>
      <sheetName val="Valuation"/>
      <sheetName val="Ratio Check"/>
      <sheetName val="Next Generation Clubs (Holdings"/>
      <sheetName val="Cashflow"/>
      <sheetName val="Capital_Repayments"/>
      <sheetName val="interest calculator"/>
      <sheetName val="Balance_Sheet"/>
      <sheetName val="LOAN TO VALUE"/>
      <sheetName val="Download"/>
      <sheetName val="Head_Office"/>
      <sheetName val="NGC_Project_Mgt"/>
      <sheetName val="4th Element"/>
      <sheetName val="Deaconsbank_Golf"/>
      <sheetName val="2004 summary tennis"/>
      <sheetName val="2003 summary tennis"/>
      <sheetName val="TOTAL"/>
      <sheetName val="Edinburgh"/>
      <sheetName val="Dundee"/>
      <sheetName val="Anniesland"/>
      <sheetName val="Chorley"/>
      <sheetName val="Dudley"/>
      <sheetName val="Ipswich"/>
      <sheetName val="Carlton"/>
      <sheetName val="Bristol"/>
      <sheetName val="Dartford"/>
      <sheetName val="York"/>
      <sheetName val="Cambridge_Mar04"/>
      <sheetName val="Gidea_Apr05"/>
      <sheetName val="Leicester"/>
      <sheetName val="Hatfield_Oct04"/>
      <sheetName val="Swindon"/>
      <sheetName val="Harbour club"/>
      <sheetName val="Consol.capex"/>
      <sheetName val="HQ_and_landbank_Capex"/>
      <sheetName val="Deaconsbank_Golf_Capex"/>
      <sheetName val="Club Capex Summary"/>
      <sheetName val="Edinburgh_Capex"/>
      <sheetName val="Dundee_Capex"/>
      <sheetName val="Anniesland_Capex"/>
      <sheetName val="Chorley_Capex"/>
      <sheetName val="Dudley_Capex"/>
      <sheetName val="Ipswich_Capex"/>
      <sheetName val="Carlton_Capex"/>
      <sheetName val="Bristol_Capex"/>
      <sheetName val="Dartford_Capex"/>
      <sheetName val="York_Capex"/>
      <sheetName val="Cambridge_Capex"/>
      <sheetName val="Gidea_Capex"/>
      <sheetName val="Leicester_Capex"/>
      <sheetName val="Hatfield_Capex"/>
      <sheetName val="Swindon_Capex"/>
      <sheetName val="Harbour_Capex"/>
      <sheetName val="Sheet2"/>
      <sheetName val="spare"/>
      <sheetName val="Tax - IGNORE"/>
      <sheetName val="IGNORE-TAX- NGC Limited - P&amp;L"/>
      <sheetName val="IGNORE-TAX- Millnell -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Deal sheet"/>
      <sheetName val="Combined"/>
      <sheetName val="Synergies"/>
      <sheetName val="MOD Synergies"/>
      <sheetName val="Babcock synergies"/>
      <sheetName val="Babcock &gt;&gt;&gt;"/>
      <sheetName val="Babcock"/>
      <sheetName val="Datastream"/>
      <sheetName val="DML &gt;&gt;&gt;"/>
      <sheetName val="Input"/>
      <sheetName val="Output"/>
      <sheetName val="DCF"/>
      <sheetName val="LBO"/>
      <sheetName val="AVP"/>
      <sheetName val="Summary"/>
      <sheetName val="Submarine"/>
      <sheetName val="Ships"/>
      <sheetName val="WSMI"/>
      <sheetName val="Defence Systems"/>
      <sheetName val="Commercial"/>
      <sheetName val="Consultancy"/>
      <sheetName val="Intercompan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na.gibson@jpmorgancazenov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ColWidth="8.85546875" defaultRowHeight="12.95"/>
  <sheetData>
    <row r="1" spans="1:2">
      <c r="B1" t="s">
        <v>0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B2:W44"/>
  <sheetViews>
    <sheetView showGridLines="0" topLeftCell="A31" zoomScale="85" zoomScaleNormal="85" zoomScaleSheetLayoutView="85" workbookViewId="0">
      <selection activeCell="O31" sqref="O31"/>
    </sheetView>
  </sheetViews>
  <sheetFormatPr defaultColWidth="9.140625" defaultRowHeight="12.95"/>
  <cols>
    <col min="1" max="1" width="3" style="1" customWidth="1"/>
    <col min="2" max="4" width="2.85546875" style="1" customWidth="1"/>
    <col min="5" max="5" width="28.42578125" style="1" customWidth="1"/>
    <col min="6" max="8" width="7.140625" style="1" customWidth="1"/>
    <col min="9" max="14" width="9.140625" style="1"/>
    <col min="15" max="15" width="12.85546875" style="1" customWidth="1"/>
    <col min="16" max="16" width="9.140625" style="1"/>
    <col min="17" max="17" width="10" style="1" customWidth="1"/>
    <col min="18" max="18" width="9.140625" style="1"/>
    <col min="19" max="19" width="15.42578125" style="1" bestFit="1" customWidth="1"/>
    <col min="20" max="20" width="8.42578125" style="1" customWidth="1"/>
    <col min="21" max="21" width="3.7109375" style="1" customWidth="1"/>
    <col min="22" max="16384" width="9.140625" style="1"/>
  </cols>
  <sheetData>
    <row r="2" spans="2:23">
      <c r="B2"/>
    </row>
    <row r="9" spans="2:23" ht="18.95">
      <c r="D9" s="4"/>
      <c r="E9" s="3"/>
      <c r="F9" s="3"/>
      <c r="G9" s="3"/>
      <c r="H9" s="3"/>
      <c r="I9" s="3"/>
      <c r="J9" s="3"/>
      <c r="K9" s="3"/>
      <c r="L9" s="3"/>
      <c r="M9" s="3"/>
      <c r="N9" s="3"/>
    </row>
    <row r="12" spans="2:23">
      <c r="W12" s="30"/>
    </row>
    <row r="13" spans="2:23">
      <c r="W13"/>
    </row>
    <row r="14" spans="2:23" ht="12.75" customHeight="1">
      <c r="C14" s="15"/>
      <c r="D14" s="350" t="s">
        <v>1</v>
      </c>
      <c r="E14" s="351"/>
      <c r="F14" s="351"/>
      <c r="G14" s="351"/>
      <c r="H14" s="351"/>
      <c r="I14" s="351"/>
      <c r="J14" s="351"/>
      <c r="K14" s="351"/>
      <c r="L14" s="351"/>
      <c r="M14" s="351"/>
      <c r="N14" s="351"/>
      <c r="O14" s="351"/>
      <c r="P14" s="351"/>
      <c r="Q14" s="351"/>
      <c r="R14" s="351"/>
      <c r="S14" s="351"/>
      <c r="T14" s="351"/>
      <c r="W14"/>
    </row>
    <row r="15" spans="2:23" ht="12.75" customHeight="1">
      <c r="C15" s="15"/>
      <c r="D15" s="352"/>
      <c r="E15" s="351"/>
      <c r="F15" s="351"/>
      <c r="G15" s="351"/>
      <c r="H15" s="351"/>
      <c r="I15" s="351"/>
      <c r="J15" s="351"/>
      <c r="K15" s="351"/>
      <c r="L15" s="351"/>
      <c r="M15" s="351"/>
      <c r="N15" s="351"/>
      <c r="O15" s="351"/>
      <c r="P15" s="351"/>
      <c r="Q15" s="351"/>
      <c r="R15" s="351"/>
      <c r="S15" s="351"/>
      <c r="T15" s="351"/>
      <c r="W15"/>
    </row>
    <row r="16" spans="2:23" ht="12.75" customHeight="1">
      <c r="C16" s="15"/>
      <c r="D16" s="352"/>
      <c r="E16" s="351"/>
      <c r="F16" s="351"/>
      <c r="G16" s="351"/>
      <c r="H16" s="351"/>
      <c r="I16" s="351"/>
      <c r="J16" s="351"/>
      <c r="K16" s="351"/>
      <c r="L16" s="351"/>
      <c r="M16" s="351"/>
      <c r="N16" s="351"/>
      <c r="O16" s="351"/>
      <c r="P16" s="351"/>
      <c r="Q16" s="351"/>
      <c r="R16" s="351"/>
      <c r="S16" s="351"/>
      <c r="T16" s="351"/>
      <c r="W16"/>
    </row>
    <row r="17" spans="3:23" ht="12.75" customHeight="1">
      <c r="D17" s="352"/>
      <c r="E17" s="351"/>
      <c r="F17" s="351"/>
      <c r="G17" s="351"/>
      <c r="H17" s="351"/>
      <c r="I17" s="351"/>
      <c r="J17" s="351"/>
      <c r="K17" s="351"/>
      <c r="L17" s="351"/>
      <c r="M17" s="351"/>
      <c r="N17" s="351"/>
      <c r="O17" s="351"/>
      <c r="P17" s="351"/>
      <c r="Q17" s="351"/>
      <c r="R17" s="351"/>
      <c r="S17" s="351"/>
      <c r="T17" s="351"/>
      <c r="W17"/>
    </row>
    <row r="18" spans="3:23">
      <c r="W18"/>
    </row>
    <row r="19" spans="3:23" ht="18">
      <c r="C19" s="353" t="s">
        <v>2</v>
      </c>
      <c r="E19" s="279">
        <f>Assumptions!D12</f>
        <v>43921</v>
      </c>
      <c r="W19"/>
    </row>
    <row r="20" spans="3:23">
      <c r="C20" s="353"/>
      <c r="W20"/>
    </row>
    <row r="21" spans="3:23">
      <c r="C21" s="353"/>
      <c r="W21"/>
    </row>
    <row r="22" spans="3:23">
      <c r="C22" s="353"/>
      <c r="W22"/>
    </row>
    <row r="23" spans="3:23">
      <c r="C23" s="353"/>
    </row>
    <row r="24" spans="3:23">
      <c r="C24" s="353"/>
    </row>
    <row r="25" spans="3:23">
      <c r="C25" s="353"/>
    </row>
    <row r="26" spans="3:23" ht="12.75" customHeight="1">
      <c r="C26" s="353"/>
    </row>
    <row r="27" spans="3:23">
      <c r="C27" s="353"/>
    </row>
    <row r="28" spans="3:23">
      <c r="C28" s="353"/>
    </row>
    <row r="29" spans="3:23" ht="4.5" customHeight="1">
      <c r="C29" s="353"/>
    </row>
    <row r="30" spans="3:23">
      <c r="C30" s="353"/>
      <c r="Q30" s="130"/>
      <c r="R30" s="131"/>
      <c r="S30" s="131"/>
    </row>
    <row r="31" spans="3:23">
      <c r="C31" s="353"/>
      <c r="Q31" s="131"/>
      <c r="R31" s="131"/>
      <c r="S31" s="131"/>
      <c r="V31" s="43"/>
    </row>
    <row r="32" spans="3:23">
      <c r="C32" s="353"/>
      <c r="Q32" s="131"/>
      <c r="R32" s="131"/>
      <c r="S32" s="131"/>
    </row>
    <row r="33" spans="3:19">
      <c r="C33" s="353"/>
      <c r="Q33" s="132"/>
      <c r="R33" s="131"/>
      <c r="S33" s="131"/>
    </row>
    <row r="34" spans="3:19">
      <c r="C34" s="353"/>
      <c r="Q34" s="132"/>
      <c r="R34" s="131"/>
      <c r="S34" s="131"/>
    </row>
    <row r="35" spans="3:19" ht="4.5" customHeight="1">
      <c r="C35" s="353"/>
      <c r="Q35" s="132"/>
      <c r="R35" s="131"/>
      <c r="S35" s="131"/>
    </row>
    <row r="36" spans="3:19">
      <c r="C36" s="353"/>
      <c r="Q36" s="132"/>
      <c r="R36" s="131"/>
      <c r="S36" s="131"/>
    </row>
    <row r="37" spans="3:19">
      <c r="C37" s="353"/>
      <c r="G37"/>
      <c r="Q37" s="132"/>
      <c r="R37" s="131"/>
      <c r="S37" s="131"/>
    </row>
    <row r="38" spans="3:19">
      <c r="C38" s="353"/>
      <c r="Q38" s="132"/>
      <c r="R38" s="131"/>
      <c r="S38" s="131"/>
    </row>
    <row r="39" spans="3:19">
      <c r="C39" s="353"/>
      <c r="Q39" s="132"/>
      <c r="R39" s="131"/>
      <c r="S39" s="131"/>
    </row>
    <row r="40" spans="3:19">
      <c r="C40" s="353"/>
    </row>
    <row r="41" spans="3:19">
      <c r="C41" s="353"/>
    </row>
    <row r="42" spans="3:19">
      <c r="C42" s="353"/>
    </row>
    <row r="43" spans="3:19">
      <c r="C43" s="353"/>
    </row>
    <row r="44" spans="3:19">
      <c r="J44"/>
    </row>
  </sheetData>
  <mergeCells count="2">
    <mergeCell ref="D14:T17"/>
    <mergeCell ref="C19:C43"/>
  </mergeCells>
  <phoneticPr fontId="4" type="noConversion"/>
  <hyperlinks>
    <hyperlink ref="Q28" r:id="rId1" display="gina.gibson@jpmorgancazenove.com" xr:uid="{00000000-0004-0000-0100-000000000000}"/>
  </hyperlinks>
  <pageMargins left="0.74803149606299213" right="0.74803149606299213" top="0.98425196850393704" bottom="0.98425196850393704" header="0.51181102362204722" footer="0.51181102362204722"/>
  <pageSetup paperSize="9" scale="70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9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79998168889431442"/>
  </sheetPr>
  <dimension ref="C3:K24"/>
  <sheetViews>
    <sheetView showGridLines="0" zoomScale="85" zoomScaleNormal="85" zoomScaleSheetLayoutView="100" workbookViewId="0">
      <selection activeCell="D19" sqref="D19"/>
    </sheetView>
  </sheetViews>
  <sheetFormatPr defaultColWidth="8.85546875" defaultRowHeight="12.95"/>
  <cols>
    <col min="1" max="1" width="3" customWidth="1"/>
    <col min="2" max="2" width="2.85546875" customWidth="1"/>
    <col min="3" max="3" width="32.42578125" bestFit="1" customWidth="1"/>
    <col min="4" max="4" width="13" customWidth="1"/>
    <col min="5" max="5" width="9.28515625" customWidth="1"/>
    <col min="6" max="6" width="18.42578125" bestFit="1" customWidth="1"/>
    <col min="8" max="9" width="9.140625" customWidth="1"/>
    <col min="12" max="12" width="2.85546875" customWidth="1"/>
  </cols>
  <sheetData>
    <row r="3" spans="3:11" ht="20.100000000000001">
      <c r="C3" s="121" t="s">
        <v>3</v>
      </c>
      <c r="D3" s="122"/>
      <c r="E3" s="122"/>
      <c r="F3" s="122"/>
      <c r="G3" s="122"/>
      <c r="H3" s="122"/>
      <c r="I3" s="122"/>
      <c r="J3" s="122"/>
      <c r="K3" s="122"/>
    </row>
    <row r="4" spans="3:11" ht="4.5" customHeight="1"/>
    <row r="5" spans="3:11">
      <c r="C5" s="45" t="s">
        <v>4</v>
      </c>
      <c r="D5" s="45"/>
      <c r="E5" s="45"/>
      <c r="F5" s="45"/>
      <c r="G5" s="45"/>
      <c r="H5" s="45"/>
      <c r="I5" s="45"/>
      <c r="J5" s="45"/>
      <c r="K5" s="45"/>
    </row>
    <row r="6" spans="3:11" ht="12.75" customHeight="1"/>
    <row r="7" spans="3:11">
      <c r="C7" t="s">
        <v>5</v>
      </c>
      <c r="D7" s="278">
        <v>1</v>
      </c>
    </row>
    <row r="9" spans="3:11">
      <c r="C9" s="45" t="s">
        <v>6</v>
      </c>
      <c r="D9" s="45"/>
      <c r="E9" s="45"/>
      <c r="F9" s="45"/>
      <c r="G9" s="45"/>
      <c r="H9" s="45"/>
      <c r="I9" s="45"/>
      <c r="J9" s="45"/>
      <c r="K9" s="45"/>
    </row>
    <row r="11" spans="3:11">
      <c r="C11" t="s">
        <v>7</v>
      </c>
      <c r="D11" s="304">
        <v>43554</v>
      </c>
    </row>
    <row r="12" spans="3:11">
      <c r="C12" t="s">
        <v>8</v>
      </c>
      <c r="D12" s="304">
        <v>43921</v>
      </c>
    </row>
    <row r="14" spans="3:11">
      <c r="C14" s="46" t="s">
        <v>9</v>
      </c>
      <c r="D14" s="46"/>
      <c r="E14" s="46"/>
      <c r="F14" s="45"/>
      <c r="G14" s="45"/>
      <c r="H14" s="45"/>
      <c r="I14" s="45"/>
      <c r="J14" s="45"/>
      <c r="K14" s="45"/>
    </row>
    <row r="15" spans="3:11">
      <c r="C15" s="5"/>
      <c r="D15" s="5"/>
      <c r="E15" s="2"/>
    </row>
    <row r="16" spans="3:11">
      <c r="C16" s="5" t="s">
        <v>10</v>
      </c>
      <c r="D16" s="305">
        <v>165</v>
      </c>
      <c r="E16" s="22" t="s">
        <v>11</v>
      </c>
    </row>
    <row r="17" spans="3:7">
      <c r="C17" s="39" t="s">
        <v>12</v>
      </c>
      <c r="D17" s="305">
        <v>199</v>
      </c>
    </row>
    <row r="18" spans="3:7">
      <c r="C18" s="5" t="s">
        <v>13</v>
      </c>
      <c r="D18" s="70">
        <f>(D16*D17)/100</f>
        <v>328.35</v>
      </c>
      <c r="E18" s="2"/>
    </row>
    <row r="19" spans="3:7">
      <c r="C19" s="5" t="s">
        <v>14</v>
      </c>
      <c r="D19" s="306">
        <f>-'Company fin forecasts'!B35</f>
        <v>84.616813539584982</v>
      </c>
      <c r="E19" s="2"/>
      <c r="G19" s="44"/>
    </row>
    <row r="20" spans="3:7">
      <c r="C20" s="5" t="s">
        <v>15</v>
      </c>
      <c r="D20" s="103">
        <v>0</v>
      </c>
      <c r="E20" s="2"/>
    </row>
    <row r="21" spans="3:7">
      <c r="C21" s="5" t="s">
        <v>16</v>
      </c>
      <c r="D21" s="103">
        <v>0</v>
      </c>
      <c r="E21" s="2"/>
    </row>
    <row r="22" spans="3:7">
      <c r="C22" s="5" t="s">
        <v>17</v>
      </c>
      <c r="D22" s="103">
        <v>0</v>
      </c>
      <c r="E22" s="31"/>
    </row>
    <row r="23" spans="3:7">
      <c r="C23" s="5"/>
      <c r="D23" s="12"/>
      <c r="E23" s="5"/>
    </row>
    <row r="24" spans="3:7">
      <c r="C24" s="116" t="s">
        <v>18</v>
      </c>
      <c r="D24" s="115">
        <f>D18+D19+D20+D21+D22</f>
        <v>412.96681353958502</v>
      </c>
      <c r="E24" s="5"/>
      <c r="F24" s="106"/>
      <c r="G24" s="106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8"/>
  <sheetViews>
    <sheetView topLeftCell="A10" zoomScale="85" zoomScaleNormal="85" workbookViewId="0">
      <selection activeCell="A22" sqref="A22"/>
    </sheetView>
  </sheetViews>
  <sheetFormatPr defaultColWidth="9.140625" defaultRowHeight="12.95"/>
  <cols>
    <col min="1" max="1" width="30.7109375" customWidth="1"/>
    <col min="2" max="2" width="9.85546875" customWidth="1"/>
    <col min="3" max="6" width="9.42578125" bestFit="1" customWidth="1"/>
  </cols>
  <sheetData>
    <row r="1" spans="1:12" ht="21">
      <c r="A1" s="252" t="s">
        <v>19</v>
      </c>
    </row>
    <row r="2" spans="1:12" ht="21">
      <c r="A2" s="252"/>
    </row>
    <row r="3" spans="1:12">
      <c r="B3" s="354" t="s">
        <v>20</v>
      </c>
      <c r="C3" s="354"/>
      <c r="D3" s="354"/>
      <c r="E3" s="354"/>
      <c r="F3" s="354"/>
    </row>
    <row r="4" spans="1:12" ht="15">
      <c r="B4" s="253" t="s">
        <v>21</v>
      </c>
      <c r="C4" s="253" t="s">
        <v>22</v>
      </c>
      <c r="D4" s="253" t="s">
        <v>23</v>
      </c>
      <c r="E4" s="253" t="s">
        <v>24</v>
      </c>
      <c r="F4" s="253" t="s">
        <v>25</v>
      </c>
    </row>
    <row r="5" spans="1:12" ht="15">
      <c r="A5" t="s">
        <v>26</v>
      </c>
      <c r="B5" s="264">
        <v>1149.2312142121568</v>
      </c>
      <c r="C5" s="264">
        <v>1255.6304578332745</v>
      </c>
      <c r="D5" s="264">
        <v>1353.8373857301615</v>
      </c>
      <c r="E5" s="264">
        <v>1446.9754795854417</v>
      </c>
      <c r="F5" s="264">
        <v>1442.6203434361955</v>
      </c>
      <c r="L5" s="277"/>
    </row>
    <row r="6" spans="1:12" ht="15">
      <c r="A6" t="s">
        <v>27</v>
      </c>
      <c r="B6" s="254"/>
      <c r="C6" s="255">
        <f>C5/B5-1</f>
        <v>9.2582973996280238E-2</v>
      </c>
      <c r="D6" s="255">
        <f t="shared" ref="D6:F6" si="0">D5/C5-1</f>
        <v>7.8213241232100827E-2</v>
      </c>
      <c r="E6" s="255">
        <f t="shared" si="0"/>
        <v>6.879562851268739E-2</v>
      </c>
      <c r="F6" s="255">
        <f t="shared" si="0"/>
        <v>-3.0098202842344657E-3</v>
      </c>
    </row>
    <row r="7" spans="1:12" ht="15">
      <c r="A7" t="s">
        <v>28</v>
      </c>
      <c r="B7" s="264">
        <v>583.04965087049129</v>
      </c>
      <c r="C7" s="264">
        <v>634.42290081513784</v>
      </c>
      <c r="D7" s="264">
        <v>689.15767217994426</v>
      </c>
      <c r="E7" s="264">
        <v>736.80093729452119</v>
      </c>
      <c r="F7" s="264">
        <v>753.12425648235262</v>
      </c>
    </row>
    <row r="8" spans="1:12" ht="15">
      <c r="A8" s="256" t="s">
        <v>29</v>
      </c>
      <c r="B8" s="255">
        <f>B7/B5</f>
        <v>0.50733885719436778</v>
      </c>
      <c r="C8" s="255">
        <f t="shared" ref="C8:F8" si="1">C7/C5</f>
        <v>0.50526243359045531</v>
      </c>
      <c r="D8" s="255">
        <f t="shared" si="1"/>
        <v>0.50904021372423747</v>
      </c>
      <c r="E8" s="255">
        <f t="shared" si="1"/>
        <v>0.5092007070538711</v>
      </c>
      <c r="F8" s="255">
        <f t="shared" si="1"/>
        <v>0.52205298497903929</v>
      </c>
    </row>
    <row r="9" spans="1:12" ht="15">
      <c r="A9" t="s">
        <v>30</v>
      </c>
      <c r="B9" s="264">
        <v>-522.72817715549786</v>
      </c>
      <c r="C9" s="264">
        <v>-580.01288924996788</v>
      </c>
      <c r="D9" s="264">
        <v>-622.42079355856106</v>
      </c>
      <c r="E9" s="264">
        <v>-662.10013986288277</v>
      </c>
      <c r="F9" s="264">
        <v>-678.11530593625469</v>
      </c>
    </row>
    <row r="10" spans="1:12" ht="15">
      <c r="A10" s="257" t="s">
        <v>31</v>
      </c>
      <c r="B10" s="265">
        <f>SUM(B9,B7)</f>
        <v>60.321473714993431</v>
      </c>
      <c r="C10" s="265">
        <f t="shared" ref="C10:F10" si="2">SUM(C9,C7)</f>
        <v>54.410011565169953</v>
      </c>
      <c r="D10" s="265">
        <f t="shared" si="2"/>
        <v>66.736878621383198</v>
      </c>
      <c r="E10" s="265">
        <f t="shared" si="2"/>
        <v>74.700797431638421</v>
      </c>
      <c r="F10" s="265">
        <f t="shared" si="2"/>
        <v>75.008950546097935</v>
      </c>
    </row>
    <row r="11" spans="1:12" ht="15">
      <c r="A11" s="256" t="s">
        <v>32</v>
      </c>
      <c r="B11" s="255">
        <f>B10/B5</f>
        <v>5.2488544488713852E-2</v>
      </c>
      <c r="C11" s="255">
        <f t="shared" ref="C11:F11" si="3">C10/C5</f>
        <v>4.3332822348910109E-2</v>
      </c>
      <c r="D11" s="255">
        <f t="shared" si="3"/>
        <v>4.9294604599347931E-2</v>
      </c>
      <c r="E11" s="255">
        <f t="shared" si="3"/>
        <v>5.162547568051408E-2</v>
      </c>
      <c r="F11" s="255">
        <f t="shared" si="3"/>
        <v>5.1994934694621853E-2</v>
      </c>
    </row>
    <row r="12" spans="1:12" ht="15">
      <c r="A12" t="s">
        <v>33</v>
      </c>
      <c r="B12" s="264">
        <v>-5.4034794520547944</v>
      </c>
      <c r="C12" s="264">
        <v>-6.34</v>
      </c>
      <c r="D12" s="264">
        <v>-6.2353999999999994</v>
      </c>
      <c r="E12" s="264">
        <v>-6.2353999999999994</v>
      </c>
      <c r="F12" s="264">
        <v>-6.3407333333333327</v>
      </c>
    </row>
    <row r="13" spans="1:12" ht="15">
      <c r="A13" s="257" t="s">
        <v>34</v>
      </c>
      <c r="B13" s="265">
        <f>B12+B10</f>
        <v>54.917994262938635</v>
      </c>
      <c r="C13" s="265">
        <f t="shared" ref="C13:F13" si="4">C12+C10</f>
        <v>48.070011565169949</v>
      </c>
      <c r="D13" s="265">
        <f t="shared" si="4"/>
        <v>60.5014786213832</v>
      </c>
      <c r="E13" s="265">
        <f t="shared" si="4"/>
        <v>68.465397431638422</v>
      </c>
      <c r="F13" s="265">
        <f t="shared" si="4"/>
        <v>68.668217212764603</v>
      </c>
    </row>
    <row r="14" spans="1:12" ht="15">
      <c r="B14" s="254"/>
      <c r="C14" s="254"/>
      <c r="D14" s="254"/>
      <c r="E14" s="254"/>
      <c r="F14" s="254"/>
      <c r="G14" s="127"/>
    </row>
    <row r="15" spans="1:12" ht="15">
      <c r="A15" t="s">
        <v>35</v>
      </c>
      <c r="B15" s="264"/>
      <c r="C15" s="264">
        <v>-18.004468664734777</v>
      </c>
      <c r="D15" s="264">
        <v>-6.7527180429793674</v>
      </c>
      <c r="E15" s="264">
        <v>1.1384540263188825</v>
      </c>
      <c r="F15" s="264">
        <v>-4.8650405710493061</v>
      </c>
    </row>
    <row r="16" spans="1:12" ht="15">
      <c r="A16" s="257" t="s">
        <v>36</v>
      </c>
      <c r="B16" s="265">
        <f>B15+B13</f>
        <v>54.917994262938635</v>
      </c>
      <c r="C16" s="265">
        <f>C15+C13</f>
        <v>30.065542900435172</v>
      </c>
      <c r="D16" s="265">
        <f>D15+D13</f>
        <v>53.748760578403832</v>
      </c>
      <c r="E16" s="265">
        <f>E15+E13</f>
        <v>69.603851457957305</v>
      </c>
      <c r="F16" s="265">
        <f>F15+F13</f>
        <v>63.803176641715297</v>
      </c>
    </row>
    <row r="17" spans="1:6" ht="15">
      <c r="A17" s="258" t="s">
        <v>37</v>
      </c>
      <c r="B17" s="264">
        <v>3.1</v>
      </c>
      <c r="C17" s="264">
        <v>4.0999999999999996</v>
      </c>
      <c r="D17" s="264">
        <v>4.0999999999999996</v>
      </c>
      <c r="E17" s="264">
        <v>4.0999999999999996</v>
      </c>
      <c r="F17" s="264">
        <v>4.0999999999999996</v>
      </c>
    </row>
    <row r="18" spans="1:6" ht="15">
      <c r="A18" s="258" t="s">
        <v>38</v>
      </c>
      <c r="B18" s="264">
        <v>2.1</v>
      </c>
      <c r="C18" s="264">
        <v>2.0132666666666665</v>
      </c>
      <c r="D18" s="264">
        <v>1.9086666666666665</v>
      </c>
      <c r="E18" s="264">
        <v>1.9086666666666665</v>
      </c>
      <c r="F18" s="264">
        <v>1.9086666666666665</v>
      </c>
    </row>
    <row r="19" spans="1:6" ht="15">
      <c r="A19" s="258" t="s">
        <v>39</v>
      </c>
      <c r="B19" s="264">
        <v>34.029215400000027</v>
      </c>
      <c r="C19" s="264">
        <v>38.442026856682347</v>
      </c>
      <c r="D19" s="264">
        <v>45.286590949142067</v>
      </c>
      <c r="E19" s="264">
        <v>49.920876920897499</v>
      </c>
      <c r="F19" s="264">
        <v>52.891245475492525</v>
      </c>
    </row>
    <row r="20" spans="1:6" ht="15">
      <c r="A20" s="257" t="s">
        <v>40</v>
      </c>
      <c r="B20" s="265">
        <f>SUM(B16:B19)</f>
        <v>94.147209662938664</v>
      </c>
      <c r="C20" s="265">
        <f t="shared" ref="C20:F20" si="5">SUM(C16:C19)</f>
        <v>74.620836423784183</v>
      </c>
      <c r="D20" s="265">
        <f t="shared" si="5"/>
        <v>105.04401819421257</v>
      </c>
      <c r="E20" s="265">
        <f t="shared" si="5"/>
        <v>125.53339504552146</v>
      </c>
      <c r="F20" s="265">
        <f t="shared" si="5"/>
        <v>122.70308878387448</v>
      </c>
    </row>
    <row r="21" spans="1:6" ht="15">
      <c r="B21" s="264"/>
      <c r="C21" s="264"/>
      <c r="D21" s="254"/>
      <c r="E21" s="254"/>
      <c r="F21" s="254"/>
    </row>
    <row r="22" spans="1:6" ht="15">
      <c r="A22" t="s">
        <v>41</v>
      </c>
      <c r="B22" s="264">
        <v>0</v>
      </c>
      <c r="C22" s="264">
        <v>0</v>
      </c>
      <c r="D22" s="264">
        <v>0</v>
      </c>
      <c r="E22" s="264">
        <v>24</v>
      </c>
      <c r="F22" s="264">
        <v>0</v>
      </c>
    </row>
    <row r="23" spans="1:6" ht="15">
      <c r="A23" t="s">
        <v>42</v>
      </c>
      <c r="B23" s="264">
        <v>-36</v>
      </c>
      <c r="C23" s="264">
        <v>-51</v>
      </c>
      <c r="D23" s="264">
        <v>-50</v>
      </c>
      <c r="E23" s="264">
        <v>-50</v>
      </c>
      <c r="F23" s="264">
        <v>-50</v>
      </c>
    </row>
    <row r="24" spans="1:6" ht="15">
      <c r="A24" t="s">
        <v>43</v>
      </c>
      <c r="B24" s="264">
        <v>-9.1999999999999993</v>
      </c>
      <c r="C24" s="264">
        <v>-9.1999999999999993</v>
      </c>
      <c r="D24" s="264">
        <v>0</v>
      </c>
      <c r="E24" s="264">
        <v>0</v>
      </c>
      <c r="F24" s="264">
        <v>0</v>
      </c>
    </row>
    <row r="25" spans="1:6" ht="15">
      <c r="A25" t="s">
        <v>44</v>
      </c>
      <c r="B25" s="264">
        <v>-18.06402320252365</v>
      </c>
      <c r="C25" s="264">
        <v>-8.693414081730614</v>
      </c>
      <c r="D25" s="264">
        <v>-10.93107815184899</v>
      </c>
      <c r="E25" s="264">
        <v>-12.364583537694871</v>
      </c>
      <c r="F25" s="264">
        <v>-12.420051098297566</v>
      </c>
    </row>
    <row r="26" spans="1:6" ht="15">
      <c r="A26" t="s">
        <v>45</v>
      </c>
      <c r="B26" s="264">
        <v>-3.1</v>
      </c>
      <c r="C26" s="264">
        <v>-4.0999999999999996</v>
      </c>
      <c r="D26" s="264">
        <v>-4.0999999999999996</v>
      </c>
      <c r="E26" s="264">
        <v>-4.0999999999999996</v>
      </c>
      <c r="F26" s="264">
        <v>-4.0999999999999996</v>
      </c>
    </row>
    <row r="27" spans="1:6" ht="15">
      <c r="A27" t="s">
        <v>46</v>
      </c>
      <c r="B27" s="264">
        <v>6</v>
      </c>
      <c r="C27" s="264">
        <v>16.111954440903407</v>
      </c>
      <c r="D27" s="264">
        <v>15.168892666804709</v>
      </c>
      <c r="E27" s="264">
        <v>11.110216900668604</v>
      </c>
      <c r="F27" s="264">
        <v>3.9548595532390358</v>
      </c>
    </row>
    <row r="28" spans="1:6" ht="15">
      <c r="A28" t="s">
        <v>47</v>
      </c>
      <c r="B28" s="264">
        <v>-36.599999999999994</v>
      </c>
      <c r="C28" s="264">
        <v>-24</v>
      </c>
      <c r="D28" s="264">
        <v>-24</v>
      </c>
      <c r="E28" s="264">
        <v>-24</v>
      </c>
      <c r="F28" s="264">
        <v>-24</v>
      </c>
    </row>
    <row r="29" spans="1:6" ht="15">
      <c r="A29" t="s">
        <v>48</v>
      </c>
      <c r="B29" s="264">
        <v>0</v>
      </c>
      <c r="C29" s="264"/>
      <c r="D29" s="264">
        <v>-5</v>
      </c>
      <c r="E29" s="264">
        <v>-5</v>
      </c>
      <c r="F29" s="264">
        <v>-5</v>
      </c>
    </row>
    <row r="30" spans="1:6" ht="15">
      <c r="B30" s="254"/>
      <c r="C30" s="254"/>
      <c r="D30" s="254"/>
      <c r="E30" s="254"/>
      <c r="F30" s="254"/>
    </row>
    <row r="31" spans="1:6" ht="15">
      <c r="A31" t="s">
        <v>49</v>
      </c>
      <c r="B31" s="265">
        <f>SUM(B20:B30)</f>
        <v>-2.8168135395849845</v>
      </c>
      <c r="C31" s="265">
        <f t="shared" ref="C31:F31" si="6">SUM(C20:C30)</f>
        <v>-6.2606232170430225</v>
      </c>
      <c r="D31" s="265">
        <f t="shared" si="6"/>
        <v>26.181832709168283</v>
      </c>
      <c r="E31" s="265">
        <f t="shared" si="6"/>
        <v>65.179028408495185</v>
      </c>
      <c r="F31" s="265">
        <f t="shared" si="6"/>
        <v>31.137897238815953</v>
      </c>
    </row>
    <row r="32" spans="1:6" ht="15">
      <c r="A32" s="259" t="s">
        <v>50</v>
      </c>
      <c r="B32" s="265">
        <f>B31-B28-B24</f>
        <v>42.983186460415013</v>
      </c>
      <c r="C32" s="265">
        <f t="shared" ref="C32:F32" si="7">C31-C28-C24</f>
        <v>26.939376782956977</v>
      </c>
      <c r="D32" s="265">
        <f t="shared" si="7"/>
        <v>50.181832709168283</v>
      </c>
      <c r="E32" s="265">
        <f t="shared" si="7"/>
        <v>89.179028408495185</v>
      </c>
      <c r="F32" s="265">
        <f t="shared" si="7"/>
        <v>55.137897238815953</v>
      </c>
    </row>
    <row r="33" spans="1:6" ht="15">
      <c r="B33" s="254"/>
      <c r="C33" s="254"/>
      <c r="D33" s="254"/>
      <c r="E33" s="254"/>
      <c r="F33" s="254"/>
    </row>
    <row r="34" spans="1:6" ht="15">
      <c r="A34" t="s">
        <v>51</v>
      </c>
      <c r="B34" s="264">
        <v>-81.8</v>
      </c>
      <c r="C34" s="264">
        <f>B35</f>
        <v>-84.616813539584982</v>
      </c>
      <c r="D34" s="264">
        <f t="shared" ref="D34:F34" si="8">C35</f>
        <v>-90.877436756628001</v>
      </c>
      <c r="E34" s="264">
        <f t="shared" si="8"/>
        <v>-64.69560404745971</v>
      </c>
      <c r="F34" s="264">
        <f t="shared" si="8"/>
        <v>0.4834243610354747</v>
      </c>
    </row>
    <row r="35" spans="1:6" ht="15">
      <c r="A35" t="s">
        <v>52</v>
      </c>
      <c r="B35" s="264">
        <f>B34+B31</f>
        <v>-84.616813539584982</v>
      </c>
      <c r="C35" s="264">
        <f t="shared" ref="C35:F35" si="9">C34+C31</f>
        <v>-90.877436756628001</v>
      </c>
      <c r="D35" s="264">
        <f t="shared" si="9"/>
        <v>-64.69560404745971</v>
      </c>
      <c r="E35" s="264">
        <f t="shared" si="9"/>
        <v>0.4834243610354747</v>
      </c>
      <c r="F35" s="264">
        <f t="shared" si="9"/>
        <v>31.621321599851427</v>
      </c>
    </row>
    <row r="36" spans="1:6" ht="15">
      <c r="A36" s="257" t="s">
        <v>53</v>
      </c>
      <c r="B36" s="266">
        <f>-B35/(B20-B15)</f>
        <v>0.89877133738244663</v>
      </c>
      <c r="C36" s="266">
        <f t="shared" ref="C36:F36" si="10">-C35/(C20-C15)</f>
        <v>0.98112968880134244</v>
      </c>
      <c r="D36" s="266">
        <f t="shared" si="10"/>
        <v>0.57868955950734746</v>
      </c>
      <c r="E36" s="266">
        <f t="shared" si="10"/>
        <v>-3.8862059588166816E-3</v>
      </c>
      <c r="F36" s="266">
        <f t="shared" si="10"/>
        <v>-0.24787791245157842</v>
      </c>
    </row>
    <row r="37" spans="1:6" ht="15">
      <c r="B37" s="254"/>
      <c r="C37" s="254"/>
      <c r="D37" s="254"/>
      <c r="E37" s="254"/>
      <c r="F37" s="254"/>
    </row>
    <row r="38" spans="1:6" ht="15">
      <c r="B38" s="264"/>
      <c r="C38" s="264"/>
      <c r="D38" s="264"/>
      <c r="E38" s="264"/>
      <c r="F38" s="264"/>
    </row>
    <row r="39" spans="1:6" ht="15">
      <c r="B39" s="264"/>
      <c r="C39" s="264"/>
      <c r="D39" s="264"/>
      <c r="E39" s="264"/>
      <c r="F39" s="264"/>
    </row>
    <row r="40" spans="1:6" ht="15">
      <c r="B40" s="264"/>
      <c r="C40" s="264"/>
      <c r="D40" s="264"/>
      <c r="E40" s="264"/>
      <c r="F40" s="264"/>
    </row>
    <row r="41" spans="1:6" ht="15">
      <c r="B41" s="264"/>
      <c r="C41" s="264"/>
      <c r="D41" s="264"/>
      <c r="E41" s="264"/>
      <c r="F41" s="264"/>
    </row>
    <row r="42" spans="1:6" ht="15">
      <c r="B42" s="264"/>
      <c r="C42" s="264"/>
      <c r="D42" s="264"/>
      <c r="E42" s="264"/>
      <c r="F42" s="264"/>
    </row>
    <row r="43" spans="1:6" ht="15">
      <c r="B43" s="264"/>
      <c r="C43" s="264"/>
      <c r="D43" s="264"/>
      <c r="E43" s="264"/>
      <c r="F43" s="264"/>
    </row>
    <row r="44" spans="1:6" ht="15">
      <c r="B44" s="264"/>
      <c r="C44" s="264"/>
      <c r="D44" s="264"/>
      <c r="E44" s="264"/>
      <c r="F44" s="264"/>
    </row>
    <row r="45" spans="1:6" ht="15">
      <c r="B45" s="264"/>
      <c r="C45" s="264"/>
      <c r="D45" s="264"/>
      <c r="E45" s="264"/>
      <c r="F45" s="264"/>
    </row>
    <row r="46" spans="1:6" ht="15">
      <c r="B46" s="264"/>
      <c r="C46" s="264"/>
      <c r="D46" s="264"/>
      <c r="E46" s="264"/>
      <c r="F46" s="264"/>
    </row>
    <row r="47" spans="1:6" ht="15">
      <c r="B47" s="264"/>
      <c r="C47" s="264"/>
      <c r="D47" s="264"/>
      <c r="E47" s="264"/>
      <c r="F47" s="264"/>
    </row>
    <row r="48" spans="1:6" ht="15">
      <c r="B48" s="264"/>
      <c r="C48" s="264"/>
      <c r="D48" s="264"/>
      <c r="E48" s="264"/>
      <c r="F48" s="264"/>
    </row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B2:AH92"/>
  <sheetViews>
    <sheetView showGridLines="0" topLeftCell="A51" zoomScale="85" zoomScaleNormal="85" zoomScaleSheetLayoutView="85" workbookViewId="0">
      <selection activeCell="C76" sqref="C76"/>
    </sheetView>
  </sheetViews>
  <sheetFormatPr defaultColWidth="9.140625" defaultRowHeight="12.95" outlineLevelRow="1"/>
  <cols>
    <col min="1" max="1" width="3" style="7" customWidth="1"/>
    <col min="2" max="2" width="2.85546875" style="7" customWidth="1"/>
    <col min="3" max="3" width="27.7109375" style="7" customWidth="1"/>
    <col min="4" max="5" width="3.42578125" style="7" customWidth="1"/>
    <col min="6" max="22" width="12.7109375" style="7" customWidth="1"/>
    <col min="23" max="23" width="3.42578125" style="7" customWidth="1"/>
    <col min="24" max="16384" width="9.140625" style="7"/>
  </cols>
  <sheetData>
    <row r="2" spans="2:34" ht="12" customHeight="1">
      <c r="B2" s="44"/>
      <c r="E2" s="29"/>
      <c r="O2" s="33"/>
      <c r="R2" s="34"/>
    </row>
    <row r="3" spans="2:34" ht="12" customHeight="1">
      <c r="B3" s="44"/>
      <c r="E3" s="29"/>
      <c r="O3" s="33"/>
      <c r="R3" s="34"/>
    </row>
    <row r="4" spans="2:34" ht="4.5" customHeight="1">
      <c r="B4" s="5"/>
      <c r="C4" s="8"/>
      <c r="D4" s="8"/>
      <c r="E4" s="9"/>
      <c r="F4" s="10"/>
      <c r="G4" s="10"/>
      <c r="H4" s="10"/>
      <c r="I4" s="10"/>
      <c r="J4" s="10"/>
      <c r="K4" s="10"/>
      <c r="L4" s="5"/>
      <c r="M4" s="5"/>
      <c r="N4" s="11"/>
      <c r="O4" s="5"/>
      <c r="P4" s="5"/>
      <c r="Q4" s="5"/>
      <c r="R4" s="5"/>
      <c r="S4" s="5"/>
      <c r="T4" s="5"/>
      <c r="U4" s="5"/>
      <c r="V4" s="5"/>
    </row>
    <row r="5" spans="2:34" ht="12.75" customHeight="1">
      <c r="B5" s="5"/>
      <c r="C5" s="16" t="s">
        <v>54</v>
      </c>
      <c r="D5" s="17"/>
      <c r="E5" s="18"/>
      <c r="F5" s="19"/>
      <c r="G5" s="19"/>
      <c r="H5" s="19"/>
      <c r="I5" s="19"/>
      <c r="J5" s="19"/>
      <c r="K5" s="19"/>
      <c r="L5" s="20"/>
      <c r="M5" s="20"/>
      <c r="N5" s="21"/>
      <c r="O5" s="20"/>
      <c r="P5" s="20"/>
      <c r="Q5" s="20"/>
      <c r="R5" s="20"/>
      <c r="S5" s="20"/>
      <c r="T5" s="20"/>
      <c r="U5" s="20"/>
      <c r="V5" s="307"/>
    </row>
    <row r="6" spans="2:34" ht="4.5" customHeight="1">
      <c r="B6" s="5"/>
      <c r="C6" s="5"/>
      <c r="D6" s="5"/>
      <c r="E6" s="12"/>
      <c r="F6" s="5"/>
      <c r="G6" s="5"/>
      <c r="H6" s="5"/>
      <c r="I6" s="5"/>
      <c r="J6" s="5"/>
      <c r="K6" s="5"/>
      <c r="L6" s="5"/>
      <c r="M6" s="5"/>
      <c r="N6" s="11"/>
      <c r="O6" s="5"/>
      <c r="P6" s="5"/>
      <c r="Q6" s="5"/>
      <c r="R6" s="5"/>
      <c r="S6" s="5"/>
    </row>
    <row r="7" spans="2:34">
      <c r="B7" s="5"/>
      <c r="D7" s="22"/>
      <c r="F7" s="260" t="s">
        <v>55</v>
      </c>
      <c r="G7" s="260"/>
      <c r="H7" s="260"/>
      <c r="I7" s="260"/>
      <c r="J7" s="260"/>
      <c r="K7" s="260"/>
      <c r="L7" s="261" t="s">
        <v>56</v>
      </c>
      <c r="M7" s="261"/>
      <c r="N7" s="261"/>
      <c r="O7" s="261"/>
      <c r="P7" s="261"/>
      <c r="Q7" s="262" t="s">
        <v>57</v>
      </c>
      <c r="R7" s="262"/>
      <c r="S7" s="262"/>
      <c r="T7" s="262"/>
      <c r="U7" s="262"/>
      <c r="V7" s="262"/>
    </row>
    <row r="8" spans="2:34" ht="12.75" customHeight="1">
      <c r="B8" s="5"/>
      <c r="D8" s="5"/>
      <c r="E8" s="12"/>
      <c r="F8" s="5"/>
      <c r="G8" s="5"/>
      <c r="H8" s="5"/>
      <c r="I8" s="5"/>
      <c r="J8" s="5"/>
      <c r="K8" s="5"/>
      <c r="L8" s="5"/>
      <c r="M8" s="186"/>
      <c r="N8" s="11"/>
      <c r="O8" s="5"/>
      <c r="P8" s="5"/>
      <c r="Q8" s="5"/>
      <c r="R8" s="5"/>
      <c r="S8" s="5"/>
    </row>
    <row r="9" spans="2:34" ht="12.75" customHeight="1">
      <c r="B9" s="5"/>
      <c r="C9" s="35" t="str">
        <f>TEXT(Assumptions!$D$11,"mmmm")&amp;" YE ($mm)"</f>
        <v>March YE ($mm)</v>
      </c>
      <c r="D9" s="35"/>
      <c r="E9" s="42"/>
      <c r="F9" s="119">
        <v>41729</v>
      </c>
      <c r="G9" s="119">
        <f>+EDATE(F9,12)</f>
        <v>42094</v>
      </c>
      <c r="H9" s="119">
        <f t="shared" ref="H9:V9" si="0">+EDATE(G9,12)</f>
        <v>42460</v>
      </c>
      <c r="I9" s="119">
        <f t="shared" si="0"/>
        <v>42825</v>
      </c>
      <c r="J9" s="119">
        <f t="shared" si="0"/>
        <v>43190</v>
      </c>
      <c r="K9" s="119">
        <f t="shared" si="0"/>
        <v>43555</v>
      </c>
      <c r="L9" s="36">
        <f t="shared" si="0"/>
        <v>43921</v>
      </c>
      <c r="M9" s="36">
        <f t="shared" si="0"/>
        <v>44286</v>
      </c>
      <c r="N9" s="36">
        <f t="shared" si="0"/>
        <v>44651</v>
      </c>
      <c r="O9" s="36">
        <f t="shared" si="0"/>
        <v>45016</v>
      </c>
      <c r="P9" s="36">
        <f t="shared" si="0"/>
        <v>45382</v>
      </c>
      <c r="Q9" s="36">
        <f t="shared" si="0"/>
        <v>45747</v>
      </c>
      <c r="R9" s="36">
        <f t="shared" si="0"/>
        <v>46112</v>
      </c>
      <c r="S9" s="36">
        <f t="shared" si="0"/>
        <v>46477</v>
      </c>
      <c r="T9" s="36">
        <f t="shared" si="0"/>
        <v>46843</v>
      </c>
      <c r="U9" s="36">
        <f t="shared" si="0"/>
        <v>47208</v>
      </c>
      <c r="V9" s="36">
        <f t="shared" si="0"/>
        <v>47573</v>
      </c>
    </row>
    <row r="10" spans="2:34" ht="12.75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186"/>
      <c r="Q10" s="5"/>
      <c r="R10" s="5"/>
      <c r="S10" s="5"/>
      <c r="U10" s="5"/>
      <c r="V10" s="5"/>
    </row>
    <row r="11" spans="2:34">
      <c r="B11" s="5"/>
      <c r="C11" s="32" t="s">
        <v>58</v>
      </c>
      <c r="D11" s="32"/>
      <c r="E11" s="32"/>
      <c r="F11" s="91">
        <v>939.7</v>
      </c>
      <c r="G11" s="91">
        <v>1004.9</v>
      </c>
      <c r="H11" s="91">
        <v>1021.5</v>
      </c>
      <c r="I11" s="91">
        <v>1095</v>
      </c>
      <c r="J11" s="91">
        <v>1135.0999999999999</v>
      </c>
      <c r="K11" s="91">
        <v>1138.5999999999999</v>
      </c>
      <c r="L11" s="88">
        <f>K11*(1+L13)</f>
        <v>1149.2312142121568</v>
      </c>
      <c r="M11" s="88">
        <f t="shared" ref="M11:V11" si="1">L11*(1+M13)</f>
        <v>1255.6304578332745</v>
      </c>
      <c r="N11" s="88">
        <f t="shared" si="1"/>
        <v>1353.8373857301615</v>
      </c>
      <c r="O11" s="88">
        <f t="shared" si="1"/>
        <v>1446.9754795854415</v>
      </c>
      <c r="P11" s="88">
        <f t="shared" si="1"/>
        <v>1442.6203434361953</v>
      </c>
      <c r="Q11" s="88">
        <f t="shared" si="1"/>
        <v>1471.4727503049191</v>
      </c>
      <c r="R11" s="88">
        <f t="shared" ca="1" si="1"/>
        <v>1497.9592598104077</v>
      </c>
      <c r="S11" s="88">
        <f t="shared" ca="1" si="1"/>
        <v>1521.9266079673744</v>
      </c>
      <c r="T11" s="88">
        <f t="shared" ca="1" si="1"/>
        <v>1543.2335804789177</v>
      </c>
      <c r="U11" s="88">
        <f t="shared" ca="1" si="1"/>
        <v>1561.7523834446647</v>
      </c>
      <c r="V11" s="88">
        <f t="shared" ca="1" si="1"/>
        <v>1577.3699072791114</v>
      </c>
    </row>
    <row r="12" spans="2:34" outlineLevel="1">
      <c r="B12" s="5"/>
      <c r="C12" s="93" t="s">
        <v>59</v>
      </c>
      <c r="D12" s="93"/>
      <c r="E12" s="93"/>
      <c r="F12" s="125"/>
      <c r="G12" s="125"/>
      <c r="H12" s="125"/>
      <c r="I12" s="125"/>
      <c r="J12" s="125"/>
      <c r="K12" s="125"/>
      <c r="L12" s="288">
        <f>'Company fin forecasts'!B5</f>
        <v>1149.2312142121568</v>
      </c>
      <c r="M12" s="288">
        <f>'Company fin forecasts'!C5</f>
        <v>1255.6304578332745</v>
      </c>
      <c r="N12" s="288">
        <f>'Company fin forecasts'!D5</f>
        <v>1353.8373857301615</v>
      </c>
      <c r="O12" s="288">
        <f>'Company fin forecasts'!E5</f>
        <v>1446.9754795854417</v>
      </c>
      <c r="P12" s="288">
        <f>'Company fin forecasts'!F5</f>
        <v>1442.6203434361955</v>
      </c>
      <c r="Q12" s="39"/>
      <c r="R12" s="39"/>
      <c r="S12" s="39"/>
      <c r="T12" s="39"/>
      <c r="U12" s="39"/>
      <c r="V12" s="39"/>
      <c r="Y12" s="283" t="s">
        <v>60</v>
      </c>
      <c r="Z12" s="283"/>
      <c r="AA12" s="283"/>
      <c r="AB12" s="283"/>
      <c r="AC12" s="283"/>
      <c r="AD12" s="283"/>
      <c r="AE12" s="283"/>
      <c r="AF12" s="283"/>
      <c r="AG12" s="283"/>
      <c r="AH12" s="283"/>
    </row>
    <row r="13" spans="2:34">
      <c r="B13" s="14"/>
      <c r="C13" s="14" t="s">
        <v>61</v>
      </c>
      <c r="D13" s="14"/>
      <c r="E13" s="6"/>
      <c r="L13" s="102">
        <f>IF(ISERROR(L12/K11-1),"n.a.",L12/K11-1)</f>
        <v>9.3370931074625574E-3</v>
      </c>
      <c r="M13" s="102">
        <f>IF(ISERROR(M12/L12-1),"n.a.",M12/L12-1)</f>
        <v>9.2582973996280238E-2</v>
      </c>
      <c r="N13" s="102">
        <f>IF(ISERROR(N12/M12-1),"n.a.",N12/M12-1)</f>
        <v>7.8213241232100827E-2</v>
      </c>
      <c r="O13" s="102">
        <f>IF(ISERROR(O12/N12-1),"n.a.",O12/N12-1)</f>
        <v>6.879562851268739E-2</v>
      </c>
      <c r="P13" s="102">
        <f>IF(ISERROR(P12/O12-1),"n.a.",P12/O12-1)</f>
        <v>-3.0098202842344657E-3</v>
      </c>
      <c r="Q13" s="308">
        <v>0.02</v>
      </c>
      <c r="R13" s="309">
        <f ca="1">AVERAGE(Q13,S13)</f>
        <v>1.8000000000000002E-2</v>
      </c>
      <c r="S13" s="309">
        <f t="shared" ref="S13:U13" ca="1" si="2">AVERAGE(R13,T13)</f>
        <v>1.6E-2</v>
      </c>
      <c r="T13" s="309">
        <f t="shared" ca="1" si="2"/>
        <v>1.4E-2</v>
      </c>
      <c r="U13" s="309">
        <f t="shared" ca="1" si="2"/>
        <v>1.2E-2</v>
      </c>
      <c r="V13" s="308">
        <v>0.01</v>
      </c>
      <c r="Y13" s="283" t="s">
        <v>62</v>
      </c>
      <c r="Z13" s="283"/>
      <c r="AA13" s="283"/>
      <c r="AB13" s="283"/>
      <c r="AC13" s="283"/>
      <c r="AD13" s="283"/>
      <c r="AE13" s="283"/>
      <c r="AF13" s="283"/>
      <c r="AG13" s="283"/>
      <c r="AH13" s="283"/>
    </row>
    <row r="14" spans="2:34">
      <c r="B14" s="14"/>
      <c r="C14" s="14"/>
      <c r="D14" s="1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2:34">
      <c r="B15" s="5"/>
      <c r="C15" s="32" t="s">
        <v>63</v>
      </c>
      <c r="D15" s="32"/>
      <c r="E15" s="32"/>
      <c r="F15" s="91">
        <v>101.1</v>
      </c>
      <c r="G15" s="91">
        <v>109.9</v>
      </c>
      <c r="H15" s="91">
        <v>114.6</v>
      </c>
      <c r="I15" s="91">
        <v>108.7</v>
      </c>
      <c r="J15" s="91">
        <v>109.5</v>
      </c>
      <c r="K15" s="91">
        <v>98.2</v>
      </c>
      <c r="L15" s="88">
        <f>L11*L18</f>
        <v>94.147209662938664</v>
      </c>
      <c r="M15" s="88">
        <f t="shared" ref="M15:V15" si="3">M11*M18</f>
        <v>74.620836423784183</v>
      </c>
      <c r="N15" s="88">
        <f t="shared" si="3"/>
        <v>105.04401819421257</v>
      </c>
      <c r="O15" s="88">
        <f t="shared" si="3"/>
        <v>125.53339504552143</v>
      </c>
      <c r="P15" s="88">
        <f t="shared" si="3"/>
        <v>122.70308878387445</v>
      </c>
      <c r="Q15" s="88">
        <f t="shared" ca="1" si="3"/>
        <v>126.36971672086703</v>
      </c>
      <c r="R15" s="88">
        <f t="shared" ca="1" si="3"/>
        <v>129.87876397406146</v>
      </c>
      <c r="S15" s="88">
        <f t="shared" ca="1" si="3"/>
        <v>133.21096682750073</v>
      </c>
      <c r="T15" s="88">
        <f t="shared" ca="1" si="3"/>
        <v>136.34762098975804</v>
      </c>
      <c r="U15" s="88">
        <f t="shared" ca="1" si="3"/>
        <v>139.27075347582746</v>
      </c>
      <c r="V15" s="88">
        <f t="shared" ca="1" si="3"/>
        <v>141.96329165512003</v>
      </c>
    </row>
    <row r="16" spans="2:34" ht="12.75" customHeight="1" outlineLevel="1">
      <c r="B16" s="5"/>
      <c r="C16" s="93" t="str">
        <f>+$C$12</f>
        <v>Management case</v>
      </c>
      <c r="D16" s="93"/>
      <c r="E16" s="93"/>
      <c r="F16" s="39"/>
      <c r="G16" s="39"/>
      <c r="H16" s="39"/>
      <c r="I16" s="39"/>
      <c r="J16" s="39"/>
      <c r="K16" s="39"/>
      <c r="L16" s="288">
        <f>'Company fin forecasts'!B20</f>
        <v>94.147209662938664</v>
      </c>
      <c r="M16" s="288">
        <f>'Company fin forecasts'!C20</f>
        <v>74.620836423784183</v>
      </c>
      <c r="N16" s="288">
        <f>'Company fin forecasts'!D20</f>
        <v>105.04401819421257</v>
      </c>
      <c r="O16" s="288">
        <f>'Company fin forecasts'!E20</f>
        <v>125.53339504552146</v>
      </c>
      <c r="P16" s="288">
        <f>'Company fin forecasts'!F20</f>
        <v>122.70308878387448</v>
      </c>
      <c r="Q16" s="39"/>
      <c r="R16" s="39"/>
      <c r="S16" s="39"/>
      <c r="T16" s="39"/>
      <c r="U16" s="39"/>
      <c r="V16" s="39"/>
      <c r="Y16" s="283" t="s">
        <v>60</v>
      </c>
      <c r="Z16" s="283"/>
      <c r="AA16" s="283"/>
      <c r="AB16" s="283"/>
      <c r="AC16" s="283"/>
      <c r="AD16" s="283"/>
      <c r="AE16" s="283"/>
      <c r="AF16" s="283"/>
      <c r="AG16" s="283"/>
      <c r="AH16" s="283"/>
    </row>
    <row r="17" spans="2:34">
      <c r="B17" s="5"/>
      <c r="C17" s="14" t="s">
        <v>64</v>
      </c>
      <c r="D17" s="14"/>
      <c r="E17" s="6"/>
      <c r="F17" s="102" t="str">
        <f>IF(ISERROR(F15/E15-1),"n.a.",F15/E15-1)</f>
        <v>n.a.</v>
      </c>
      <c r="G17" s="6">
        <f>IF(ISERROR(G15/F15-1),"n.a.",G15/F15-1)</f>
        <v>8.7042532146389906E-2</v>
      </c>
      <c r="H17" s="6">
        <f t="shared" ref="H17:K17" si="4">IF(ISERROR(H15/G15-1),"n.a.",H15/G15-1)</f>
        <v>4.2766151046405687E-2</v>
      </c>
      <c r="I17" s="6">
        <f t="shared" si="4"/>
        <v>-5.148342059336819E-2</v>
      </c>
      <c r="J17" s="6">
        <f t="shared" si="4"/>
        <v>7.3597056117755688E-3</v>
      </c>
      <c r="K17" s="6">
        <f t="shared" si="4"/>
        <v>-0.10319634703196345</v>
      </c>
      <c r="L17" s="6">
        <f>IF(ISERROR(L15/K15-1),"n.a.",L15/K15-1)</f>
        <v>-4.1270777363150102E-2</v>
      </c>
      <c r="M17" s="6">
        <f t="shared" ref="M17:V17" si="5">IF(ISERROR(M15/L15-1),"n.a.",M15/L15-1)</f>
        <v>-0.20740256996529016</v>
      </c>
      <c r="N17" s="6">
        <f t="shared" si="5"/>
        <v>0.40770357487887243</v>
      </c>
      <c r="O17" s="6">
        <f t="shared" si="5"/>
        <v>0.19505515119791683</v>
      </c>
      <c r="P17" s="6">
        <f t="shared" si="5"/>
        <v>-2.254624166438457E-2</v>
      </c>
      <c r="Q17" s="6">
        <f t="shared" ca="1" si="5"/>
        <v>2.9882116035814477E-2</v>
      </c>
      <c r="R17" s="6">
        <f t="shared" ca="1" si="5"/>
        <v>2.7768102550592921E-2</v>
      </c>
      <c r="S17" s="6">
        <f t="shared" ca="1" si="5"/>
        <v>2.5656256276851863E-2</v>
      </c>
      <c r="T17" s="6">
        <f t="shared" ca="1" si="5"/>
        <v>2.3546516003589035E-2</v>
      </c>
      <c r="U17" s="6">
        <f t="shared" ca="1" si="5"/>
        <v>2.1438822803435675E-2</v>
      </c>
      <c r="V17" s="6">
        <f t="shared" ca="1" si="5"/>
        <v>1.9333119927148923E-2</v>
      </c>
    </row>
    <row r="18" spans="2:34">
      <c r="B18" s="5"/>
      <c r="C18" s="14" t="s">
        <v>65</v>
      </c>
      <c r="D18" s="14"/>
      <c r="E18" s="6"/>
      <c r="L18" s="102">
        <f>IF(ISERROR(L16/L$12),"n.a.",L16/L$12)</f>
        <v>8.1921904398916168E-2</v>
      </c>
      <c r="M18" s="102">
        <f>IF(ISERROR(M16/M$12),"n.a.",M16/M$12)</f>
        <v>5.9428979249635652E-2</v>
      </c>
      <c r="N18" s="102">
        <f>IF(ISERROR(N16/N$12),"n.a.",N16/N$12)</f>
        <v>7.7589834127353083E-2</v>
      </c>
      <c r="O18" s="102">
        <f>IF(ISERROR(O16/O$12),"n.a.",O16/O$12)</f>
        <v>8.6755716884357126E-2</v>
      </c>
      <c r="P18" s="310">
        <f>IF(ISERROR(P16/P$12),"n.a.",P16/P$12)</f>
        <v>8.5055703908629515E-2</v>
      </c>
      <c r="Q18" s="309">
        <f ca="1">AVERAGE(P18,R18)</f>
        <v>8.5879753257191244E-2</v>
      </c>
      <c r="R18" s="309">
        <f t="shared" ref="R18:U18" ca="1" si="6">AVERAGE(Q18,S18)</f>
        <v>8.6703802605752986E-2</v>
      </c>
      <c r="S18" s="309">
        <f t="shared" ca="1" si="6"/>
        <v>8.7527851954314728E-2</v>
      </c>
      <c r="T18" s="309">
        <f t="shared" ca="1" si="6"/>
        <v>8.8351901302876484E-2</v>
      </c>
      <c r="U18" s="309">
        <f t="shared" ca="1" si="6"/>
        <v>8.9175950651438241E-2</v>
      </c>
      <c r="V18" s="308">
        <v>0.09</v>
      </c>
      <c r="Y18" s="283" t="s">
        <v>66</v>
      </c>
      <c r="Z18" s="283"/>
      <c r="AA18" s="283"/>
      <c r="AB18" s="283"/>
      <c r="AC18" s="283"/>
      <c r="AD18" s="283"/>
      <c r="AE18" s="283"/>
      <c r="AF18" s="283"/>
      <c r="AG18" s="283"/>
      <c r="AH18" s="283"/>
    </row>
    <row r="19" spans="2:34">
      <c r="B19" s="1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34">
      <c r="B20" s="14"/>
      <c r="C20" s="32" t="s">
        <v>67</v>
      </c>
      <c r="D20" s="32"/>
      <c r="E20" s="32"/>
      <c r="F20" s="32">
        <f t="shared" ref="F20:K20" si="7">-F15+F25</f>
        <v>-23.299999999999997</v>
      </c>
      <c r="G20" s="32">
        <f t="shared" si="7"/>
        <v>-25.300000000000011</v>
      </c>
      <c r="H20" s="32">
        <f t="shared" si="7"/>
        <v>-30.099999999999994</v>
      </c>
      <c r="I20" s="32">
        <f t="shared" si="7"/>
        <v>-31.600000000000009</v>
      </c>
      <c r="J20" s="32">
        <f t="shared" si="7"/>
        <v>-34.900000000000006</v>
      </c>
      <c r="K20" s="32">
        <f t="shared" si="7"/>
        <v>-36</v>
      </c>
      <c r="L20" s="290">
        <f>-('Company fin forecasts'!B18+'Company fin forecasts'!B19)</f>
        <v>-36.129215400000028</v>
      </c>
      <c r="M20" s="290">
        <f>-('Company fin forecasts'!C18+'Company fin forecasts'!C19)</f>
        <v>-40.455293523349013</v>
      </c>
      <c r="N20" s="290">
        <f>-('Company fin forecasts'!D18+'Company fin forecasts'!D19)</f>
        <v>-47.195257615808735</v>
      </c>
      <c r="O20" s="290">
        <f>-('Company fin forecasts'!E18+'Company fin forecasts'!E19)</f>
        <v>-51.829543587564167</v>
      </c>
      <c r="P20" s="290">
        <f>-('Company fin forecasts'!F18+'Company fin forecasts'!F19)</f>
        <v>-54.799912142159194</v>
      </c>
      <c r="Q20" s="88">
        <f t="shared" ref="Q20:V20" ca="1" si="8">Q22*Q40</f>
        <v>-53.583260118465994</v>
      </c>
      <c r="R20" s="88">
        <f t="shared" ca="1" si="8"/>
        <v>-52.366608094772801</v>
      </c>
      <c r="S20" s="88">
        <f t="shared" ca="1" si="8"/>
        <v>-51.149956071079608</v>
      </c>
      <c r="T20" s="88">
        <f t="shared" ca="1" si="8"/>
        <v>-49.933304047386407</v>
      </c>
      <c r="U20" s="88">
        <f t="shared" ca="1" si="8"/>
        <v>-48.7166520236932</v>
      </c>
      <c r="V20" s="88">
        <f t="shared" si="8"/>
        <v>-47.5</v>
      </c>
      <c r="Y20" s="283" t="s">
        <v>60</v>
      </c>
      <c r="Z20" s="283"/>
      <c r="AA20" s="283"/>
      <c r="AB20" s="283"/>
      <c r="AC20" s="283"/>
      <c r="AD20" s="283"/>
      <c r="AE20" s="283"/>
      <c r="AF20" s="283"/>
      <c r="AG20" s="283"/>
      <c r="AH20" s="283"/>
    </row>
    <row r="21" spans="2:34" ht="12.75">
      <c r="B21" s="14"/>
      <c r="C21" s="14" t="s">
        <v>64</v>
      </c>
      <c r="D21" s="14"/>
      <c r="E21" s="6"/>
      <c r="F21" s="6" t="str">
        <f t="shared" ref="F21:V21" si="9">IF(ISERROR(F20/E20-1),"n.a.",F20/E20-1)</f>
        <v>n.a.</v>
      </c>
      <c r="G21" s="6">
        <f t="shared" si="9"/>
        <v>8.5836909871245259E-2</v>
      </c>
      <c r="H21" s="6">
        <f t="shared" si="9"/>
        <v>0.18972332015810212</v>
      </c>
      <c r="I21" s="6">
        <f t="shared" si="9"/>
        <v>4.9833887043189806E-2</v>
      </c>
      <c r="J21" s="6">
        <f t="shared" si="9"/>
        <v>0.10443037974683533</v>
      </c>
      <c r="K21" s="6">
        <f t="shared" si="9"/>
        <v>3.1518624641833748E-2</v>
      </c>
      <c r="L21" s="6">
        <f t="shared" si="9"/>
        <v>3.589316666667397E-3</v>
      </c>
      <c r="M21" s="6">
        <f t="shared" si="9"/>
        <v>0.11973905537259411</v>
      </c>
      <c r="N21" s="6">
        <f t="shared" si="9"/>
        <v>0.16660277322100536</v>
      </c>
      <c r="O21" s="6">
        <f t="shared" si="9"/>
        <v>9.8193890782007465E-2</v>
      </c>
      <c r="P21" s="6">
        <f t="shared" si="9"/>
        <v>5.7310335939514845E-2</v>
      </c>
      <c r="Q21" s="6">
        <f t="shared" ca="1" si="9"/>
        <v>-2.2201714859268806E-2</v>
      </c>
      <c r="R21" s="6">
        <f t="shared" ca="1" si="9"/>
        <v>-2.2705823068684627E-2</v>
      </c>
      <c r="S21" s="6">
        <f t="shared" ca="1" si="9"/>
        <v>-2.3233355528609057E-2</v>
      </c>
      <c r="T21" s="6">
        <f t="shared" ca="1" si="9"/>
        <v>-2.3785983745567729E-2</v>
      </c>
      <c r="U21" s="6">
        <f t="shared" ca="1" si="9"/>
        <v>-2.4365542134736629E-2</v>
      </c>
      <c r="V21" s="6">
        <f t="shared" ca="1" si="9"/>
        <v>-2.4974048362385148E-2</v>
      </c>
    </row>
    <row r="22" spans="2:34" ht="12.75">
      <c r="B22" s="14"/>
      <c r="C22" s="14" t="s">
        <v>68</v>
      </c>
      <c r="D22" s="14"/>
      <c r="E22" s="6"/>
      <c r="F22" s="102">
        <f t="shared" ref="F22:Q22" si="10">IF(ISERROR(F20/F$40),"n.a.",F20/F$40)</f>
        <v>0.76644736842105254</v>
      </c>
      <c r="G22" s="102">
        <f t="shared" si="10"/>
        <v>0.67466666666666697</v>
      </c>
      <c r="H22" s="102">
        <f t="shared" si="10"/>
        <v>0.74689826302729523</v>
      </c>
      <c r="I22" s="102">
        <f t="shared" si="10"/>
        <v>0.87534626038781183</v>
      </c>
      <c r="J22" s="102">
        <f t="shared" si="10"/>
        <v>0.93565683646112618</v>
      </c>
      <c r="K22" s="102">
        <f t="shared" si="10"/>
        <v>1.1612903225806452</v>
      </c>
      <c r="L22" s="291">
        <f t="shared" si="10"/>
        <v>1.0035893166666674</v>
      </c>
      <c r="M22" s="291">
        <f t="shared" si="10"/>
        <v>0.79324104947743168</v>
      </c>
      <c r="N22" s="291">
        <f t="shared" si="10"/>
        <v>0.94390515231617467</v>
      </c>
      <c r="O22" s="291">
        <f t="shared" si="10"/>
        <v>1.0365908717512833</v>
      </c>
      <c r="P22" s="291">
        <f t="shared" si="10"/>
        <v>1.0959982428431838</v>
      </c>
      <c r="Q22" s="309">
        <f ca="1">AVERAGE(P22,R22)</f>
        <v>1.0716652023693198</v>
      </c>
      <c r="R22" s="309">
        <f t="shared" ref="R22:U22" ca="1" si="11">AVERAGE(Q22,S22)</f>
        <v>1.0473321618954561</v>
      </c>
      <c r="S22" s="309">
        <f t="shared" ca="1" si="11"/>
        <v>1.0229991214215921</v>
      </c>
      <c r="T22" s="309">
        <f t="shared" ca="1" si="11"/>
        <v>0.99866608094772813</v>
      </c>
      <c r="U22" s="309">
        <f t="shared" ca="1" si="11"/>
        <v>0.97433304047386404</v>
      </c>
      <c r="V22" s="308">
        <v>0.95</v>
      </c>
      <c r="X22" s="186"/>
      <c r="Y22" s="283" t="s">
        <v>69</v>
      </c>
      <c r="Z22" s="283"/>
      <c r="AA22" s="283"/>
      <c r="AB22" s="283"/>
      <c r="AC22" s="283"/>
      <c r="AD22" s="283"/>
      <c r="AE22" s="283"/>
      <c r="AF22" s="283"/>
      <c r="AG22" s="283"/>
      <c r="AH22" s="283"/>
    </row>
    <row r="23" spans="2:34" ht="12.75">
      <c r="B23" s="14"/>
      <c r="C23" s="14" t="s">
        <v>70</v>
      </c>
      <c r="D23" s="14"/>
      <c r="E23" s="6"/>
      <c r="F23" s="102">
        <f t="shared" ref="F23:V23" si="12">F20/F11*-1</f>
        <v>2.4795147387464082E-2</v>
      </c>
      <c r="G23" s="102">
        <f t="shared" si="12"/>
        <v>2.5176634490994141E-2</v>
      </c>
      <c r="H23" s="102">
        <f t="shared" si="12"/>
        <v>2.9466470876162502E-2</v>
      </c>
      <c r="I23" s="102">
        <f t="shared" si="12"/>
        <v>2.8858447488584484E-2</v>
      </c>
      <c r="J23" s="102">
        <f t="shared" si="12"/>
        <v>3.0746189763016483E-2</v>
      </c>
      <c r="K23" s="102">
        <f t="shared" si="12"/>
        <v>3.1617776216406115E-2</v>
      </c>
      <c r="L23" s="102">
        <f t="shared" si="12"/>
        <v>3.1437725457855774E-2</v>
      </c>
      <c r="M23" s="102">
        <f t="shared" si="12"/>
        <v>3.2219108154766314E-2</v>
      </c>
      <c r="N23" s="102">
        <f t="shared" si="12"/>
        <v>3.4860359237571983E-2</v>
      </c>
      <c r="O23" s="102">
        <f t="shared" si="12"/>
        <v>3.581922729085453E-2</v>
      </c>
      <c r="P23" s="102">
        <f t="shared" si="12"/>
        <v>3.7986371391124714E-2</v>
      </c>
      <c r="Q23" s="102">
        <f t="shared" ca="1" si="12"/>
        <v>3.641471451466733E-2</v>
      </c>
      <c r="R23" s="102">
        <f t="shared" ca="1" si="12"/>
        <v>3.4958633054813976E-2</v>
      </c>
      <c r="S23" s="102">
        <f t="shared" ca="1" si="12"/>
        <v>3.3608687701040647E-2</v>
      </c>
      <c r="T23" s="102">
        <f t="shared" ca="1" si="12"/>
        <v>3.2356284025319364E-2</v>
      </c>
      <c r="U23" s="102">
        <f t="shared" ca="1" si="12"/>
        <v>3.1193582631993021E-2</v>
      </c>
      <c r="V23" s="102">
        <f t="shared" ca="1" si="12"/>
        <v>3.0113418406678784E-2</v>
      </c>
    </row>
    <row r="24" spans="2:3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34">
      <c r="B25" s="5"/>
      <c r="C25" s="32" t="s">
        <v>71</v>
      </c>
      <c r="D25" s="32"/>
      <c r="E25" s="32"/>
      <c r="F25" s="91">
        <v>77.8</v>
      </c>
      <c r="G25" s="91">
        <v>84.6</v>
      </c>
      <c r="H25" s="91">
        <v>84.5</v>
      </c>
      <c r="I25" s="91">
        <v>77.099999999999994</v>
      </c>
      <c r="J25" s="91">
        <v>74.599999999999994</v>
      </c>
      <c r="K25" s="91">
        <v>62.2</v>
      </c>
      <c r="L25" s="88">
        <f>+L15+L20</f>
        <v>58.017994262938636</v>
      </c>
      <c r="M25" s="88">
        <f>+M15+M20</f>
        <v>34.16554290043517</v>
      </c>
      <c r="N25" s="88">
        <f>+N15+N20</f>
        <v>57.848760578403834</v>
      </c>
      <c r="O25" s="88">
        <f>+O15+O20</f>
        <v>73.703851457957256</v>
      </c>
      <c r="P25" s="88">
        <f>+P15+P20</f>
        <v>67.903176641715248</v>
      </c>
      <c r="Q25" s="88">
        <f t="shared" ref="Q25:V25" ca="1" si="13">Q15+Q20</f>
        <v>72.786456602401046</v>
      </c>
      <c r="R25" s="88">
        <f t="shared" ca="1" si="13"/>
        <v>77.512155879288656</v>
      </c>
      <c r="S25" s="88">
        <f t="shared" ca="1" si="13"/>
        <v>82.061010756421126</v>
      </c>
      <c r="T25" s="88">
        <f t="shared" ca="1" si="13"/>
        <v>86.414316942371642</v>
      </c>
      <c r="U25" s="88">
        <f t="shared" ca="1" si="13"/>
        <v>90.554101452134262</v>
      </c>
      <c r="V25" s="88">
        <f t="shared" ca="1" si="13"/>
        <v>94.463291655120031</v>
      </c>
    </row>
    <row r="26" spans="2:34">
      <c r="B26" s="5"/>
      <c r="C26" s="14" t="s">
        <v>64</v>
      </c>
      <c r="D26" s="14"/>
      <c r="E26" s="6"/>
      <c r="F26" s="6" t="str">
        <f t="shared" ref="F26:V26" si="14">IF(ISERROR(F25/E25-1),"n.a.",F25/E25-1)</f>
        <v>n.a.</v>
      </c>
      <c r="G26" s="6">
        <f t="shared" si="14"/>
        <v>8.740359897172234E-2</v>
      </c>
      <c r="H26" s="6">
        <f t="shared" si="14"/>
        <v>-1.1820330969266601E-3</v>
      </c>
      <c r="I26" s="6">
        <f t="shared" si="14"/>
        <v>-8.7573964497041468E-2</v>
      </c>
      <c r="J26" s="6">
        <f t="shared" si="14"/>
        <v>-3.2425421530479892E-2</v>
      </c>
      <c r="K26" s="6">
        <f t="shared" si="14"/>
        <v>-0.16621983914209104</v>
      </c>
      <c r="L26" s="6">
        <f t="shared" si="14"/>
        <v>-6.723481892381622E-2</v>
      </c>
      <c r="M26" s="6">
        <f t="shared" si="14"/>
        <v>-0.41112161262252034</v>
      </c>
      <c r="N26" s="6">
        <f t="shared" si="14"/>
        <v>0.69319014619454533</v>
      </c>
      <c r="O26" s="6">
        <f t="shared" si="14"/>
        <v>0.27407831595742893</v>
      </c>
      <c r="P26" s="6">
        <f t="shared" si="14"/>
        <v>-7.8702465359640983E-2</v>
      </c>
      <c r="Q26" s="6">
        <f t="shared" ca="1" si="14"/>
        <v>7.1915338901624049E-2</v>
      </c>
      <c r="R26" s="6">
        <f t="shared" ca="1" si="14"/>
        <v>6.4925530070819804E-2</v>
      </c>
      <c r="S26" s="6">
        <f t="shared" ca="1" si="14"/>
        <v>5.8685696785630626E-2</v>
      </c>
      <c r="T26" s="6">
        <f t="shared" ca="1" si="14"/>
        <v>5.3049629121340924E-2</v>
      </c>
      <c r="U26" s="6">
        <f t="shared" ca="1" si="14"/>
        <v>4.7906234247310886E-2</v>
      </c>
      <c r="V26" s="6">
        <f t="shared" ca="1" si="14"/>
        <v>4.3169664767223281E-2</v>
      </c>
    </row>
    <row r="27" spans="2:34">
      <c r="B27" s="5"/>
      <c r="C27" s="14" t="s">
        <v>70</v>
      </c>
      <c r="D27" s="14"/>
      <c r="E27" s="6"/>
      <c r="F27" s="6">
        <f t="shared" ref="F27:Q27" si="15">IF(ISERROR(F25/F$11),"n.a.",F25/F$11)</f>
        <v>8.2792380546983069E-2</v>
      </c>
      <c r="G27" s="6">
        <f t="shared" si="15"/>
        <v>8.4187481341427006E-2</v>
      </c>
      <c r="H27" s="6">
        <f t="shared" si="15"/>
        <v>8.272148800783162E-2</v>
      </c>
      <c r="I27" s="6">
        <f t="shared" si="15"/>
        <v>7.0410958904109588E-2</v>
      </c>
      <c r="J27" s="6">
        <f t="shared" si="15"/>
        <v>6.5721081843009427E-2</v>
      </c>
      <c r="K27" s="6">
        <f t="shared" si="15"/>
        <v>5.4628491129457238E-2</v>
      </c>
      <c r="L27" s="6">
        <f t="shared" si="15"/>
        <v>5.0484178941060394E-2</v>
      </c>
      <c r="M27" s="6">
        <f t="shared" si="15"/>
        <v>2.7209871094869338E-2</v>
      </c>
      <c r="N27" s="6">
        <f t="shared" si="15"/>
        <v>4.2729474889781106E-2</v>
      </c>
      <c r="O27" s="6">
        <f t="shared" si="15"/>
        <v>5.0936489593502589E-2</v>
      </c>
      <c r="P27" s="6">
        <f t="shared" si="15"/>
        <v>4.7069332517504801E-2</v>
      </c>
      <c r="Q27" s="6">
        <f t="shared" ca="1" si="15"/>
        <v>4.9465038742523913E-2</v>
      </c>
      <c r="R27" s="6">
        <f ca="1">IF(ISERROR(R25/R$11),"n.a.",R25/R$11)</f>
        <v>5.1745169550939017E-2</v>
      </c>
      <c r="S27" s="6">
        <f ca="1">IF(ISERROR(S25/S$11),"n.a.",S25/S$11)</f>
        <v>5.3919164253274081E-2</v>
      </c>
      <c r="T27" s="6">
        <f ca="1">IF(ISERROR(T25/T$11),"n.a.",T25/T$11)</f>
        <v>5.5995617277557135E-2</v>
      </c>
      <c r="U27" s="6">
        <f ca="1">IF(ISERROR(U25/U$11),"n.a.",U25/U$11)</f>
        <v>5.7982368019445209E-2</v>
      </c>
      <c r="V27" s="6">
        <f ca="1">IF(ISERROR(V25/V$11),"n.a.",V25/V$11)</f>
        <v>5.988658159332122E-2</v>
      </c>
    </row>
    <row r="28" spans="2:34">
      <c r="B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34" ht="12.75" customHeight="1">
      <c r="B29" s="5"/>
      <c r="C29" s="14" t="s">
        <v>72</v>
      </c>
      <c r="D29" s="14"/>
      <c r="E29" s="6"/>
      <c r="F29" s="87"/>
      <c r="G29" s="87"/>
      <c r="H29" s="87"/>
      <c r="I29" s="87"/>
      <c r="J29" s="87"/>
      <c r="K29" s="308">
        <v>0.19</v>
      </c>
      <c r="L29" s="308">
        <v>0.19</v>
      </c>
      <c r="M29" s="308">
        <v>0.17</v>
      </c>
      <c r="N29" s="308">
        <v>0.17</v>
      </c>
      <c r="O29" s="308">
        <v>0.17</v>
      </c>
      <c r="P29" s="308">
        <v>0.17</v>
      </c>
      <c r="Q29" s="308">
        <v>0.17</v>
      </c>
      <c r="R29" s="308">
        <v>0.17</v>
      </c>
      <c r="S29" s="308">
        <v>0.17</v>
      </c>
      <c r="T29" s="308">
        <v>0.17</v>
      </c>
      <c r="U29" s="308">
        <v>0.17</v>
      </c>
      <c r="V29" s="308">
        <v>0.17</v>
      </c>
      <c r="Y29" s="283" t="s">
        <v>73</v>
      </c>
      <c r="Z29" s="283"/>
      <c r="AA29" s="283"/>
      <c r="AB29" s="283"/>
      <c r="AC29" s="283"/>
      <c r="AD29" s="283"/>
      <c r="AE29" s="283"/>
      <c r="AF29" s="283"/>
      <c r="AG29" s="283"/>
      <c r="AH29" s="283"/>
    </row>
    <row r="30" spans="2:34" ht="12.75" customHeight="1">
      <c r="B30" s="5"/>
      <c r="C30" s="14"/>
      <c r="D30" s="14"/>
      <c r="E30" s="6"/>
      <c r="F30" s="87"/>
      <c r="G30" s="87"/>
      <c r="H30" s="87"/>
      <c r="I30" s="87"/>
      <c r="J30" s="87"/>
      <c r="K30" s="281"/>
      <c r="L30" s="281"/>
      <c r="M30" s="281"/>
      <c r="N30" s="280"/>
      <c r="O30" s="280"/>
      <c r="P30" s="280"/>
      <c r="Q30" s="280"/>
      <c r="R30" s="280"/>
      <c r="S30" s="280"/>
      <c r="T30" s="280"/>
      <c r="U30" s="280"/>
      <c r="V30" s="280"/>
    </row>
    <row r="31" spans="2:34">
      <c r="B31" s="5" t="s">
        <v>74</v>
      </c>
      <c r="C31" s="32" t="s">
        <v>75</v>
      </c>
      <c r="D31" s="32"/>
      <c r="E31" s="32"/>
      <c r="F31" s="91">
        <v>55.5</v>
      </c>
      <c r="G31" s="91">
        <v>65.8</v>
      </c>
      <c r="H31" s="91">
        <v>64.900000000000006</v>
      </c>
      <c r="I31" s="91">
        <v>59.5</v>
      </c>
      <c r="J31" s="91">
        <v>58.4</v>
      </c>
      <c r="K31" s="91">
        <v>48.3</v>
      </c>
      <c r="L31" s="94">
        <f>+('Company fin forecasts'!B13+'Company fin forecasts'!I13)*(1-L29)</f>
        <v>44.483575352980296</v>
      </c>
      <c r="M31" s="94">
        <f>+('Company fin forecasts'!C13+'Company fin forecasts'!J13)*(1-M29)</f>
        <v>39.898109599091057</v>
      </c>
      <c r="N31" s="94">
        <f>+('Company fin forecasts'!D13+'Company fin forecasts'!K13)*(1-N29)</f>
        <v>50.216227255748052</v>
      </c>
      <c r="O31" s="94">
        <f>+('Company fin forecasts'!E13+'Company fin forecasts'!L13)*(1-O29)</f>
        <v>56.826279868259888</v>
      </c>
      <c r="P31" s="94">
        <f>+('Company fin forecasts'!F13+'Company fin forecasts'!M13)*(1-P29)</f>
        <v>56.994620286594618</v>
      </c>
      <c r="Q31" s="5"/>
      <c r="R31" s="5"/>
      <c r="S31" s="5"/>
      <c r="T31" s="5"/>
      <c r="U31" s="5"/>
      <c r="V31" s="5"/>
    </row>
    <row r="32" spans="2:34">
      <c r="B32" s="5"/>
      <c r="C32" s="14" t="s">
        <v>64</v>
      </c>
      <c r="D32" s="14"/>
      <c r="E32" s="6"/>
      <c r="F32" s="6" t="str">
        <f t="shared" ref="F32:P32" si="16">IF(ISERROR(F31/E31-1),"n.a.",F31/E31-1)</f>
        <v>n.a.</v>
      </c>
      <c r="G32" s="6">
        <f t="shared" si="16"/>
        <v>0.18558558558558547</v>
      </c>
      <c r="H32" s="6">
        <f t="shared" si="16"/>
        <v>-1.3677811550151797E-2</v>
      </c>
      <c r="I32" s="6">
        <f t="shared" si="16"/>
        <v>-8.3204930662557852E-2</v>
      </c>
      <c r="J32" s="6">
        <f t="shared" si="16"/>
        <v>-1.8487394957983239E-2</v>
      </c>
      <c r="K32" s="6">
        <f t="shared" si="16"/>
        <v>-0.17294520547945214</v>
      </c>
      <c r="L32" s="6">
        <f t="shared" si="16"/>
        <v>-7.9015003043886201E-2</v>
      </c>
      <c r="M32" s="6">
        <f t="shared" si="16"/>
        <v>-0.10308222119070343</v>
      </c>
      <c r="N32" s="6">
        <f t="shared" si="16"/>
        <v>0.25861169264250194</v>
      </c>
      <c r="O32" s="6">
        <f t="shared" si="16"/>
        <v>0.13163180457279799</v>
      </c>
      <c r="P32" s="6">
        <f t="shared" si="16"/>
        <v>2.9623691490097137E-3</v>
      </c>
      <c r="Q32" s="282"/>
      <c r="R32" s="282"/>
      <c r="S32" s="282"/>
      <c r="T32" s="5"/>
      <c r="U32" s="5"/>
      <c r="V32" s="5"/>
    </row>
    <row r="33" spans="2:34">
      <c r="B33" s="5"/>
      <c r="C33" s="14" t="s">
        <v>70</v>
      </c>
      <c r="D33" s="14"/>
      <c r="E33" s="6"/>
      <c r="F33" s="6">
        <f t="shared" ref="F33:P33" si="17">IF(ISERROR(F31/F$11),"n.a.",F31/F$11)</f>
        <v>5.9061402575289981E-2</v>
      </c>
      <c r="G33" s="6">
        <f t="shared" si="17"/>
        <v>6.5479152154443221E-2</v>
      </c>
      <c r="H33" s="6">
        <f t="shared" si="17"/>
        <v>6.35340186000979E-2</v>
      </c>
      <c r="I33" s="6">
        <f t="shared" si="17"/>
        <v>5.4337899543378997E-2</v>
      </c>
      <c r="J33" s="6">
        <f t="shared" si="17"/>
        <v>5.1449211523213814E-2</v>
      </c>
      <c r="K33" s="6">
        <f>IF(ISERROR(K31/K$11),"n.a.",K31/K$11)</f>
        <v>4.2420516423678202E-2</v>
      </c>
      <c r="L33" s="6">
        <f t="shared" si="17"/>
        <v>3.8707246029229668E-2</v>
      </c>
      <c r="M33" s="6">
        <f t="shared" si="17"/>
        <v>3.1775359820388191E-2</v>
      </c>
      <c r="N33" s="6">
        <f t="shared" si="17"/>
        <v>3.709177171870244E-2</v>
      </c>
      <c r="O33" s="6">
        <f t="shared" si="17"/>
        <v>3.9272455317999319E-2</v>
      </c>
      <c r="P33" s="6">
        <f t="shared" si="17"/>
        <v>3.9507705922708969E-2</v>
      </c>
      <c r="Q33" s="5"/>
      <c r="R33" s="5"/>
      <c r="S33" s="5"/>
      <c r="T33" s="5"/>
      <c r="U33" s="5"/>
      <c r="V33" s="5"/>
    </row>
    <row r="34" spans="2:34">
      <c r="B34" s="5"/>
      <c r="C34" s="93"/>
      <c r="D34" s="93"/>
      <c r="E34" s="93"/>
      <c r="F34" s="125"/>
      <c r="G34" s="125"/>
      <c r="H34" s="125"/>
      <c r="I34" s="125"/>
      <c r="J34" s="125"/>
      <c r="K34" s="125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</row>
    <row r="35" spans="2:34">
      <c r="B35" s="5"/>
      <c r="C35" s="93"/>
      <c r="D35" s="93"/>
      <c r="E35" s="93"/>
      <c r="F35" s="125"/>
      <c r="G35" s="125"/>
      <c r="H35" s="125"/>
      <c r="I35" s="125"/>
      <c r="J35" s="125"/>
      <c r="K35" s="125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</row>
    <row r="36" spans="2:34">
      <c r="B36" s="5"/>
      <c r="C36" s="93"/>
      <c r="D36" s="93"/>
      <c r="E36" s="93"/>
      <c r="F36" s="125"/>
      <c r="G36" s="125"/>
      <c r="H36" s="125"/>
      <c r="I36" s="125"/>
      <c r="J36" s="125"/>
      <c r="K36" s="125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</row>
    <row r="37" spans="2:34" ht="12.75" customHeight="1">
      <c r="B37" s="5"/>
      <c r="C37" s="5"/>
      <c r="D37" s="5"/>
      <c r="E37" s="5"/>
      <c r="F37" s="92"/>
      <c r="G37" s="92"/>
      <c r="H37" s="92"/>
      <c r="I37" s="92"/>
      <c r="J37" s="92"/>
      <c r="K37" s="92"/>
      <c r="L37" s="5"/>
      <c r="M37" s="5"/>
      <c r="N37" s="5"/>
      <c r="O37" s="5"/>
      <c r="P37" s="5"/>
      <c r="S37" s="5"/>
      <c r="T37" s="5"/>
      <c r="U37" s="5"/>
      <c r="V37" s="5"/>
    </row>
    <row r="38" spans="2:34">
      <c r="B38" s="5"/>
      <c r="C38" s="16" t="s">
        <v>76</v>
      </c>
      <c r="D38" s="17"/>
      <c r="E38" s="18"/>
      <c r="F38" s="19"/>
      <c r="G38" s="19"/>
      <c r="H38" s="19"/>
      <c r="I38" s="19"/>
      <c r="J38" s="19"/>
      <c r="K38" s="19"/>
      <c r="L38" s="20"/>
      <c r="M38" s="20"/>
      <c r="N38" s="21"/>
      <c r="O38" s="20"/>
      <c r="P38" s="20"/>
      <c r="Q38" s="20"/>
      <c r="R38" s="20"/>
      <c r="S38" s="24"/>
      <c r="T38" s="20"/>
      <c r="U38" s="20"/>
      <c r="V38" s="307"/>
      <c r="W38" s="6"/>
    </row>
    <row r="39" spans="2:34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2:34">
      <c r="B40" s="5"/>
      <c r="C40" s="32" t="s">
        <v>42</v>
      </c>
      <c r="D40" s="32"/>
      <c r="E40" s="32"/>
      <c r="F40" s="91">
        <v>-30.4</v>
      </c>
      <c r="G40" s="91">
        <v>-37.5</v>
      </c>
      <c r="H40" s="91">
        <v>-40.299999999999997</v>
      </c>
      <c r="I40" s="91">
        <v>-36.1</v>
      </c>
      <c r="J40" s="91">
        <v>-37.299999999999997</v>
      </c>
      <c r="K40" s="91">
        <v>-31</v>
      </c>
      <c r="L40" s="290">
        <f>'Company fin forecasts'!B23</f>
        <v>-36</v>
      </c>
      <c r="M40" s="290">
        <f>'Company fin forecasts'!C23</f>
        <v>-51</v>
      </c>
      <c r="N40" s="290">
        <f>'Company fin forecasts'!D23</f>
        <v>-50</v>
      </c>
      <c r="O40" s="290">
        <f>'Company fin forecasts'!E23</f>
        <v>-50</v>
      </c>
      <c r="P40" s="290">
        <f>'Company fin forecasts'!F23</f>
        <v>-50</v>
      </c>
      <c r="Q40" s="284">
        <f>$P$40</f>
        <v>-50</v>
      </c>
      <c r="R40" s="284">
        <f t="shared" ref="R40:V40" si="18">$P$40</f>
        <v>-50</v>
      </c>
      <c r="S40" s="284">
        <f t="shared" si="18"/>
        <v>-50</v>
      </c>
      <c r="T40" s="284">
        <f t="shared" si="18"/>
        <v>-50</v>
      </c>
      <c r="U40" s="284">
        <f t="shared" si="18"/>
        <v>-50</v>
      </c>
      <c r="V40" s="284">
        <f t="shared" si="18"/>
        <v>-50</v>
      </c>
      <c r="Y40" s="283" t="s">
        <v>77</v>
      </c>
      <c r="Z40" s="283"/>
      <c r="AA40" s="283"/>
      <c r="AB40" s="283"/>
      <c r="AC40" s="283"/>
      <c r="AD40" s="283"/>
      <c r="AE40" s="283"/>
      <c r="AF40" s="283"/>
      <c r="AG40" s="283"/>
      <c r="AH40" s="283"/>
    </row>
    <row r="41" spans="2:34">
      <c r="B41" s="5"/>
      <c r="C41" s="14" t="s">
        <v>64</v>
      </c>
      <c r="D41" s="14"/>
      <c r="E41" s="6"/>
      <c r="F41" s="6" t="str">
        <f t="shared" ref="F41" si="19">IF(ISERROR(F40/E40-1),"n.a.",F40/E40-1)</f>
        <v>n.a.</v>
      </c>
      <c r="G41" s="6">
        <f>IF(ISERROR(G40/F40-1),"n.a.",G40/F40-1)</f>
        <v>0.23355263157894735</v>
      </c>
      <c r="H41" s="6">
        <f t="shared" ref="H41:V41" si="20">IF(ISERROR(H40/G40-1),"n.a.",H40/G40-1)</f>
        <v>7.4666666666666659E-2</v>
      </c>
      <c r="I41" s="6">
        <f t="shared" si="20"/>
        <v>-0.10421836228287829</v>
      </c>
      <c r="J41" s="6">
        <f t="shared" si="20"/>
        <v>3.3240997229916802E-2</v>
      </c>
      <c r="K41" s="6">
        <f t="shared" si="20"/>
        <v>-0.16890080428954413</v>
      </c>
      <c r="L41" s="6">
        <f t="shared" si="20"/>
        <v>0.16129032258064524</v>
      </c>
      <c r="M41" s="6">
        <f t="shared" si="20"/>
        <v>0.41666666666666674</v>
      </c>
      <c r="N41" s="6">
        <f t="shared" si="20"/>
        <v>-1.9607843137254943E-2</v>
      </c>
      <c r="O41" s="6">
        <f t="shared" si="20"/>
        <v>0</v>
      </c>
      <c r="P41" s="6">
        <f t="shared" si="20"/>
        <v>0</v>
      </c>
      <c r="Q41" s="6">
        <f t="shared" si="20"/>
        <v>0</v>
      </c>
      <c r="R41" s="6">
        <f t="shared" si="20"/>
        <v>0</v>
      </c>
      <c r="S41" s="6">
        <f t="shared" si="20"/>
        <v>0</v>
      </c>
      <c r="T41" s="6">
        <f t="shared" si="20"/>
        <v>0</v>
      </c>
      <c r="U41" s="6">
        <f t="shared" si="20"/>
        <v>0</v>
      </c>
      <c r="V41" s="6">
        <f t="shared" si="20"/>
        <v>0</v>
      </c>
    </row>
    <row r="42" spans="2:34" ht="12.75" customHeight="1">
      <c r="B42" s="14"/>
      <c r="C42" s="14" t="s">
        <v>78</v>
      </c>
      <c r="D42" s="14"/>
      <c r="E42" s="6"/>
      <c r="F42" s="102">
        <f t="shared" ref="F42:V42" si="21">IF(ISERROR(-F40/F$11),"n.a.",-F40/F$11)</f>
        <v>3.2350750239438113E-2</v>
      </c>
      <c r="G42" s="102">
        <f t="shared" si="21"/>
        <v>3.7317145984675094E-2</v>
      </c>
      <c r="H42" s="102">
        <f t="shared" si="21"/>
        <v>3.9451786588350461E-2</v>
      </c>
      <c r="I42" s="102">
        <f t="shared" si="21"/>
        <v>3.2968036529680368E-2</v>
      </c>
      <c r="J42" s="102">
        <f t="shared" si="21"/>
        <v>3.2860540921504713E-2</v>
      </c>
      <c r="K42" s="102">
        <f t="shared" si="21"/>
        <v>2.7226418408571932E-2</v>
      </c>
      <c r="L42" s="102">
        <f t="shared" si="21"/>
        <v>3.1325289075688233E-2</v>
      </c>
      <c r="M42" s="102">
        <f t="shared" si="21"/>
        <v>4.0617045948380379E-2</v>
      </c>
      <c r="N42" s="102">
        <f t="shared" si="21"/>
        <v>3.6932057370415751E-2</v>
      </c>
      <c r="O42" s="102">
        <f t="shared" si="21"/>
        <v>3.4554835728332456E-2</v>
      </c>
      <c r="P42" s="102">
        <f t="shared" si="21"/>
        <v>3.4659153551726836E-2</v>
      </c>
      <c r="Q42" s="102">
        <f t="shared" si="21"/>
        <v>3.3979562305614552E-2</v>
      </c>
      <c r="R42" s="102">
        <f t="shared" ca="1" si="21"/>
        <v>3.3378744897460261E-2</v>
      </c>
      <c r="S42" s="102">
        <f t="shared" ca="1" si="21"/>
        <v>3.2853095371516004E-2</v>
      </c>
      <c r="T42" s="102">
        <f t="shared" ca="1" si="21"/>
        <v>3.239950233877318E-2</v>
      </c>
      <c r="U42" s="102">
        <f t="shared" ca="1" si="21"/>
        <v>3.2015318516574284E-2</v>
      </c>
      <c r="V42" s="102">
        <f t="shared" ca="1" si="21"/>
        <v>3.1698335164925033E-2</v>
      </c>
    </row>
    <row r="43" spans="2:34">
      <c r="B43" s="14"/>
      <c r="C43" s="14" t="s">
        <v>79</v>
      </c>
      <c r="D43" s="14"/>
      <c r="E43" s="6"/>
      <c r="F43" s="6">
        <f t="shared" ref="F43:V43" si="22">(F15+F40)/F15</f>
        <v>0.69930761622156279</v>
      </c>
      <c r="G43" s="6">
        <f t="shared" si="22"/>
        <v>0.65878070973612379</v>
      </c>
      <c r="H43" s="6">
        <f t="shared" si="22"/>
        <v>0.64834205933682376</v>
      </c>
      <c r="I43" s="6">
        <f t="shared" si="22"/>
        <v>0.66789328426862915</v>
      </c>
      <c r="J43" s="6">
        <f t="shared" si="22"/>
        <v>0.65936073059360734</v>
      </c>
      <c r="K43" s="6">
        <f t="shared" si="22"/>
        <v>0.68431771894093685</v>
      </c>
      <c r="L43" s="6">
        <f t="shared" si="22"/>
        <v>0.61762010654500032</v>
      </c>
      <c r="M43" s="6">
        <f t="shared" si="22"/>
        <v>0.31654478233984823</v>
      </c>
      <c r="N43" s="6">
        <f t="shared" si="22"/>
        <v>0.52400906915464163</v>
      </c>
      <c r="O43" s="6">
        <f t="shared" si="22"/>
        <v>0.60169961163028529</v>
      </c>
      <c r="P43" s="6">
        <f t="shared" si="22"/>
        <v>0.59251229536634975</v>
      </c>
      <c r="Q43" s="6">
        <f t="shared" ca="1" si="22"/>
        <v>0.60433558531714537</v>
      </c>
      <c r="R43" s="6">
        <f t="shared" ca="1" si="22"/>
        <v>0.61502559409954294</v>
      </c>
      <c r="S43" s="6">
        <f t="shared" ca="1" si="22"/>
        <v>0.62465552806364177</v>
      </c>
      <c r="T43" s="6">
        <f t="shared" ca="1" si="22"/>
        <v>0.63329026471422023</v>
      </c>
      <c r="U43" s="6">
        <f t="shared" ca="1" si="22"/>
        <v>0.64098707910933894</v>
      </c>
      <c r="V43" s="6">
        <f t="shared" ca="1" si="22"/>
        <v>0.64779627594527744</v>
      </c>
    </row>
    <row r="44" spans="2:34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34">
      <c r="C45" s="32" t="s">
        <v>80</v>
      </c>
      <c r="D45" s="32"/>
      <c r="E45" s="32"/>
      <c r="F45" s="91">
        <f>-17+1+10.7</f>
        <v>-5.3000000000000007</v>
      </c>
      <c r="G45" s="91">
        <f>0.9-3+27.2</f>
        <v>25.099999999999998</v>
      </c>
      <c r="H45" s="91">
        <f>-8.6-4.9+2.3</f>
        <v>-11.2</v>
      </c>
      <c r="I45" s="91">
        <f>-33.2+2.3+14.6</f>
        <v>-16.300000000000004</v>
      </c>
      <c r="J45" s="91">
        <f>-4.4+2.4-10.6</f>
        <v>-12.6</v>
      </c>
      <c r="K45" s="91">
        <f>11.9-3.1-19.2</f>
        <v>-10.399999999999999</v>
      </c>
      <c r="L45" s="290">
        <f>'Company fin forecasts'!B27</f>
        <v>6</v>
      </c>
      <c r="M45" s="290">
        <f>'Company fin forecasts'!C27</f>
        <v>16.111954440903407</v>
      </c>
      <c r="N45" s="290">
        <f>'Company fin forecasts'!D27</f>
        <v>15.168892666804709</v>
      </c>
      <c r="O45" s="290">
        <f>'Company fin forecasts'!E27</f>
        <v>11.110216900668604</v>
      </c>
      <c r="P45" s="290">
        <f>'Company fin forecasts'!F27</f>
        <v>3.9548595532390358</v>
      </c>
      <c r="Q45" s="88">
        <f t="shared" ref="Q45:V45" si="23">Q47*Q11</f>
        <v>0</v>
      </c>
      <c r="R45" s="88">
        <f t="shared" ca="1" si="23"/>
        <v>0</v>
      </c>
      <c r="S45" s="88">
        <f t="shared" ca="1" si="23"/>
        <v>0</v>
      </c>
      <c r="T45" s="88">
        <f t="shared" ca="1" si="23"/>
        <v>0</v>
      </c>
      <c r="U45" s="88">
        <f t="shared" ca="1" si="23"/>
        <v>0</v>
      </c>
      <c r="V45" s="88">
        <f t="shared" ca="1" si="23"/>
        <v>0</v>
      </c>
      <c r="Y45" s="283" t="s">
        <v>81</v>
      </c>
      <c r="Z45" s="283"/>
      <c r="AA45" s="283"/>
      <c r="AB45" s="283"/>
      <c r="AC45" s="283"/>
      <c r="AD45" s="283"/>
      <c r="AE45" s="283"/>
      <c r="AF45" s="283"/>
      <c r="AG45" s="283"/>
      <c r="AH45" s="283"/>
    </row>
    <row r="46" spans="2:34">
      <c r="C46" s="14" t="s">
        <v>64</v>
      </c>
      <c r="D46" s="93"/>
      <c r="E46" s="93"/>
      <c r="F46" s="6" t="str">
        <f t="shared" ref="F46:V46" si="24">IF(ISERROR(F45/E45-1),"n.a.",F45/E45-1)</f>
        <v>n.a.</v>
      </c>
      <c r="G46" s="6">
        <f t="shared" si="24"/>
        <v>-5.7358490566037723</v>
      </c>
      <c r="H46" s="6">
        <f t="shared" si="24"/>
        <v>-1.4462151394422311</v>
      </c>
      <c r="I46" s="6">
        <f t="shared" si="24"/>
        <v>0.45535714285714324</v>
      </c>
      <c r="J46" s="6">
        <f t="shared" si="24"/>
        <v>-0.22699386503067509</v>
      </c>
      <c r="K46" s="6">
        <f t="shared" si="24"/>
        <v>-0.17460317460317465</v>
      </c>
      <c r="L46" s="6">
        <f t="shared" si="24"/>
        <v>-1.5769230769230771</v>
      </c>
      <c r="M46" s="6">
        <f t="shared" si="24"/>
        <v>1.6853257401505677</v>
      </c>
      <c r="N46" s="6">
        <f t="shared" si="24"/>
        <v>-5.8531804912788754E-2</v>
      </c>
      <c r="O46" s="6">
        <f t="shared" si="24"/>
        <v>-0.26756572515131749</v>
      </c>
      <c r="P46" s="6">
        <f t="shared" si="24"/>
        <v>-0.64403399244158455</v>
      </c>
      <c r="Q46" s="6">
        <f t="shared" si="24"/>
        <v>-1</v>
      </c>
      <c r="R46" s="6" t="str">
        <f t="shared" ca="1" si="24"/>
        <v>n.a.</v>
      </c>
      <c r="S46" s="6" t="str">
        <f t="shared" ca="1" si="24"/>
        <v>n.a.</v>
      </c>
      <c r="T46" s="6" t="str">
        <f t="shared" ca="1" si="24"/>
        <v>n.a.</v>
      </c>
      <c r="U46" s="6" t="str">
        <f t="shared" ca="1" si="24"/>
        <v>n.a.</v>
      </c>
      <c r="V46" s="6" t="str">
        <f t="shared" ca="1" si="24"/>
        <v>n.a.</v>
      </c>
    </row>
    <row r="47" spans="2:34">
      <c r="C47" s="14" t="s">
        <v>78</v>
      </c>
      <c r="D47" s="14"/>
      <c r="E47" s="6"/>
      <c r="F47" s="6">
        <f t="shared" ref="F47:P47" si="25">IF(ISERROR(F45/F$11),"n.a.",F45/F$11)</f>
        <v>-5.6400979035862511E-3</v>
      </c>
      <c r="G47" s="6">
        <f t="shared" si="25"/>
        <v>2.4977609712409192E-2</v>
      </c>
      <c r="H47" s="6">
        <f t="shared" si="25"/>
        <v>-1.0964268232990699E-2</v>
      </c>
      <c r="I47" s="6">
        <f t="shared" si="25"/>
        <v>-1.4885844748858451E-2</v>
      </c>
      <c r="J47" s="6">
        <f t="shared" si="25"/>
        <v>-1.1100343582063256E-2</v>
      </c>
      <c r="K47" s="6">
        <f t="shared" si="25"/>
        <v>-9.1340242402950991E-3</v>
      </c>
      <c r="L47" s="6">
        <f t="shared" si="25"/>
        <v>5.2208815126147052E-3</v>
      </c>
      <c r="M47" s="6">
        <f t="shared" si="25"/>
        <v>1.2831764585184018E-2</v>
      </c>
      <c r="N47" s="6">
        <f t="shared" si="25"/>
        <v>1.1204368284322206E-2</v>
      </c>
      <c r="O47" s="6">
        <f t="shared" si="25"/>
        <v>7.6782343981749305E-3</v>
      </c>
      <c r="P47" s="6">
        <f t="shared" si="25"/>
        <v>2.741441690624511E-3</v>
      </c>
      <c r="Q47" s="308">
        <v>0</v>
      </c>
      <c r="R47" s="6">
        <f t="shared" ref="R47:V47" si="26">Q47</f>
        <v>0</v>
      </c>
      <c r="S47" s="6">
        <f t="shared" si="26"/>
        <v>0</v>
      </c>
      <c r="T47" s="6">
        <f t="shared" si="26"/>
        <v>0</v>
      </c>
      <c r="U47" s="6">
        <f t="shared" si="26"/>
        <v>0</v>
      </c>
      <c r="V47" s="6">
        <f t="shared" si="26"/>
        <v>0</v>
      </c>
    </row>
    <row r="48" spans="2:34">
      <c r="C48" s="14"/>
      <c r="D48" s="1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2:34" ht="12.75">
      <c r="B49" s="5"/>
      <c r="C49" s="32" t="s">
        <v>82</v>
      </c>
      <c r="D49" s="32"/>
      <c r="E49" s="32"/>
      <c r="F49" s="91"/>
      <c r="G49" s="91"/>
      <c r="H49" s="91"/>
      <c r="I49" s="91"/>
      <c r="J49" s="91">
        <v>-1.5</v>
      </c>
      <c r="K49" s="91">
        <v>0.74</v>
      </c>
      <c r="L49" s="290">
        <f>'Company fin forecasts'!B29</f>
        <v>0</v>
      </c>
      <c r="M49" s="290">
        <f>'Company fin forecasts'!C29</f>
        <v>0</v>
      </c>
      <c r="N49" s="290">
        <f>'Company fin forecasts'!D29</f>
        <v>-5</v>
      </c>
      <c r="O49" s="290">
        <f>'Company fin forecasts'!E29</f>
        <v>-5</v>
      </c>
      <c r="P49" s="290">
        <f>'Company fin forecasts'!F29</f>
        <v>-5</v>
      </c>
      <c r="Q49" s="290">
        <f>$P$49</f>
        <v>-5</v>
      </c>
      <c r="R49" s="290">
        <f t="shared" ref="R49:V49" si="27">$P$49</f>
        <v>-5</v>
      </c>
      <c r="S49" s="290">
        <f t="shared" si="27"/>
        <v>-5</v>
      </c>
      <c r="T49" s="290">
        <f t="shared" si="27"/>
        <v>-5</v>
      </c>
      <c r="U49" s="290">
        <f t="shared" si="27"/>
        <v>-5</v>
      </c>
      <c r="V49" s="290">
        <f t="shared" si="27"/>
        <v>-5</v>
      </c>
      <c r="Y49" s="283" t="s">
        <v>83</v>
      </c>
      <c r="Z49" s="283"/>
      <c r="AA49" s="283"/>
      <c r="AB49" s="283"/>
      <c r="AC49" s="283"/>
      <c r="AD49" s="283"/>
      <c r="AE49" s="283"/>
      <c r="AF49" s="283"/>
      <c r="AG49" s="283"/>
      <c r="AH49" s="283"/>
    </row>
    <row r="50" spans="2:34">
      <c r="B50" s="5"/>
      <c r="C50" s="14" t="s">
        <v>64</v>
      </c>
      <c r="D50" s="14"/>
      <c r="E50" s="6"/>
      <c r="F50" s="6" t="str">
        <f t="shared" ref="F50" si="28">IF(ISERROR(F49/E49-1),"n.a.",F49/E49-1)</f>
        <v>n.a.</v>
      </c>
      <c r="G50" s="6" t="str">
        <f>IF(ISERROR(G49/F49-1),"n.a.",G49/F49-1)</f>
        <v>n.a.</v>
      </c>
      <c r="H50" s="6" t="str">
        <f t="shared" ref="H50" si="29">IF(ISERROR(H49/G49-1),"n.a.",H49/G49-1)</f>
        <v>n.a.</v>
      </c>
      <c r="I50" s="6" t="str">
        <f t="shared" ref="I50" si="30">IF(ISERROR(I49/H49-1),"n.a.",I49/H49-1)</f>
        <v>n.a.</v>
      </c>
      <c r="J50" s="6" t="str">
        <f t="shared" ref="J50" si="31">IF(ISERROR(J49/I49-1),"n.a.",J49/I49-1)</f>
        <v>n.a.</v>
      </c>
      <c r="K50" s="6">
        <f t="shared" ref="K50" si="32">IF(ISERROR(K49/J49-1),"n.a.",K49/J49-1)</f>
        <v>-1.4933333333333334</v>
      </c>
      <c r="L50" s="6">
        <f t="shared" ref="L50" si="33">IF(ISERROR(L49/K49-1),"n.a.",L49/K49-1)</f>
        <v>-1</v>
      </c>
      <c r="M50" s="6" t="str">
        <f t="shared" ref="M50" si="34">IF(ISERROR(M49/L49-1),"n.a.",M49/L49-1)</f>
        <v>n.a.</v>
      </c>
      <c r="N50" s="6" t="str">
        <f t="shared" ref="N50" si="35">IF(ISERROR(N49/M49-1),"n.a.",N49/M49-1)</f>
        <v>n.a.</v>
      </c>
      <c r="O50" s="6">
        <f t="shared" ref="O50" si="36">IF(ISERROR(O49/N49-1),"n.a.",O49/N49-1)</f>
        <v>0</v>
      </c>
      <c r="P50" s="6">
        <f t="shared" ref="P50" si="37">IF(ISERROR(P49/O49-1),"n.a.",P49/O49-1)</f>
        <v>0</v>
      </c>
      <c r="Q50" s="6">
        <f t="shared" ref="Q50" si="38">IF(ISERROR(Q49/P49-1),"n.a.",Q49/P49-1)</f>
        <v>0</v>
      </c>
      <c r="R50" s="6">
        <f t="shared" ref="R50" si="39">IF(ISERROR(R49/Q49-1),"n.a.",R49/Q49-1)</f>
        <v>0</v>
      </c>
      <c r="S50" s="6">
        <f t="shared" ref="S50" si="40">IF(ISERROR(S49/R49-1),"n.a.",S49/R49-1)</f>
        <v>0</v>
      </c>
      <c r="T50" s="6">
        <f t="shared" ref="T50" si="41">IF(ISERROR(T49/S49-1),"n.a.",T49/S49-1)</f>
        <v>0</v>
      </c>
      <c r="U50" s="6">
        <f t="shared" ref="U50" si="42">IF(ISERROR(U49/T49-1),"n.a.",U49/T49-1)</f>
        <v>0</v>
      </c>
      <c r="V50" s="6">
        <f t="shared" ref="V50" si="43">IF(ISERROR(V49/U49-1),"n.a.",V49/U49-1)</f>
        <v>0</v>
      </c>
    </row>
    <row r="51" spans="2:34" ht="12.75" customHeight="1">
      <c r="B51" s="14"/>
      <c r="C51" s="14" t="s">
        <v>78</v>
      </c>
      <c r="D51" s="14"/>
      <c r="E51" s="6"/>
      <c r="F51" s="102">
        <f t="shared" ref="F51:V51" si="44">IF(ISERROR(-F49/F$11),"n.a.",-F49/F$11)</f>
        <v>0</v>
      </c>
      <c r="G51" s="102">
        <f t="shared" si="44"/>
        <v>0</v>
      </c>
      <c r="H51" s="102">
        <f t="shared" si="44"/>
        <v>0</v>
      </c>
      <c r="I51" s="102">
        <f t="shared" si="44"/>
        <v>0</v>
      </c>
      <c r="J51" s="102">
        <f t="shared" si="44"/>
        <v>1.3214694740551493E-3</v>
      </c>
      <c r="K51" s="102">
        <f t="shared" si="44"/>
        <v>-6.4992095555945904E-4</v>
      </c>
      <c r="L51" s="102">
        <f t="shared" si="44"/>
        <v>0</v>
      </c>
      <c r="M51" s="102">
        <f t="shared" si="44"/>
        <v>0</v>
      </c>
      <c r="N51" s="102">
        <f t="shared" si="44"/>
        <v>3.6932057370415751E-3</v>
      </c>
      <c r="O51" s="102">
        <f t="shared" si="44"/>
        <v>3.4554835728332453E-3</v>
      </c>
      <c r="P51" s="102">
        <f t="shared" si="44"/>
        <v>3.4659153551726838E-3</v>
      </c>
      <c r="Q51" s="102">
        <f t="shared" si="44"/>
        <v>3.3979562305614551E-3</v>
      </c>
      <c r="R51" s="102">
        <f t="shared" ca="1" si="44"/>
        <v>3.3378744897460265E-3</v>
      </c>
      <c r="S51" s="102">
        <f t="shared" ca="1" si="44"/>
        <v>3.2853095371516007E-3</v>
      </c>
      <c r="T51" s="102">
        <f t="shared" ca="1" si="44"/>
        <v>3.2399502338773178E-3</v>
      </c>
      <c r="U51" s="102">
        <f t="shared" ca="1" si="44"/>
        <v>3.2015318516574287E-3</v>
      </c>
      <c r="V51" s="102">
        <f t="shared" ca="1" si="44"/>
        <v>3.1698335164925037E-3</v>
      </c>
    </row>
    <row r="52" spans="2:34">
      <c r="C52" s="14"/>
      <c r="D52" s="1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2:34">
      <c r="B53" s="5"/>
      <c r="C53" s="32" t="s">
        <v>84</v>
      </c>
      <c r="D53" s="32"/>
      <c r="E53" s="32"/>
      <c r="F53" s="91"/>
      <c r="G53" s="91"/>
      <c r="H53" s="91"/>
      <c r="I53" s="91"/>
      <c r="J53" s="91">
        <v>0</v>
      </c>
      <c r="K53" s="91">
        <v>0</v>
      </c>
      <c r="L53" s="290">
        <f>'Company fin forecasts'!B15+'Company fin forecasts'!B22</f>
        <v>0</v>
      </c>
      <c r="M53" s="290">
        <f>'Company fin forecasts'!C15+'Company fin forecasts'!C22</f>
        <v>-18.004468664734777</v>
      </c>
      <c r="N53" s="290">
        <f>'Company fin forecasts'!D15+'Company fin forecasts'!D22</f>
        <v>-6.7527180429793674</v>
      </c>
      <c r="O53" s="290">
        <f>'Company fin forecasts'!E15+'Company fin forecasts'!E22</f>
        <v>25.138454026318882</v>
      </c>
      <c r="P53" s="290">
        <f>'Company fin forecasts'!F15+'Company fin forecasts'!F22</f>
        <v>-4.8650405710493061</v>
      </c>
      <c r="Q53" s="91">
        <v>0</v>
      </c>
      <c r="R53" s="91">
        <f t="shared" ref="R53:V53" si="45">+Q53</f>
        <v>0</v>
      </c>
      <c r="S53" s="91">
        <f t="shared" si="45"/>
        <v>0</v>
      </c>
      <c r="T53" s="91">
        <f t="shared" si="45"/>
        <v>0</v>
      </c>
      <c r="U53" s="91">
        <f t="shared" si="45"/>
        <v>0</v>
      </c>
      <c r="V53" s="91">
        <f t="shared" si="45"/>
        <v>0</v>
      </c>
      <c r="Y53" s="283" t="s">
        <v>60</v>
      </c>
      <c r="Z53" s="283"/>
      <c r="AA53" s="283"/>
      <c r="AB53" s="283"/>
      <c r="AC53" s="283"/>
      <c r="AD53" s="283"/>
      <c r="AE53" s="283"/>
      <c r="AF53" s="283"/>
      <c r="AG53" s="283"/>
      <c r="AH53" s="283"/>
    </row>
    <row r="54" spans="2:34">
      <c r="B54" s="5"/>
      <c r="C54" s="14" t="s">
        <v>64</v>
      </c>
      <c r="D54" s="14"/>
      <c r="E54" s="6"/>
      <c r="F54" s="6" t="str">
        <f t="shared" ref="F54" si="46">IF(ISERROR(F53/E53-1),"n.a.",F53/E53-1)</f>
        <v>n.a.</v>
      </c>
      <c r="G54" s="6" t="str">
        <f>IF(ISERROR(G53/F53-1),"n.a.",G53/F53-1)</f>
        <v>n.a.</v>
      </c>
      <c r="H54" s="6" t="str">
        <f t="shared" ref="H54" si="47">IF(ISERROR(H53/G53-1),"n.a.",H53/G53-1)</f>
        <v>n.a.</v>
      </c>
      <c r="I54" s="6" t="str">
        <f t="shared" ref="I54" si="48">IF(ISERROR(I53/H53-1),"n.a.",I53/H53-1)</f>
        <v>n.a.</v>
      </c>
      <c r="J54" s="6" t="str">
        <f t="shared" ref="J54" si="49">IF(ISERROR(J53/I53-1),"n.a.",J53/I53-1)</f>
        <v>n.a.</v>
      </c>
      <c r="K54" s="6" t="str">
        <f t="shared" ref="K54" si="50">IF(ISERROR(K53/J53-1),"n.a.",K53/J53-1)</f>
        <v>n.a.</v>
      </c>
      <c r="L54" s="6" t="str">
        <f t="shared" ref="L54" si="51">IF(ISERROR(L53/K53-1),"n.a.",L53/K53-1)</f>
        <v>n.a.</v>
      </c>
      <c r="M54" s="6" t="str">
        <f t="shared" ref="M54" si="52">IF(ISERROR(M53/L53-1),"n.a.",M53/L53-1)</f>
        <v>n.a.</v>
      </c>
      <c r="N54" s="6">
        <f t="shared" ref="N54" si="53">IF(ISERROR(N53/M53-1),"n.a.",N53/M53-1)</f>
        <v>-0.62494210916616122</v>
      </c>
      <c r="O54" s="6">
        <f t="shared" ref="O54" si="54">IF(ISERROR(O53/N53-1),"n.a.",O53/N53-1)</f>
        <v>-4.722716373809611</v>
      </c>
      <c r="P54" s="6">
        <f t="shared" ref="P54" si="55">IF(ISERROR(P53/O53-1),"n.a.",P53/O53-1)</f>
        <v>-1.1935298235108578</v>
      </c>
      <c r="Q54" s="6">
        <f t="shared" ref="Q54" si="56">IF(ISERROR(Q53/P53-1),"n.a.",Q53/P53-1)</f>
        <v>-1</v>
      </c>
      <c r="R54" s="6" t="str">
        <f t="shared" ref="R54" si="57">IF(ISERROR(R53/Q53-1),"n.a.",R53/Q53-1)</f>
        <v>n.a.</v>
      </c>
      <c r="S54" s="6" t="str">
        <f t="shared" ref="S54" si="58">IF(ISERROR(S53/R53-1),"n.a.",S53/R53-1)</f>
        <v>n.a.</v>
      </c>
      <c r="T54" s="6" t="str">
        <f t="shared" ref="T54" si="59">IF(ISERROR(T53/S53-1),"n.a.",T53/S53-1)</f>
        <v>n.a.</v>
      </c>
      <c r="U54" s="6" t="str">
        <f t="shared" ref="U54" si="60">IF(ISERROR(U53/T53-1),"n.a.",U53/T53-1)</f>
        <v>n.a.</v>
      </c>
      <c r="V54" s="6" t="str">
        <f t="shared" ref="V54" si="61">IF(ISERROR(V53/U53-1),"n.a.",V53/U53-1)</f>
        <v>n.a.</v>
      </c>
    </row>
    <row r="55" spans="2:34" ht="12.75" customHeight="1">
      <c r="B55" s="14"/>
      <c r="C55" s="14" t="s">
        <v>78</v>
      </c>
      <c r="D55" s="14"/>
      <c r="E55" s="6"/>
      <c r="F55" s="102">
        <f t="shared" ref="F55:V55" si="62">IF(ISERROR(-F53/F$11),"n.a.",-F53/F$11)</f>
        <v>0</v>
      </c>
      <c r="G55" s="102">
        <f t="shared" si="62"/>
        <v>0</v>
      </c>
      <c r="H55" s="102">
        <f t="shared" si="62"/>
        <v>0</v>
      </c>
      <c r="I55" s="102">
        <f t="shared" si="62"/>
        <v>0</v>
      </c>
      <c r="J55" s="102">
        <f t="shared" si="62"/>
        <v>0</v>
      </c>
      <c r="K55" s="102">
        <f t="shared" si="62"/>
        <v>0</v>
      </c>
      <c r="L55" s="102">
        <f t="shared" si="62"/>
        <v>0</v>
      </c>
      <c r="M55" s="102">
        <f t="shared" si="62"/>
        <v>1.433898688297465E-2</v>
      </c>
      <c r="N55" s="102">
        <f t="shared" si="62"/>
        <v>4.9878354033911108E-3</v>
      </c>
      <c r="O55" s="102">
        <f t="shared" si="62"/>
        <v>-1.737310298687373E-2</v>
      </c>
      <c r="P55" s="102">
        <f t="shared" si="62"/>
        <v>3.3723637637475745E-3</v>
      </c>
      <c r="Q55" s="102">
        <f t="shared" si="62"/>
        <v>0</v>
      </c>
      <c r="R55" s="102">
        <f t="shared" ca="1" si="62"/>
        <v>0</v>
      </c>
      <c r="S55" s="102">
        <f t="shared" ca="1" si="62"/>
        <v>0</v>
      </c>
      <c r="T55" s="102">
        <f t="shared" ca="1" si="62"/>
        <v>0</v>
      </c>
      <c r="U55" s="102">
        <f t="shared" ca="1" si="62"/>
        <v>0</v>
      </c>
      <c r="V55" s="102">
        <f t="shared" ca="1" si="62"/>
        <v>0</v>
      </c>
    </row>
    <row r="56" spans="2:34">
      <c r="L56" s="186"/>
      <c r="M56" s="186"/>
    </row>
    <row r="57" spans="2:34">
      <c r="C57" s="311" t="s">
        <v>85</v>
      </c>
      <c r="D57" s="312"/>
      <c r="E57" s="313"/>
      <c r="F57" s="314"/>
      <c r="G57" s="314"/>
      <c r="H57" s="314"/>
      <c r="I57" s="314"/>
      <c r="J57" s="314"/>
      <c r="K57" s="314"/>
      <c r="L57" s="313"/>
      <c r="M57" s="314"/>
      <c r="N57" s="312"/>
      <c r="O57" s="312"/>
      <c r="P57" s="312"/>
      <c r="Q57" s="312"/>
      <c r="R57" s="312"/>
      <c r="S57" s="312"/>
      <c r="T57" s="312"/>
      <c r="U57" s="312"/>
      <c r="V57" s="312"/>
    </row>
    <row r="58" spans="2:34">
      <c r="C58" s="61" t="s">
        <v>86</v>
      </c>
      <c r="D58" s="61"/>
      <c r="E58" s="83"/>
      <c r="F58" s="179">
        <f t="shared" ref="F58:V58" si="63">F9</f>
        <v>41729</v>
      </c>
      <c r="G58" s="179">
        <f t="shared" si="63"/>
        <v>42094</v>
      </c>
      <c r="H58" s="179">
        <f t="shared" si="63"/>
        <v>42460</v>
      </c>
      <c r="I58" s="179">
        <f t="shared" si="63"/>
        <v>42825</v>
      </c>
      <c r="J58" s="179">
        <f t="shared" si="63"/>
        <v>43190</v>
      </c>
      <c r="K58" s="179">
        <f t="shared" si="63"/>
        <v>43555</v>
      </c>
      <c r="L58" s="180">
        <f t="shared" si="63"/>
        <v>43921</v>
      </c>
      <c r="M58" s="180">
        <f t="shared" si="63"/>
        <v>44286</v>
      </c>
      <c r="N58" s="180">
        <f t="shared" si="63"/>
        <v>44651</v>
      </c>
      <c r="O58" s="180">
        <f t="shared" si="63"/>
        <v>45016</v>
      </c>
      <c r="P58" s="180">
        <f t="shared" si="63"/>
        <v>45382</v>
      </c>
      <c r="Q58" s="180">
        <f t="shared" si="63"/>
        <v>45747</v>
      </c>
      <c r="R58" s="180">
        <f t="shared" si="63"/>
        <v>46112</v>
      </c>
      <c r="S58" s="180">
        <f t="shared" si="63"/>
        <v>46477</v>
      </c>
      <c r="T58" s="180">
        <f t="shared" si="63"/>
        <v>46843</v>
      </c>
      <c r="U58" s="180">
        <f t="shared" si="63"/>
        <v>47208</v>
      </c>
      <c r="V58" s="180">
        <f t="shared" si="63"/>
        <v>47573</v>
      </c>
    </row>
    <row r="59" spans="2:34">
      <c r="C59" s="85"/>
      <c r="D59" s="85"/>
      <c r="E59" s="86"/>
      <c r="F59" s="181"/>
      <c r="G59" s="181"/>
      <c r="H59" s="181"/>
      <c r="I59" s="181"/>
      <c r="J59" s="181"/>
      <c r="K59" s="181"/>
      <c r="L59" s="181"/>
      <c r="M59" s="181"/>
      <c r="N59" s="181"/>
      <c r="O59" s="181"/>
      <c r="P59" s="181"/>
      <c r="Q59" s="181"/>
      <c r="R59" s="181"/>
      <c r="S59" s="181"/>
      <c r="T59" s="181"/>
      <c r="U59" s="181"/>
      <c r="V59" s="181"/>
    </row>
    <row r="60" spans="2:34">
      <c r="C60" s="177" t="s">
        <v>26</v>
      </c>
      <c r="D60" s="177"/>
      <c r="E60" s="177"/>
      <c r="F60" s="182">
        <f t="shared" ref="F60:O60" si="64">F11</f>
        <v>939.7</v>
      </c>
      <c r="G60" s="182">
        <f t="shared" si="64"/>
        <v>1004.9</v>
      </c>
      <c r="H60" s="182">
        <f t="shared" si="64"/>
        <v>1021.5</v>
      </c>
      <c r="I60" s="182">
        <f t="shared" si="64"/>
        <v>1095</v>
      </c>
      <c r="J60" s="182">
        <f t="shared" si="64"/>
        <v>1135.0999999999999</v>
      </c>
      <c r="K60" s="182">
        <f t="shared" si="64"/>
        <v>1138.5999999999999</v>
      </c>
      <c r="L60" s="182">
        <f t="shared" si="64"/>
        <v>1149.2312142121568</v>
      </c>
      <c r="M60" s="182">
        <f t="shared" si="64"/>
        <v>1255.6304578332745</v>
      </c>
      <c r="N60" s="182">
        <f t="shared" si="64"/>
        <v>1353.8373857301615</v>
      </c>
      <c r="O60" s="182">
        <f t="shared" si="64"/>
        <v>1446.9754795854415</v>
      </c>
      <c r="P60" s="182">
        <f t="shared" ref="P60:V60" si="65">P11</f>
        <v>1442.6203434361953</v>
      </c>
      <c r="Q60" s="182">
        <f t="shared" si="65"/>
        <v>1471.4727503049191</v>
      </c>
      <c r="R60" s="182">
        <f t="shared" ca="1" si="65"/>
        <v>1497.9592598104077</v>
      </c>
      <c r="S60" s="182">
        <f t="shared" ca="1" si="65"/>
        <v>1521.9266079673744</v>
      </c>
      <c r="T60" s="182">
        <f t="shared" ca="1" si="65"/>
        <v>1543.2335804789177</v>
      </c>
      <c r="U60" s="182">
        <f t="shared" ca="1" si="65"/>
        <v>1561.7523834446647</v>
      </c>
      <c r="V60" s="182">
        <f t="shared" ca="1" si="65"/>
        <v>1577.3699072791114</v>
      </c>
    </row>
    <row r="61" spans="2:34">
      <c r="C61" s="174" t="s">
        <v>64</v>
      </c>
      <c r="D61" s="173"/>
      <c r="E61" s="175"/>
      <c r="F61" s="183" t="str">
        <f>IF(ISERROR(F60/E60-1),"n.a.",F60/E60-1)</f>
        <v>n.a.</v>
      </c>
      <c r="G61" s="183">
        <f t="shared" ref="G61:V61" si="66">IF(ISERROR(G60/F60-1),"n.a.",G60/F60-1)</f>
        <v>6.9383845908268516E-2</v>
      </c>
      <c r="H61" s="183">
        <f t="shared" si="66"/>
        <v>1.6519056622549488E-2</v>
      </c>
      <c r="I61" s="183">
        <f t="shared" si="66"/>
        <v>7.1953010279001361E-2</v>
      </c>
      <c r="J61" s="183">
        <f t="shared" si="66"/>
        <v>3.6621004566209869E-2</v>
      </c>
      <c r="K61" s="183">
        <f t="shared" si="66"/>
        <v>3.0834287727954379E-3</v>
      </c>
      <c r="L61" s="183">
        <f t="shared" si="66"/>
        <v>9.3370931074625574E-3</v>
      </c>
      <c r="M61" s="183">
        <f t="shared" si="66"/>
        <v>9.2582973996280238E-2</v>
      </c>
      <c r="N61" s="183">
        <f t="shared" si="66"/>
        <v>7.8213241232100827E-2</v>
      </c>
      <c r="O61" s="183">
        <f t="shared" si="66"/>
        <v>6.879562851268739E-2</v>
      </c>
      <c r="P61" s="183">
        <f t="shared" si="66"/>
        <v>-3.0098202842344657E-3</v>
      </c>
      <c r="Q61" s="183">
        <f t="shared" si="66"/>
        <v>2.0000000000000018E-2</v>
      </c>
      <c r="R61" s="183">
        <f t="shared" ca="1" si="66"/>
        <v>1.8000000000000016E-2</v>
      </c>
      <c r="S61" s="183">
        <f t="shared" ca="1" si="66"/>
        <v>1.6000000000000014E-2</v>
      </c>
      <c r="T61" s="183">
        <f t="shared" ca="1" si="66"/>
        <v>1.4000000000000012E-2</v>
      </c>
      <c r="U61" s="183">
        <f t="shared" ca="1" si="66"/>
        <v>1.2000000000000011E-2</v>
      </c>
      <c r="V61" s="183">
        <f t="shared" ca="1" si="66"/>
        <v>1.0000000000000009E-2</v>
      </c>
    </row>
    <row r="62" spans="2:34">
      <c r="C62" s="177" t="s">
        <v>63</v>
      </c>
      <c r="D62" s="177"/>
      <c r="E62" s="177"/>
      <c r="F62" s="182">
        <f t="shared" ref="F62:P62" si="67">F15</f>
        <v>101.1</v>
      </c>
      <c r="G62" s="182">
        <f t="shared" si="67"/>
        <v>109.9</v>
      </c>
      <c r="H62" s="182">
        <f t="shared" si="67"/>
        <v>114.6</v>
      </c>
      <c r="I62" s="182">
        <f t="shared" si="67"/>
        <v>108.7</v>
      </c>
      <c r="J62" s="182">
        <f t="shared" si="67"/>
        <v>109.5</v>
      </c>
      <c r="K62" s="182">
        <f t="shared" si="67"/>
        <v>98.2</v>
      </c>
      <c r="L62" s="182">
        <f t="shared" si="67"/>
        <v>94.147209662938664</v>
      </c>
      <c r="M62" s="182">
        <f t="shared" si="67"/>
        <v>74.620836423784183</v>
      </c>
      <c r="N62" s="182">
        <f t="shared" si="67"/>
        <v>105.04401819421257</v>
      </c>
      <c r="O62" s="182">
        <f t="shared" si="67"/>
        <v>125.53339504552143</v>
      </c>
      <c r="P62" s="182">
        <f t="shared" si="67"/>
        <v>122.70308878387445</v>
      </c>
      <c r="Q62" s="182">
        <f t="shared" ref="Q62:V62" ca="1" si="68">Q15</f>
        <v>126.36971672086703</v>
      </c>
      <c r="R62" s="182">
        <f t="shared" ca="1" si="68"/>
        <v>129.87876397406146</v>
      </c>
      <c r="S62" s="182">
        <f t="shared" ca="1" si="68"/>
        <v>133.21096682750073</v>
      </c>
      <c r="T62" s="182">
        <f t="shared" ca="1" si="68"/>
        <v>136.34762098975804</v>
      </c>
      <c r="U62" s="182">
        <f t="shared" ca="1" si="68"/>
        <v>139.27075347582746</v>
      </c>
      <c r="V62" s="182">
        <f t="shared" ca="1" si="68"/>
        <v>141.96329165512003</v>
      </c>
    </row>
    <row r="63" spans="2:34">
      <c r="C63" s="174" t="s">
        <v>64</v>
      </c>
      <c r="D63" s="173"/>
      <c r="E63" s="175"/>
      <c r="F63" s="183" t="str">
        <f>IF(ISERROR(F62/E62-1),"n.a.",F62/E62-1)</f>
        <v>n.a.</v>
      </c>
      <c r="G63" s="183">
        <f t="shared" ref="G63:V63" si="69">IF(ISERROR(G62/F62-1),"n.a.",G62/F62-1)</f>
        <v>8.7042532146389906E-2</v>
      </c>
      <c r="H63" s="183">
        <f t="shared" si="69"/>
        <v>4.2766151046405687E-2</v>
      </c>
      <c r="I63" s="183">
        <f t="shared" si="69"/>
        <v>-5.148342059336819E-2</v>
      </c>
      <c r="J63" s="183">
        <f t="shared" si="69"/>
        <v>7.3597056117755688E-3</v>
      </c>
      <c r="K63" s="183">
        <f t="shared" si="69"/>
        <v>-0.10319634703196345</v>
      </c>
      <c r="L63" s="183">
        <f t="shared" si="69"/>
        <v>-4.1270777363150102E-2</v>
      </c>
      <c r="M63" s="183">
        <f t="shared" si="69"/>
        <v>-0.20740256996529016</v>
      </c>
      <c r="N63" s="183">
        <f t="shared" si="69"/>
        <v>0.40770357487887243</v>
      </c>
      <c r="O63" s="183">
        <f t="shared" si="69"/>
        <v>0.19505515119791683</v>
      </c>
      <c r="P63" s="183">
        <f t="shared" si="69"/>
        <v>-2.254624166438457E-2</v>
      </c>
      <c r="Q63" s="183">
        <f t="shared" ca="1" si="69"/>
        <v>2.9882116035814477E-2</v>
      </c>
      <c r="R63" s="183">
        <f t="shared" ca="1" si="69"/>
        <v>2.7768102550592921E-2</v>
      </c>
      <c r="S63" s="183">
        <f t="shared" ca="1" si="69"/>
        <v>2.5656256276851863E-2</v>
      </c>
      <c r="T63" s="183">
        <f t="shared" ca="1" si="69"/>
        <v>2.3546516003589035E-2</v>
      </c>
      <c r="U63" s="183">
        <f t="shared" ca="1" si="69"/>
        <v>2.1438822803435675E-2</v>
      </c>
      <c r="V63" s="183">
        <f t="shared" ca="1" si="69"/>
        <v>1.9333119927148923E-2</v>
      </c>
    </row>
    <row r="64" spans="2:34">
      <c r="C64" s="174" t="s">
        <v>70</v>
      </c>
      <c r="D64" s="173"/>
      <c r="E64" s="176"/>
      <c r="F64" s="185">
        <f>F62/F$60</f>
        <v>0.10758752793444715</v>
      </c>
      <c r="G64" s="185">
        <f t="shared" ref="G64" si="70">G62/G$60</f>
        <v>0.10936411583242114</v>
      </c>
      <c r="H64" s="185">
        <f>H62/H$60</f>
        <v>0.11218795888399412</v>
      </c>
      <c r="I64" s="185">
        <f t="shared" ref="I64" si="71">I62/I$60</f>
        <v>9.9269406392694062E-2</v>
      </c>
      <c r="J64" s="185">
        <f t="shared" ref="J64:V64" si="72">J62/J$60</f>
        <v>9.6467271606025903E-2</v>
      </c>
      <c r="K64" s="185">
        <f t="shared" si="72"/>
        <v>8.6246267345863353E-2</v>
      </c>
      <c r="L64" s="185">
        <f t="shared" si="72"/>
        <v>8.1921904398916168E-2</v>
      </c>
      <c r="M64" s="185">
        <f t="shared" si="72"/>
        <v>5.9428979249635652E-2</v>
      </c>
      <c r="N64" s="185">
        <f t="shared" si="72"/>
        <v>7.7589834127353083E-2</v>
      </c>
      <c r="O64" s="185">
        <f t="shared" si="72"/>
        <v>8.6755716884357126E-2</v>
      </c>
      <c r="P64" s="185">
        <f t="shared" si="72"/>
        <v>8.5055703908629515E-2</v>
      </c>
      <c r="Q64" s="185">
        <f t="shared" ca="1" si="72"/>
        <v>8.5879753257191244E-2</v>
      </c>
      <c r="R64" s="185">
        <f t="shared" ca="1" si="72"/>
        <v>8.6703802605753E-2</v>
      </c>
      <c r="S64" s="185">
        <f t="shared" ca="1" si="72"/>
        <v>8.7527851954314728E-2</v>
      </c>
      <c r="T64" s="185">
        <f t="shared" ca="1" si="72"/>
        <v>8.8351901302876498E-2</v>
      </c>
      <c r="U64" s="185">
        <f t="shared" ca="1" si="72"/>
        <v>8.9175950651438241E-2</v>
      </c>
      <c r="V64" s="185">
        <f t="shared" ca="1" si="72"/>
        <v>0.09</v>
      </c>
    </row>
    <row r="65" spans="3:22">
      <c r="C65" s="173" t="s">
        <v>87</v>
      </c>
      <c r="D65" s="173"/>
      <c r="E65" s="176"/>
      <c r="F65" s="184">
        <f>+F68-F62</f>
        <v>-23.299999999999997</v>
      </c>
      <c r="G65" s="184">
        <f t="shared" ref="G65:V65" si="73">+G68-G62</f>
        <v>-25.300000000000011</v>
      </c>
      <c r="H65" s="184">
        <f t="shared" si="73"/>
        <v>-30.099999999999994</v>
      </c>
      <c r="I65" s="184">
        <f t="shared" si="73"/>
        <v>-31.600000000000009</v>
      </c>
      <c r="J65" s="184">
        <f t="shared" si="73"/>
        <v>-34.900000000000006</v>
      </c>
      <c r="K65" s="184">
        <f t="shared" si="73"/>
        <v>-36</v>
      </c>
      <c r="L65" s="184">
        <f t="shared" si="73"/>
        <v>-36.129215400000028</v>
      </c>
      <c r="M65" s="184">
        <f t="shared" si="73"/>
        <v>-40.455293523349013</v>
      </c>
      <c r="N65" s="184">
        <f t="shared" si="73"/>
        <v>-47.195257615808735</v>
      </c>
      <c r="O65" s="184">
        <f t="shared" si="73"/>
        <v>-51.829543587564174</v>
      </c>
      <c r="P65" s="184">
        <f t="shared" si="73"/>
        <v>-54.799912142159201</v>
      </c>
      <c r="Q65" s="184">
        <f t="shared" ca="1" si="73"/>
        <v>-53.583260118465986</v>
      </c>
      <c r="R65" s="184">
        <f t="shared" ca="1" si="73"/>
        <v>-52.366608094772801</v>
      </c>
      <c r="S65" s="184">
        <f t="shared" ca="1" si="73"/>
        <v>-51.1499560710796</v>
      </c>
      <c r="T65" s="184">
        <f t="shared" ca="1" si="73"/>
        <v>-49.9333040473864</v>
      </c>
      <c r="U65" s="184">
        <f t="shared" ca="1" si="73"/>
        <v>-48.7166520236932</v>
      </c>
      <c r="V65" s="184">
        <f t="shared" ca="1" si="73"/>
        <v>-47.5</v>
      </c>
    </row>
    <row r="66" spans="3:22">
      <c r="C66" s="174" t="s">
        <v>88</v>
      </c>
      <c r="D66" s="173"/>
      <c r="E66" s="176"/>
      <c r="F66" s="185">
        <f t="shared" ref="F66:V66" si="74">+F65/F60</f>
        <v>-2.4795147387464082E-2</v>
      </c>
      <c r="G66" s="185">
        <f t="shared" si="74"/>
        <v>-2.5176634490994141E-2</v>
      </c>
      <c r="H66" s="185">
        <f t="shared" si="74"/>
        <v>-2.9466470876162502E-2</v>
      </c>
      <c r="I66" s="185">
        <f t="shared" si="74"/>
        <v>-2.8858447488584484E-2</v>
      </c>
      <c r="J66" s="185">
        <f t="shared" si="74"/>
        <v>-3.0746189763016483E-2</v>
      </c>
      <c r="K66" s="185">
        <f t="shared" si="74"/>
        <v>-3.1617776216406115E-2</v>
      </c>
      <c r="L66" s="185">
        <f t="shared" si="74"/>
        <v>-3.1437725457855774E-2</v>
      </c>
      <c r="M66" s="185">
        <f t="shared" si="74"/>
        <v>-3.2219108154766314E-2</v>
      </c>
      <c r="N66" s="185">
        <f t="shared" si="74"/>
        <v>-3.4860359237571983E-2</v>
      </c>
      <c r="O66" s="185">
        <f t="shared" si="74"/>
        <v>-3.5819227290854537E-2</v>
      </c>
      <c r="P66" s="185">
        <f t="shared" si="74"/>
        <v>-3.7986371391124714E-2</v>
      </c>
      <c r="Q66" s="185">
        <f t="shared" ca="1" si="74"/>
        <v>-3.6414714514667323E-2</v>
      </c>
      <c r="R66" s="185">
        <f t="shared" ca="1" si="74"/>
        <v>-3.4958633054813976E-2</v>
      </c>
      <c r="S66" s="185">
        <f t="shared" ca="1" si="74"/>
        <v>-3.360868770104064E-2</v>
      </c>
      <c r="T66" s="185">
        <f t="shared" ca="1" si="74"/>
        <v>-3.2356284025319357E-2</v>
      </c>
      <c r="U66" s="185">
        <f t="shared" ca="1" si="74"/>
        <v>-3.1193582631993021E-2</v>
      </c>
      <c r="V66" s="185">
        <f t="shared" ca="1" si="74"/>
        <v>-3.0113418406678784E-2</v>
      </c>
    </row>
    <row r="67" spans="3:22">
      <c r="C67" s="174" t="s">
        <v>89</v>
      </c>
      <c r="D67" s="173"/>
      <c r="E67" s="176"/>
      <c r="F67" s="185">
        <f t="shared" ref="F67:V67" si="75">+F65/F72</f>
        <v>0.76644736842105254</v>
      </c>
      <c r="G67" s="185">
        <f t="shared" si="75"/>
        <v>0.67466666666666697</v>
      </c>
      <c r="H67" s="185">
        <f t="shared" si="75"/>
        <v>0.74689826302729523</v>
      </c>
      <c r="I67" s="185">
        <f t="shared" si="75"/>
        <v>0.87534626038781183</v>
      </c>
      <c r="J67" s="185">
        <f t="shared" si="75"/>
        <v>0.93565683646112618</v>
      </c>
      <c r="K67" s="185">
        <f t="shared" si="75"/>
        <v>1.1612903225806452</v>
      </c>
      <c r="L67" s="185">
        <f t="shared" si="75"/>
        <v>1.0035893166666674</v>
      </c>
      <c r="M67" s="185">
        <f t="shared" si="75"/>
        <v>0.79324104947743168</v>
      </c>
      <c r="N67" s="185">
        <f t="shared" si="75"/>
        <v>0.94390515231617467</v>
      </c>
      <c r="O67" s="185">
        <f t="shared" si="75"/>
        <v>1.0365908717512835</v>
      </c>
      <c r="P67" s="185">
        <f t="shared" si="75"/>
        <v>1.095998242843184</v>
      </c>
      <c r="Q67" s="185">
        <f t="shared" ca="1" si="75"/>
        <v>1.0716652023693198</v>
      </c>
      <c r="R67" s="185">
        <f t="shared" ca="1" si="75"/>
        <v>1.0473321618954561</v>
      </c>
      <c r="S67" s="185">
        <f t="shared" ca="1" si="75"/>
        <v>1.0229991214215921</v>
      </c>
      <c r="T67" s="185">
        <f t="shared" ca="1" si="75"/>
        <v>0.99866608094772802</v>
      </c>
      <c r="U67" s="185">
        <f t="shared" ca="1" si="75"/>
        <v>0.97433304047386404</v>
      </c>
      <c r="V67" s="185">
        <f t="shared" ca="1" si="75"/>
        <v>0.95</v>
      </c>
    </row>
    <row r="68" spans="3:22">
      <c r="C68" s="177" t="s">
        <v>71</v>
      </c>
      <c r="D68" s="177"/>
      <c r="E68" s="177"/>
      <c r="F68" s="182">
        <f t="shared" ref="F68:V68" si="76">F25</f>
        <v>77.8</v>
      </c>
      <c r="G68" s="182">
        <f t="shared" si="76"/>
        <v>84.6</v>
      </c>
      <c r="H68" s="182">
        <f t="shared" si="76"/>
        <v>84.5</v>
      </c>
      <c r="I68" s="182">
        <f t="shared" si="76"/>
        <v>77.099999999999994</v>
      </c>
      <c r="J68" s="182">
        <f t="shared" si="76"/>
        <v>74.599999999999994</v>
      </c>
      <c r="K68" s="182">
        <f t="shared" si="76"/>
        <v>62.2</v>
      </c>
      <c r="L68" s="182">
        <f t="shared" si="76"/>
        <v>58.017994262938636</v>
      </c>
      <c r="M68" s="182">
        <f t="shared" si="76"/>
        <v>34.16554290043517</v>
      </c>
      <c r="N68" s="182">
        <f t="shared" si="76"/>
        <v>57.848760578403834</v>
      </c>
      <c r="O68" s="182">
        <f t="shared" si="76"/>
        <v>73.703851457957256</v>
      </c>
      <c r="P68" s="182">
        <f t="shared" si="76"/>
        <v>67.903176641715248</v>
      </c>
      <c r="Q68" s="182">
        <f t="shared" ca="1" si="76"/>
        <v>72.786456602401046</v>
      </c>
      <c r="R68" s="182">
        <f t="shared" ca="1" si="76"/>
        <v>77.512155879288656</v>
      </c>
      <c r="S68" s="182">
        <f t="shared" ca="1" si="76"/>
        <v>82.061010756421126</v>
      </c>
      <c r="T68" s="182">
        <f t="shared" ca="1" si="76"/>
        <v>86.414316942371642</v>
      </c>
      <c r="U68" s="182">
        <f t="shared" ca="1" si="76"/>
        <v>90.554101452134262</v>
      </c>
      <c r="V68" s="182">
        <f t="shared" ca="1" si="76"/>
        <v>94.463291655120031</v>
      </c>
    </row>
    <row r="69" spans="3:22">
      <c r="C69" s="174" t="s">
        <v>64</v>
      </c>
      <c r="D69" s="173"/>
      <c r="E69" s="175"/>
      <c r="F69" s="185" t="str">
        <f t="shared" ref="F69" si="77">IF(ISERROR(F68/C68-1),"n.a.",F68/C68-1)</f>
        <v>n.a.</v>
      </c>
      <c r="G69" s="185">
        <f>IF(ISERROR(G68/F68-1),"n.a.",G68/F68-1)</f>
        <v>8.740359897172234E-2</v>
      </c>
      <c r="H69" s="185">
        <f>IF(ISERROR(H68/G68-1),"n.a.",H68/G68-1)</f>
        <v>-1.1820330969266601E-3</v>
      </c>
      <c r="I69" s="185">
        <f t="shared" ref="I69:V69" si="78">IF(ISERROR(I68/H68-1),"n.a.",I68/H68-1)</f>
        <v>-8.7573964497041468E-2</v>
      </c>
      <c r="J69" s="185">
        <f t="shared" si="78"/>
        <v>-3.2425421530479892E-2</v>
      </c>
      <c r="K69" s="185">
        <f t="shared" si="78"/>
        <v>-0.16621983914209104</v>
      </c>
      <c r="L69" s="185">
        <f t="shared" si="78"/>
        <v>-6.723481892381622E-2</v>
      </c>
      <c r="M69" s="185">
        <f t="shared" si="78"/>
        <v>-0.41112161262252034</v>
      </c>
      <c r="N69" s="185">
        <f t="shared" si="78"/>
        <v>0.69319014619454533</v>
      </c>
      <c r="O69" s="185">
        <f t="shared" si="78"/>
        <v>0.27407831595742893</v>
      </c>
      <c r="P69" s="185">
        <f t="shared" si="78"/>
        <v>-7.8702465359640983E-2</v>
      </c>
      <c r="Q69" s="185">
        <f t="shared" ca="1" si="78"/>
        <v>7.1915338901624049E-2</v>
      </c>
      <c r="R69" s="185">
        <f t="shared" ca="1" si="78"/>
        <v>6.4925530070819804E-2</v>
      </c>
      <c r="S69" s="185">
        <f t="shared" ca="1" si="78"/>
        <v>5.8685696785630626E-2</v>
      </c>
      <c r="T69" s="185">
        <f t="shared" ca="1" si="78"/>
        <v>5.3049629121340924E-2</v>
      </c>
      <c r="U69" s="185">
        <f t="shared" ca="1" si="78"/>
        <v>4.7906234247310886E-2</v>
      </c>
      <c r="V69" s="185">
        <f t="shared" ca="1" si="78"/>
        <v>4.3169664767223281E-2</v>
      </c>
    </row>
    <row r="70" spans="3:22">
      <c r="C70" s="174" t="s">
        <v>70</v>
      </c>
      <c r="D70" s="173"/>
      <c r="E70" s="176"/>
      <c r="F70" s="272">
        <f>F68/F$60</f>
        <v>8.2792380546983069E-2</v>
      </c>
      <c r="G70" s="272">
        <f t="shared" ref="G70" si="79">G68/G$60</f>
        <v>8.4187481341427006E-2</v>
      </c>
      <c r="H70" s="272">
        <f>H68/H$60</f>
        <v>8.272148800783162E-2</v>
      </c>
      <c r="I70" s="272">
        <f t="shared" ref="I70:V70" si="80">I68/I$60</f>
        <v>7.0410958904109588E-2</v>
      </c>
      <c r="J70" s="272">
        <f t="shared" si="80"/>
        <v>6.5721081843009427E-2</v>
      </c>
      <c r="K70" s="272">
        <f t="shared" si="80"/>
        <v>5.4628491129457238E-2</v>
      </c>
      <c r="L70" s="272">
        <f t="shared" si="80"/>
        <v>5.0484178941060394E-2</v>
      </c>
      <c r="M70" s="272">
        <f t="shared" si="80"/>
        <v>2.7209871094869338E-2</v>
      </c>
      <c r="N70" s="272">
        <f t="shared" si="80"/>
        <v>4.2729474889781106E-2</v>
      </c>
      <c r="O70" s="272">
        <f t="shared" si="80"/>
        <v>5.0936489593502589E-2</v>
      </c>
      <c r="P70" s="272">
        <f t="shared" si="80"/>
        <v>4.7069332517504801E-2</v>
      </c>
      <c r="Q70" s="272">
        <f t="shared" ca="1" si="80"/>
        <v>4.9465038742523913E-2</v>
      </c>
      <c r="R70" s="272">
        <f t="shared" ca="1" si="80"/>
        <v>5.1745169550939017E-2</v>
      </c>
      <c r="S70" s="272">
        <f t="shared" ca="1" si="80"/>
        <v>5.3919164253274081E-2</v>
      </c>
      <c r="T70" s="272">
        <f t="shared" ca="1" si="80"/>
        <v>5.5995617277557135E-2</v>
      </c>
      <c r="U70" s="272">
        <f t="shared" ca="1" si="80"/>
        <v>5.7982368019445209E-2</v>
      </c>
      <c r="V70" s="272">
        <f t="shared" ca="1" si="80"/>
        <v>5.988658159332122E-2</v>
      </c>
    </row>
    <row r="71" spans="3:22">
      <c r="C71" s="173" t="s">
        <v>63</v>
      </c>
      <c r="D71" s="173"/>
      <c r="E71" s="173"/>
      <c r="F71" s="184">
        <f t="shared" ref="F71:V71" si="81">F15</f>
        <v>101.1</v>
      </c>
      <c r="G71" s="184">
        <f t="shared" si="81"/>
        <v>109.9</v>
      </c>
      <c r="H71" s="184">
        <f t="shared" si="81"/>
        <v>114.6</v>
      </c>
      <c r="I71" s="184">
        <f t="shared" si="81"/>
        <v>108.7</v>
      </c>
      <c r="J71" s="184">
        <f t="shared" si="81"/>
        <v>109.5</v>
      </c>
      <c r="K71" s="184">
        <f t="shared" si="81"/>
        <v>98.2</v>
      </c>
      <c r="L71" s="184">
        <f t="shared" si="81"/>
        <v>94.147209662938664</v>
      </c>
      <c r="M71" s="184">
        <f t="shared" si="81"/>
        <v>74.620836423784183</v>
      </c>
      <c r="N71" s="184">
        <f t="shared" si="81"/>
        <v>105.04401819421257</v>
      </c>
      <c r="O71" s="184">
        <f t="shared" si="81"/>
        <v>125.53339504552143</v>
      </c>
      <c r="P71" s="184">
        <f t="shared" si="81"/>
        <v>122.70308878387445</v>
      </c>
      <c r="Q71" s="184">
        <f t="shared" ca="1" si="81"/>
        <v>126.36971672086703</v>
      </c>
      <c r="R71" s="184">
        <f t="shared" ca="1" si="81"/>
        <v>129.87876397406146</v>
      </c>
      <c r="S71" s="184">
        <f t="shared" ca="1" si="81"/>
        <v>133.21096682750073</v>
      </c>
      <c r="T71" s="184">
        <f t="shared" ca="1" si="81"/>
        <v>136.34762098975804</v>
      </c>
      <c r="U71" s="184">
        <f t="shared" ca="1" si="81"/>
        <v>139.27075347582746</v>
      </c>
      <c r="V71" s="184">
        <f t="shared" ca="1" si="81"/>
        <v>141.96329165512003</v>
      </c>
    </row>
    <row r="72" spans="3:22">
      <c r="C72" s="177" t="s">
        <v>42</v>
      </c>
      <c r="D72" s="177"/>
      <c r="E72" s="178"/>
      <c r="F72" s="182">
        <f t="shared" ref="F72:V72" si="82">F40</f>
        <v>-30.4</v>
      </c>
      <c r="G72" s="182">
        <f t="shared" si="82"/>
        <v>-37.5</v>
      </c>
      <c r="H72" s="182">
        <f t="shared" si="82"/>
        <v>-40.299999999999997</v>
      </c>
      <c r="I72" s="182">
        <f t="shared" si="82"/>
        <v>-36.1</v>
      </c>
      <c r="J72" s="182">
        <f t="shared" si="82"/>
        <v>-37.299999999999997</v>
      </c>
      <c r="K72" s="182">
        <f t="shared" si="82"/>
        <v>-31</v>
      </c>
      <c r="L72" s="182">
        <f t="shared" si="82"/>
        <v>-36</v>
      </c>
      <c r="M72" s="182">
        <f t="shared" si="82"/>
        <v>-51</v>
      </c>
      <c r="N72" s="182">
        <f t="shared" si="82"/>
        <v>-50</v>
      </c>
      <c r="O72" s="182">
        <f t="shared" si="82"/>
        <v>-50</v>
      </c>
      <c r="P72" s="182">
        <f t="shared" si="82"/>
        <v>-50</v>
      </c>
      <c r="Q72" s="182">
        <f t="shared" si="82"/>
        <v>-50</v>
      </c>
      <c r="R72" s="182">
        <f t="shared" si="82"/>
        <v>-50</v>
      </c>
      <c r="S72" s="182">
        <f t="shared" si="82"/>
        <v>-50</v>
      </c>
      <c r="T72" s="182">
        <f t="shared" si="82"/>
        <v>-50</v>
      </c>
      <c r="U72" s="182">
        <f t="shared" si="82"/>
        <v>-50</v>
      </c>
      <c r="V72" s="182">
        <f t="shared" si="82"/>
        <v>-50</v>
      </c>
    </row>
    <row r="73" spans="3:22">
      <c r="C73" s="174" t="s">
        <v>90</v>
      </c>
      <c r="D73" s="173"/>
      <c r="E73" s="175"/>
      <c r="F73" s="183">
        <f>IF(ISERROR(-F72/F$60),"n.a.",-F72/F$60)</f>
        <v>3.2350750239438113E-2</v>
      </c>
      <c r="G73" s="183">
        <f t="shared" ref="G73:V73" si="83">IF(ISERROR(-G72/G$60),"n.a.",-G72/G$60)</f>
        <v>3.7317145984675094E-2</v>
      </c>
      <c r="H73" s="183">
        <f t="shared" si="83"/>
        <v>3.9451786588350461E-2</v>
      </c>
      <c r="I73" s="183">
        <f t="shared" si="83"/>
        <v>3.2968036529680368E-2</v>
      </c>
      <c r="J73" s="183">
        <f t="shared" si="83"/>
        <v>3.2860540921504713E-2</v>
      </c>
      <c r="K73" s="183">
        <f t="shared" si="83"/>
        <v>2.7226418408571932E-2</v>
      </c>
      <c r="L73" s="183">
        <f t="shared" si="83"/>
        <v>3.1325289075688233E-2</v>
      </c>
      <c r="M73" s="183">
        <f t="shared" si="83"/>
        <v>4.0617045948380379E-2</v>
      </c>
      <c r="N73" s="183">
        <f t="shared" si="83"/>
        <v>3.6932057370415751E-2</v>
      </c>
      <c r="O73" s="183">
        <f t="shared" si="83"/>
        <v>3.4554835728332456E-2</v>
      </c>
      <c r="P73" s="183">
        <f t="shared" si="83"/>
        <v>3.4659153551726836E-2</v>
      </c>
      <c r="Q73" s="183">
        <f t="shared" si="83"/>
        <v>3.3979562305614552E-2</v>
      </c>
      <c r="R73" s="183">
        <f t="shared" ca="1" si="83"/>
        <v>3.3378744897460261E-2</v>
      </c>
      <c r="S73" s="183">
        <f t="shared" ca="1" si="83"/>
        <v>3.2853095371516004E-2</v>
      </c>
      <c r="T73" s="183">
        <f t="shared" ca="1" si="83"/>
        <v>3.239950233877318E-2</v>
      </c>
      <c r="U73" s="183">
        <f t="shared" ca="1" si="83"/>
        <v>3.2015318516574284E-2</v>
      </c>
      <c r="V73" s="183">
        <f t="shared" ca="1" si="83"/>
        <v>3.1698335164925033E-2</v>
      </c>
    </row>
    <row r="74" spans="3:22">
      <c r="C74" s="173" t="s">
        <v>91</v>
      </c>
      <c r="D74" s="173"/>
      <c r="E74" s="175"/>
      <c r="F74" s="184">
        <f t="shared" ref="F74:V74" si="84">F45</f>
        <v>-5.3000000000000007</v>
      </c>
      <c r="G74" s="184">
        <f t="shared" si="84"/>
        <v>25.099999999999998</v>
      </c>
      <c r="H74" s="184">
        <f t="shared" si="84"/>
        <v>-11.2</v>
      </c>
      <c r="I74" s="184">
        <f t="shared" si="84"/>
        <v>-16.300000000000004</v>
      </c>
      <c r="J74" s="184">
        <f t="shared" si="84"/>
        <v>-12.6</v>
      </c>
      <c r="K74" s="184">
        <f t="shared" si="84"/>
        <v>-10.399999999999999</v>
      </c>
      <c r="L74" s="184">
        <f t="shared" si="84"/>
        <v>6</v>
      </c>
      <c r="M74" s="184">
        <f t="shared" si="84"/>
        <v>16.111954440903407</v>
      </c>
      <c r="N74" s="184">
        <f t="shared" si="84"/>
        <v>15.168892666804709</v>
      </c>
      <c r="O74" s="184">
        <f t="shared" si="84"/>
        <v>11.110216900668604</v>
      </c>
      <c r="P74" s="184">
        <f t="shared" si="84"/>
        <v>3.9548595532390358</v>
      </c>
      <c r="Q74" s="184">
        <f t="shared" si="84"/>
        <v>0</v>
      </c>
      <c r="R74" s="184">
        <f t="shared" ca="1" si="84"/>
        <v>0</v>
      </c>
      <c r="S74" s="184">
        <f t="shared" ca="1" si="84"/>
        <v>0</v>
      </c>
      <c r="T74" s="184">
        <f t="shared" ca="1" si="84"/>
        <v>0</v>
      </c>
      <c r="U74" s="184">
        <f t="shared" ca="1" si="84"/>
        <v>0</v>
      </c>
      <c r="V74" s="184">
        <f t="shared" ca="1" si="84"/>
        <v>0</v>
      </c>
    </row>
    <row r="75" spans="3:22">
      <c r="C75" s="174" t="s">
        <v>90</v>
      </c>
      <c r="D75" s="173"/>
      <c r="E75" s="175"/>
      <c r="F75" s="185">
        <f t="shared" ref="F75:V75" si="85">+F74/F60</f>
        <v>-5.6400979035862511E-3</v>
      </c>
      <c r="G75" s="185">
        <f t="shared" si="85"/>
        <v>2.4977609712409192E-2</v>
      </c>
      <c r="H75" s="185">
        <f t="shared" si="85"/>
        <v>-1.0964268232990699E-2</v>
      </c>
      <c r="I75" s="185">
        <f t="shared" si="85"/>
        <v>-1.4885844748858451E-2</v>
      </c>
      <c r="J75" s="185">
        <f t="shared" si="85"/>
        <v>-1.1100343582063256E-2</v>
      </c>
      <c r="K75" s="185">
        <f t="shared" si="85"/>
        <v>-9.1340242402950991E-3</v>
      </c>
      <c r="L75" s="185">
        <f t="shared" si="85"/>
        <v>5.2208815126147052E-3</v>
      </c>
      <c r="M75" s="185">
        <f t="shared" si="85"/>
        <v>1.2831764585184018E-2</v>
      </c>
      <c r="N75" s="185">
        <f t="shared" si="85"/>
        <v>1.1204368284322206E-2</v>
      </c>
      <c r="O75" s="185">
        <f t="shared" si="85"/>
        <v>7.6782343981749305E-3</v>
      </c>
      <c r="P75" s="185">
        <f t="shared" si="85"/>
        <v>2.741441690624511E-3</v>
      </c>
      <c r="Q75" s="185">
        <f t="shared" si="85"/>
        <v>0</v>
      </c>
      <c r="R75" s="185">
        <f t="shared" ca="1" si="85"/>
        <v>0</v>
      </c>
      <c r="S75" s="185">
        <f t="shared" ca="1" si="85"/>
        <v>0</v>
      </c>
      <c r="T75" s="185">
        <f t="shared" ca="1" si="85"/>
        <v>0</v>
      </c>
      <c r="U75" s="185">
        <f t="shared" ca="1" si="85"/>
        <v>0</v>
      </c>
      <c r="V75" s="185">
        <f t="shared" ca="1" si="85"/>
        <v>0</v>
      </c>
    </row>
    <row r="76" spans="3:22">
      <c r="C76" s="267" t="s">
        <v>82</v>
      </c>
      <c r="D76" s="173"/>
      <c r="E76" s="175"/>
      <c r="F76" s="184">
        <f t="shared" ref="F76:V76" si="86">+F49</f>
        <v>0</v>
      </c>
      <c r="G76" s="184">
        <f t="shared" si="86"/>
        <v>0</v>
      </c>
      <c r="H76" s="184">
        <f t="shared" si="86"/>
        <v>0</v>
      </c>
      <c r="I76" s="184">
        <f t="shared" si="86"/>
        <v>0</v>
      </c>
      <c r="J76" s="184">
        <f t="shared" si="86"/>
        <v>-1.5</v>
      </c>
      <c r="K76" s="184">
        <f t="shared" si="86"/>
        <v>0.74</v>
      </c>
      <c r="L76" s="184">
        <f t="shared" si="86"/>
        <v>0</v>
      </c>
      <c r="M76" s="184">
        <f t="shared" si="86"/>
        <v>0</v>
      </c>
      <c r="N76" s="184">
        <f t="shared" si="86"/>
        <v>-5</v>
      </c>
      <c r="O76" s="184">
        <f t="shared" si="86"/>
        <v>-5</v>
      </c>
      <c r="P76" s="184">
        <f t="shared" si="86"/>
        <v>-5</v>
      </c>
      <c r="Q76" s="184">
        <f t="shared" si="86"/>
        <v>-5</v>
      </c>
      <c r="R76" s="184">
        <f t="shared" si="86"/>
        <v>-5</v>
      </c>
      <c r="S76" s="184">
        <f t="shared" si="86"/>
        <v>-5</v>
      </c>
      <c r="T76" s="184">
        <f t="shared" si="86"/>
        <v>-5</v>
      </c>
      <c r="U76" s="184">
        <f t="shared" si="86"/>
        <v>-5</v>
      </c>
      <c r="V76" s="184">
        <f t="shared" si="86"/>
        <v>-5</v>
      </c>
    </row>
    <row r="77" spans="3:22">
      <c r="C77" s="174" t="s">
        <v>90</v>
      </c>
      <c r="D77" s="173"/>
      <c r="E77" s="175"/>
      <c r="F77" s="183">
        <f>IF(ISERROR(-F76/F$60),"n.a.",-F76/F$60)</f>
        <v>0</v>
      </c>
      <c r="G77" s="183">
        <f t="shared" ref="G77:V77" si="87">IF(ISERROR(-G76/G$60),"n.a.",-G76/G$60)</f>
        <v>0</v>
      </c>
      <c r="H77" s="183">
        <f t="shared" si="87"/>
        <v>0</v>
      </c>
      <c r="I77" s="183">
        <f t="shared" si="87"/>
        <v>0</v>
      </c>
      <c r="J77" s="183">
        <f t="shared" si="87"/>
        <v>1.3214694740551493E-3</v>
      </c>
      <c r="K77" s="183">
        <f t="shared" si="87"/>
        <v>-6.4992095555945904E-4</v>
      </c>
      <c r="L77" s="183">
        <f t="shared" si="87"/>
        <v>0</v>
      </c>
      <c r="M77" s="183">
        <f t="shared" si="87"/>
        <v>0</v>
      </c>
      <c r="N77" s="183">
        <f t="shared" si="87"/>
        <v>3.6932057370415751E-3</v>
      </c>
      <c r="O77" s="183">
        <f t="shared" si="87"/>
        <v>3.4554835728332453E-3</v>
      </c>
      <c r="P77" s="183">
        <f t="shared" si="87"/>
        <v>3.4659153551726838E-3</v>
      </c>
      <c r="Q77" s="183">
        <f t="shared" si="87"/>
        <v>3.3979562305614551E-3</v>
      </c>
      <c r="R77" s="183">
        <f t="shared" ca="1" si="87"/>
        <v>3.3378744897460265E-3</v>
      </c>
      <c r="S77" s="183">
        <f t="shared" ca="1" si="87"/>
        <v>3.2853095371516007E-3</v>
      </c>
      <c r="T77" s="183">
        <f t="shared" ca="1" si="87"/>
        <v>3.2399502338773178E-3</v>
      </c>
      <c r="U77" s="183">
        <f t="shared" ca="1" si="87"/>
        <v>3.2015318516574287E-3</v>
      </c>
      <c r="V77" s="183">
        <f t="shared" ca="1" si="87"/>
        <v>3.1698335164925037E-3</v>
      </c>
    </row>
    <row r="78" spans="3:22">
      <c r="C78" s="267" t="s">
        <v>84</v>
      </c>
      <c r="D78" s="173"/>
      <c r="E78" s="175"/>
      <c r="F78" s="184">
        <f t="shared" ref="F78:V78" si="88">+F53</f>
        <v>0</v>
      </c>
      <c r="G78" s="184">
        <f t="shared" si="88"/>
        <v>0</v>
      </c>
      <c r="H78" s="184">
        <f t="shared" si="88"/>
        <v>0</v>
      </c>
      <c r="I78" s="184">
        <f t="shared" si="88"/>
        <v>0</v>
      </c>
      <c r="J78" s="184">
        <f t="shared" si="88"/>
        <v>0</v>
      </c>
      <c r="K78" s="184">
        <f t="shared" si="88"/>
        <v>0</v>
      </c>
      <c r="L78" s="184">
        <f t="shared" si="88"/>
        <v>0</v>
      </c>
      <c r="M78" s="184">
        <f t="shared" si="88"/>
        <v>-18.004468664734777</v>
      </c>
      <c r="N78" s="184">
        <f t="shared" si="88"/>
        <v>-6.7527180429793674</v>
      </c>
      <c r="O78" s="184">
        <f t="shared" si="88"/>
        <v>25.138454026318882</v>
      </c>
      <c r="P78" s="184">
        <f t="shared" si="88"/>
        <v>-4.8650405710493061</v>
      </c>
      <c r="Q78" s="184">
        <f t="shared" si="88"/>
        <v>0</v>
      </c>
      <c r="R78" s="184">
        <f t="shared" si="88"/>
        <v>0</v>
      </c>
      <c r="S78" s="184">
        <f t="shared" si="88"/>
        <v>0</v>
      </c>
      <c r="T78" s="184">
        <f t="shared" si="88"/>
        <v>0</v>
      </c>
      <c r="U78" s="184">
        <f t="shared" si="88"/>
        <v>0</v>
      </c>
      <c r="V78" s="184">
        <f t="shared" si="88"/>
        <v>0</v>
      </c>
    </row>
    <row r="79" spans="3:22">
      <c r="C79" s="273" t="s">
        <v>90</v>
      </c>
      <c r="D79" s="274"/>
      <c r="E79" s="275"/>
      <c r="F79" s="276">
        <f>IF(ISERROR(-F78/F$60),"n.a.",-F78/F$60)</f>
        <v>0</v>
      </c>
      <c r="G79" s="276">
        <f t="shared" ref="G79:V79" si="89">IF(ISERROR(-G78/G$60),"n.a.",-G78/G$60)</f>
        <v>0</v>
      </c>
      <c r="H79" s="276">
        <f t="shared" si="89"/>
        <v>0</v>
      </c>
      <c r="I79" s="276">
        <f t="shared" si="89"/>
        <v>0</v>
      </c>
      <c r="J79" s="276">
        <f t="shared" si="89"/>
        <v>0</v>
      </c>
      <c r="K79" s="276">
        <f t="shared" si="89"/>
        <v>0</v>
      </c>
      <c r="L79" s="276">
        <f t="shared" si="89"/>
        <v>0</v>
      </c>
      <c r="M79" s="276">
        <f t="shared" si="89"/>
        <v>1.433898688297465E-2</v>
      </c>
      <c r="N79" s="276">
        <f t="shared" si="89"/>
        <v>4.9878354033911108E-3</v>
      </c>
      <c r="O79" s="276">
        <f t="shared" si="89"/>
        <v>-1.737310298687373E-2</v>
      </c>
      <c r="P79" s="276">
        <f t="shared" si="89"/>
        <v>3.3723637637475745E-3</v>
      </c>
      <c r="Q79" s="276">
        <f t="shared" si="89"/>
        <v>0</v>
      </c>
      <c r="R79" s="276">
        <f t="shared" ca="1" si="89"/>
        <v>0</v>
      </c>
      <c r="S79" s="276">
        <f t="shared" ca="1" si="89"/>
        <v>0</v>
      </c>
      <c r="T79" s="276">
        <f t="shared" ca="1" si="89"/>
        <v>0</v>
      </c>
      <c r="U79" s="276">
        <f t="shared" ca="1" si="89"/>
        <v>0</v>
      </c>
      <c r="V79" s="276">
        <f t="shared" ca="1" si="89"/>
        <v>0</v>
      </c>
    </row>
    <row r="80" spans="3:22" ht="4.5" customHeight="1">
      <c r="C80" s="38"/>
      <c r="E80" s="87"/>
      <c r="F80" s="87"/>
      <c r="G80" s="87"/>
      <c r="H80" s="87"/>
      <c r="I80" s="87"/>
      <c r="J80" s="87"/>
      <c r="K80" s="87"/>
      <c r="L80" s="87"/>
      <c r="M80" s="87"/>
      <c r="N80" s="87"/>
    </row>
    <row r="85" spans="12:12">
      <c r="L85" s="186"/>
    </row>
    <row r="92" spans="12:12">
      <c r="L92" s="186"/>
    </row>
  </sheetData>
  <pageMargins left="0.70866141732283472" right="0.70866141732283472" top="0.74803149606299213" bottom="0.74803149606299213" header="0.31496062992125984" footer="0.31496062992125984"/>
  <pageSetup paperSize="9" scale="24" fitToHeight="3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</sheetPr>
  <dimension ref="C2:U127"/>
  <sheetViews>
    <sheetView showGridLines="0" tabSelected="1" topLeftCell="A70" zoomScaleNormal="100" zoomScaleSheetLayoutView="100" workbookViewId="0">
      <selection activeCell="P88" sqref="P88"/>
    </sheetView>
  </sheetViews>
  <sheetFormatPr defaultColWidth="9.140625" defaultRowHeight="12.95"/>
  <cols>
    <col min="1" max="1" width="3" customWidth="1"/>
    <col min="2" max="3" width="0.42578125" customWidth="1"/>
    <col min="4" max="4" width="11.28515625" customWidth="1"/>
    <col min="5" max="20" width="14.28515625" customWidth="1"/>
    <col min="21" max="21" width="2.85546875" customWidth="1"/>
  </cols>
  <sheetData>
    <row r="2" spans="4:21" s="7" customFormat="1" ht="12" customHeight="1">
      <c r="D2" s="33"/>
    </row>
    <row r="3" spans="4:21" ht="20.100000000000001">
      <c r="D3" s="123" t="s">
        <v>92</v>
      </c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</row>
    <row r="4" spans="4:21" s="7" customFormat="1" ht="4.5" customHeight="1"/>
    <row r="5" spans="4:21">
      <c r="D5" s="45" t="s">
        <v>6</v>
      </c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</row>
    <row r="6" spans="4:21" ht="4.5" customHeight="1"/>
    <row r="7" spans="4:21" ht="12.75" customHeight="1">
      <c r="D7" t="s">
        <v>8</v>
      </c>
      <c r="F7" s="95">
        <f>Assumptions!D12</f>
        <v>43921</v>
      </c>
      <c r="S7" s="263"/>
      <c r="T7" s="263"/>
    </row>
    <row r="8" spans="4:21" ht="12.75" customHeight="1">
      <c r="D8" t="s">
        <v>93</v>
      </c>
      <c r="F8" s="96">
        <f>EDATE(F7,12)</f>
        <v>44286</v>
      </c>
      <c r="S8" s="263"/>
      <c r="T8" s="263"/>
    </row>
    <row r="9" spans="4:21" ht="12.75" customHeight="1">
      <c r="D9" t="s">
        <v>94</v>
      </c>
      <c r="F9" s="285">
        <v>5.0000000000000001E-3</v>
      </c>
      <c r="H9" s="287" t="s">
        <v>95</v>
      </c>
      <c r="I9" s="287"/>
      <c r="J9" s="287"/>
      <c r="K9" s="287"/>
      <c r="S9" s="263"/>
      <c r="T9" s="263"/>
    </row>
    <row r="10" spans="4:21" ht="12.75" customHeight="1">
      <c r="D10" t="s">
        <v>96</v>
      </c>
      <c r="F10" s="286">
        <v>8.5</v>
      </c>
      <c r="S10" s="263"/>
      <c r="T10" s="263"/>
    </row>
    <row r="11" spans="4:21" ht="12.75" customHeight="1">
      <c r="D11" t="s">
        <v>97</v>
      </c>
      <c r="F11" s="285">
        <v>8.5000000000000006E-2</v>
      </c>
    </row>
    <row r="12" spans="4:21" ht="12.75" customHeight="1">
      <c r="F12" s="49"/>
    </row>
    <row r="13" spans="4:21" ht="12.75" customHeight="1">
      <c r="H13" s="287" t="s">
        <v>98</v>
      </c>
      <c r="I13" s="287"/>
      <c r="J13" s="287"/>
      <c r="K13" s="287"/>
      <c r="L13" s="295" t="s">
        <v>99</v>
      </c>
      <c r="M13" s="295"/>
      <c r="N13" s="295"/>
      <c r="O13" s="295"/>
      <c r="P13" s="295"/>
      <c r="Q13" s="302" t="s">
        <v>100</v>
      </c>
    </row>
    <row r="14" spans="4:21" ht="12.75" customHeight="1">
      <c r="D14" s="41" t="s">
        <v>101</v>
      </c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</row>
    <row r="15" spans="4:21" ht="4.5" customHeight="1"/>
    <row r="16" spans="4:21" s="27" customFormat="1"/>
    <row r="17" spans="3:21" s="27" customFormat="1">
      <c r="C17" s="27" t="s">
        <v>102</v>
      </c>
      <c r="G17" s="104">
        <f>G22-$F$7</f>
        <v>-731</v>
      </c>
      <c r="H17" s="104">
        <f t="shared" ref="H17:R17" si="0">H22-$F$7</f>
        <v>-366</v>
      </c>
      <c r="I17" s="104">
        <f t="shared" si="0"/>
        <v>0</v>
      </c>
      <c r="J17" s="104">
        <f t="shared" si="0"/>
        <v>365</v>
      </c>
      <c r="K17" s="104">
        <f t="shared" si="0"/>
        <v>730</v>
      </c>
      <c r="L17" s="104">
        <f t="shared" si="0"/>
        <v>1095</v>
      </c>
      <c r="M17" s="104">
        <f t="shared" si="0"/>
        <v>1461</v>
      </c>
      <c r="N17" s="104">
        <f t="shared" si="0"/>
        <v>1826</v>
      </c>
      <c r="O17" s="104">
        <f t="shared" si="0"/>
        <v>2191</v>
      </c>
      <c r="P17" s="104">
        <f t="shared" si="0"/>
        <v>2556</v>
      </c>
      <c r="Q17" s="104">
        <f t="shared" si="0"/>
        <v>2922</v>
      </c>
      <c r="R17" s="104">
        <f t="shared" si="0"/>
        <v>3287</v>
      </c>
      <c r="S17" s="104">
        <f t="shared" ref="S17" si="1">S22-$F$7</f>
        <v>3652</v>
      </c>
      <c r="T17" s="104"/>
      <c r="U17" s="89"/>
    </row>
    <row r="18" spans="3:21" s="27" customFormat="1">
      <c r="C18" s="27" t="s">
        <v>103</v>
      </c>
      <c r="G18" s="89">
        <f>IF(G17&lt;0,100%,IF(G17&gt;365.25,0,1-((G22-$F$7)/365.25)))</f>
        <v>1</v>
      </c>
      <c r="H18" s="89">
        <f t="shared" ref="H18:R18" si="2">IF(H17&lt;0,100%,IF(H17&gt;365.25,0,1-((H22-$F$7)/365.25)))</f>
        <v>1</v>
      </c>
      <c r="I18" s="89">
        <f t="shared" si="2"/>
        <v>1</v>
      </c>
      <c r="J18" s="268">
        <f t="shared" si="2"/>
        <v>6.8446269678301697E-4</v>
      </c>
      <c r="K18" s="89">
        <f t="shared" si="2"/>
        <v>0</v>
      </c>
      <c r="L18" s="89">
        <f t="shared" si="2"/>
        <v>0</v>
      </c>
      <c r="M18" s="89">
        <f t="shared" si="2"/>
        <v>0</v>
      </c>
      <c r="N18" s="89">
        <f t="shared" si="2"/>
        <v>0</v>
      </c>
      <c r="O18" s="89">
        <f t="shared" si="2"/>
        <v>0</v>
      </c>
      <c r="P18" s="89">
        <f t="shared" si="2"/>
        <v>0</v>
      </c>
      <c r="Q18" s="89">
        <f t="shared" si="2"/>
        <v>0</v>
      </c>
      <c r="R18" s="89">
        <f t="shared" si="2"/>
        <v>0</v>
      </c>
      <c r="S18" s="89">
        <f t="shared" ref="S18" si="3">IF(S17&lt;0,100%,IF(S17&gt;365.25,0,1-((S22-$F$7)/365.25)))</f>
        <v>0</v>
      </c>
      <c r="T18" s="89"/>
      <c r="U18" s="89"/>
    </row>
    <row r="19" spans="3:21" s="27" customFormat="1"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</row>
    <row r="20" spans="3:21">
      <c r="D20" s="7"/>
      <c r="F20" s="218" t="s">
        <v>55</v>
      </c>
      <c r="G20" s="218"/>
      <c r="H20" s="218"/>
      <c r="I20" s="85" t="s">
        <v>104</v>
      </c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75"/>
    </row>
    <row r="21" spans="3:21" ht="4.5" customHeight="1"/>
    <row r="22" spans="3:21" ht="12.75" customHeight="1">
      <c r="D22" s="35" t="str">
        <f>TEXT(Assumptions!$D$11,"mmmm")&amp;" YE ($mm)"</f>
        <v>March YE ($mm)</v>
      </c>
      <c r="E22" s="35"/>
      <c r="F22" s="42">
        <f>' Financials'!I58</f>
        <v>42825</v>
      </c>
      <c r="G22" s="42">
        <f>' Financials'!J58</f>
        <v>43190</v>
      </c>
      <c r="H22" s="223">
        <f>' Financials'!K58</f>
        <v>43555</v>
      </c>
      <c r="I22" s="36">
        <f>' Financials'!L58</f>
        <v>43921</v>
      </c>
      <c r="J22" s="36">
        <f>' Financials'!M58</f>
        <v>44286</v>
      </c>
      <c r="K22" s="36">
        <f>' Financials'!N58</f>
        <v>44651</v>
      </c>
      <c r="L22" s="36">
        <f>' Financials'!O58</f>
        <v>45016</v>
      </c>
      <c r="M22" s="36">
        <f>' Financials'!P58</f>
        <v>45382</v>
      </c>
      <c r="N22" s="36">
        <f>' Financials'!Q58</f>
        <v>45747</v>
      </c>
      <c r="O22" s="36">
        <f>' Financials'!R58</f>
        <v>46112</v>
      </c>
      <c r="P22" s="36">
        <f>' Financials'!S58</f>
        <v>46477</v>
      </c>
      <c r="Q22" s="36">
        <f>' Financials'!T58</f>
        <v>46843</v>
      </c>
      <c r="R22" s="36">
        <f>' Financials'!U58</f>
        <v>47208</v>
      </c>
      <c r="S22" s="36">
        <f>' Financials'!V58</f>
        <v>47573</v>
      </c>
      <c r="T22" s="36"/>
      <c r="U22" s="13"/>
    </row>
    <row r="23" spans="3:21" s="50" customFormat="1">
      <c r="C23"/>
      <c r="D23"/>
      <c r="E23"/>
      <c r="F23"/>
      <c r="G23"/>
      <c r="H23" s="62"/>
      <c r="I23"/>
      <c r="J23"/>
      <c r="K23"/>
      <c r="L23"/>
      <c r="M23"/>
      <c r="N23"/>
      <c r="O23"/>
      <c r="P23"/>
      <c r="Q23"/>
    </row>
    <row r="24" spans="3:21">
      <c r="D24" t="s">
        <v>26</v>
      </c>
      <c r="F24" s="288">
        <f>' Financials'!I60</f>
        <v>1095</v>
      </c>
      <c r="G24" s="288">
        <f>' Financials'!J60</f>
        <v>1135.0999999999999</v>
      </c>
      <c r="H24" s="288">
        <f>' Financials'!K60</f>
        <v>1138.5999999999999</v>
      </c>
      <c r="I24" s="288">
        <f>' Financials'!L60</f>
        <v>1149.2312142121568</v>
      </c>
      <c r="J24" s="288">
        <f>' Financials'!M60</f>
        <v>1255.6304578332745</v>
      </c>
      <c r="K24" s="288">
        <f>' Financials'!N60</f>
        <v>1353.8373857301615</v>
      </c>
      <c r="L24" s="288">
        <f>' Financials'!O60</f>
        <v>1446.9754795854415</v>
      </c>
      <c r="M24" s="288">
        <f>' Financials'!P60</f>
        <v>1442.6203434361953</v>
      </c>
      <c r="N24" s="288">
        <f>' Financials'!Q60</f>
        <v>1471.4727503049191</v>
      </c>
      <c r="O24" s="288">
        <f ca="1">' Financials'!R60</f>
        <v>1497.9592598104077</v>
      </c>
      <c r="P24" s="288">
        <f ca="1">' Financials'!S60</f>
        <v>1521.9266079673744</v>
      </c>
      <c r="Q24" s="288">
        <f ca="1">' Financials'!T60</f>
        <v>1543.2335804789177</v>
      </c>
      <c r="R24" s="288">
        <f ca="1">' Financials'!U60</f>
        <v>1561.7523834446647</v>
      </c>
      <c r="S24" s="288">
        <f ca="1">' Financials'!V60</f>
        <v>1577.3699072791114</v>
      </c>
      <c r="T24" s="110"/>
    </row>
    <row r="25" spans="3:21" ht="12.75">
      <c r="C25" s="50"/>
      <c r="D25" s="50" t="s">
        <v>64</v>
      </c>
      <c r="E25" s="50"/>
      <c r="F25" s="293">
        <v>0</v>
      </c>
      <c r="G25" s="293">
        <f>(G24-F24)/F24</f>
        <v>3.662100456620996E-2</v>
      </c>
      <c r="H25" s="293">
        <f t="shared" ref="H25:S25" si="4">(H24-G24)/G24</f>
        <v>3.0834287727953486E-3</v>
      </c>
      <c r="I25" s="293">
        <f t="shared" si="4"/>
        <v>9.3370931074626042E-3</v>
      </c>
      <c r="J25" s="293">
        <f t="shared" si="4"/>
        <v>9.258297399628021E-2</v>
      </c>
      <c r="K25" s="293">
        <f t="shared" si="4"/>
        <v>7.8213241232100758E-2</v>
      </c>
      <c r="L25" s="293">
        <f t="shared" si="4"/>
        <v>6.8795628512687335E-2</v>
      </c>
      <c r="M25" s="293">
        <f t="shared" si="4"/>
        <v>-3.0098202842344713E-3</v>
      </c>
      <c r="N25" s="293">
        <f t="shared" si="4"/>
        <v>1.9999999999999959E-2</v>
      </c>
      <c r="O25" s="293">
        <f t="shared" ca="1" si="4"/>
        <v>1.8000000000000026E-2</v>
      </c>
      <c r="P25" s="293">
        <f t="shared" ca="1" si="4"/>
        <v>1.6000000000000077E-2</v>
      </c>
      <c r="Q25" s="293">
        <f t="shared" ca="1" si="4"/>
        <v>1.4000000000000063E-2</v>
      </c>
      <c r="R25" s="293">
        <f t="shared" ca="1" si="4"/>
        <v>1.1999999999999992E-2</v>
      </c>
      <c r="S25" s="293">
        <f t="shared" ca="1" si="4"/>
        <v>1.0000000000000052E-2</v>
      </c>
      <c r="T25" s="51"/>
    </row>
    <row r="26" spans="3:21" s="50" customFormat="1">
      <c r="C26"/>
      <c r="D26"/>
      <c r="E26"/>
      <c r="F26"/>
      <c r="G26"/>
      <c r="H26" s="62"/>
      <c r="I26"/>
      <c r="J26"/>
      <c r="K26"/>
      <c r="L26"/>
      <c r="M26"/>
      <c r="N26"/>
      <c r="O26"/>
      <c r="P26"/>
      <c r="Q26"/>
      <c r="R26"/>
      <c r="S26"/>
      <c r="T26"/>
    </row>
    <row r="27" spans="3:21" s="50" customFormat="1">
      <c r="C27"/>
      <c r="D27" t="s">
        <v>63</v>
      </c>
      <c r="E27"/>
      <c r="F27" s="288">
        <f>' Financials'!I62</f>
        <v>108.7</v>
      </c>
      <c r="G27" s="288">
        <f>' Financials'!J62</f>
        <v>109.5</v>
      </c>
      <c r="H27" s="288">
        <f>' Financials'!K62</f>
        <v>98.2</v>
      </c>
      <c r="I27" s="288">
        <f>' Financials'!L62</f>
        <v>94.147209662938664</v>
      </c>
      <c r="J27" s="288">
        <f>' Financials'!M62</f>
        <v>74.620836423784183</v>
      </c>
      <c r="K27" s="288">
        <f>' Financials'!N62</f>
        <v>105.04401819421257</v>
      </c>
      <c r="L27" s="288">
        <f>' Financials'!O62</f>
        <v>125.53339504552143</v>
      </c>
      <c r="M27" s="288">
        <f>' Financials'!P62</f>
        <v>122.70308878387445</v>
      </c>
      <c r="N27" s="288">
        <f ca="1">' Financials'!Q62</f>
        <v>126.36971672086703</v>
      </c>
      <c r="O27" s="288">
        <f ca="1">' Financials'!R62</f>
        <v>129.87876397406146</v>
      </c>
      <c r="P27" s="288">
        <f ca="1">' Financials'!S62</f>
        <v>133.21096682750073</v>
      </c>
      <c r="Q27" s="288">
        <f ca="1">' Financials'!T62</f>
        <v>136.34762098975804</v>
      </c>
      <c r="R27" s="288">
        <f ca="1">' Financials'!U62</f>
        <v>139.27075347582746</v>
      </c>
      <c r="S27" s="288">
        <f ca="1">' Financials'!V62</f>
        <v>141.96329165512003</v>
      </c>
      <c r="T27" s="110"/>
    </row>
    <row r="28" spans="3:21">
      <c r="C28" s="50"/>
      <c r="D28" s="50" t="s">
        <v>70</v>
      </c>
      <c r="E28" s="50"/>
      <c r="F28" s="294">
        <f>F27/F24</f>
        <v>9.9269406392694062E-2</v>
      </c>
      <c r="G28" s="294">
        <f t="shared" ref="G28:S28" si="5">G27/G24</f>
        <v>9.6467271606025903E-2</v>
      </c>
      <c r="H28" s="294">
        <f t="shared" si="5"/>
        <v>8.6246267345863353E-2</v>
      </c>
      <c r="I28" s="294">
        <f t="shared" si="5"/>
        <v>8.1921904398916168E-2</v>
      </c>
      <c r="J28" s="294">
        <f t="shared" si="5"/>
        <v>5.9428979249635652E-2</v>
      </c>
      <c r="K28" s="294">
        <f t="shared" si="5"/>
        <v>7.7589834127353083E-2</v>
      </c>
      <c r="L28" s="294">
        <f t="shared" si="5"/>
        <v>8.6755716884357126E-2</v>
      </c>
      <c r="M28" s="294">
        <f t="shared" si="5"/>
        <v>8.5055703908629515E-2</v>
      </c>
      <c r="N28" s="294">
        <f t="shared" ca="1" si="5"/>
        <v>8.5879753257191244E-2</v>
      </c>
      <c r="O28" s="294">
        <f t="shared" ca="1" si="5"/>
        <v>8.6703802605753E-2</v>
      </c>
      <c r="P28" s="294">
        <f t="shared" ca="1" si="5"/>
        <v>8.7527851954314728E-2</v>
      </c>
      <c r="Q28" s="294">
        <f t="shared" ca="1" si="5"/>
        <v>8.8351901302876498E-2</v>
      </c>
      <c r="R28" s="294">
        <f t="shared" ca="1" si="5"/>
        <v>8.9175950651438241E-2</v>
      </c>
      <c r="S28" s="294">
        <f t="shared" ca="1" si="5"/>
        <v>0.09</v>
      </c>
      <c r="T28" s="51"/>
    </row>
    <row r="29" spans="3:21">
      <c r="C29" s="50"/>
      <c r="D29" s="50" t="s">
        <v>64</v>
      </c>
      <c r="E29" s="50"/>
      <c r="F29" s="293">
        <v>0</v>
      </c>
      <c r="G29" s="293">
        <f>(G27-F27)/F27</f>
        <v>7.3597056117755029E-3</v>
      </c>
      <c r="H29" s="293">
        <f t="shared" ref="H29:S29" si="6">(H27-G27)/G27</f>
        <v>-0.10319634703196344</v>
      </c>
      <c r="I29" s="293">
        <f t="shared" si="6"/>
        <v>-4.1270777363150088E-2</v>
      </c>
      <c r="J29" s="293">
        <f t="shared" si="6"/>
        <v>-0.20740256996529019</v>
      </c>
      <c r="K29" s="293">
        <f t="shared" si="6"/>
        <v>0.40770357487887243</v>
      </c>
      <c r="L29" s="293">
        <f t="shared" si="6"/>
        <v>0.19505515119791686</v>
      </c>
      <c r="M29" s="293">
        <f t="shared" si="6"/>
        <v>-2.2546241664384559E-2</v>
      </c>
      <c r="N29" s="293">
        <f t="shared" ca="1" si="6"/>
        <v>2.9882116035814484E-2</v>
      </c>
      <c r="O29" s="293">
        <f t="shared" ca="1" si="6"/>
        <v>2.7768102550593012E-2</v>
      </c>
      <c r="P29" s="293">
        <f t="shared" ca="1" si="6"/>
        <v>2.5656256276851818E-2</v>
      </c>
      <c r="Q29" s="293">
        <f t="shared" ca="1" si="6"/>
        <v>2.3546516003589046E-2</v>
      </c>
      <c r="R29" s="293">
        <f t="shared" ca="1" si="6"/>
        <v>2.1438822803435606E-2</v>
      </c>
      <c r="S29" s="293">
        <f t="shared" ca="1" si="6"/>
        <v>1.9333119927148951E-2</v>
      </c>
      <c r="T29" s="51"/>
    </row>
    <row r="30" spans="3:21" s="50" customFormat="1">
      <c r="C30"/>
      <c r="D30"/>
      <c r="E30"/>
      <c r="F30"/>
      <c r="G30"/>
      <c r="H30" s="62"/>
      <c r="I30"/>
      <c r="J30"/>
      <c r="K30"/>
      <c r="L30"/>
      <c r="M30"/>
      <c r="N30"/>
      <c r="O30"/>
      <c r="P30"/>
      <c r="Q30"/>
      <c r="R30"/>
      <c r="S30"/>
      <c r="T30"/>
    </row>
    <row r="31" spans="3:21" s="50" customFormat="1">
      <c r="C31"/>
      <c r="D31" t="s">
        <v>87</v>
      </c>
      <c r="E31"/>
      <c r="F31" s="288">
        <f>' Financials'!I65</f>
        <v>-31.600000000000009</v>
      </c>
      <c r="G31" s="288">
        <f>' Financials'!J65</f>
        <v>-34.900000000000006</v>
      </c>
      <c r="H31" s="288">
        <f>' Financials'!K65</f>
        <v>-36</v>
      </c>
      <c r="I31" s="288">
        <f>' Financials'!L65</f>
        <v>-36.129215400000028</v>
      </c>
      <c r="J31" s="288">
        <f>' Financials'!M65</f>
        <v>-40.455293523349013</v>
      </c>
      <c r="K31" s="288">
        <f>' Financials'!N65</f>
        <v>-47.195257615808735</v>
      </c>
      <c r="L31" s="288">
        <f>' Financials'!O65</f>
        <v>-51.829543587564174</v>
      </c>
      <c r="M31" s="288">
        <f>' Financials'!P65</f>
        <v>-54.799912142159201</v>
      </c>
      <c r="N31" s="288">
        <f ca="1">' Financials'!Q65</f>
        <v>-53.583260118465986</v>
      </c>
      <c r="O31" s="288">
        <f ca="1">' Financials'!R65</f>
        <v>-52.366608094772801</v>
      </c>
      <c r="P31" s="288">
        <f ca="1">' Financials'!S65</f>
        <v>-51.1499560710796</v>
      </c>
      <c r="Q31" s="288">
        <f ca="1">' Financials'!T65</f>
        <v>-49.9333040473864</v>
      </c>
      <c r="R31" s="288">
        <f ca="1">' Financials'!U65</f>
        <v>-48.7166520236932</v>
      </c>
      <c r="S31" s="288">
        <f ca="1">' Financials'!V65</f>
        <v>-47.5</v>
      </c>
      <c r="T31" s="110"/>
    </row>
    <row r="32" spans="3:21">
      <c r="C32" s="50"/>
      <c r="D32" s="50" t="s">
        <v>78</v>
      </c>
      <c r="E32" s="50"/>
      <c r="F32" s="294">
        <f>F31/F24</f>
        <v>-2.8858447488584484E-2</v>
      </c>
      <c r="G32" s="294">
        <f t="shared" ref="G32:S32" si="7">G31/G24</f>
        <v>-3.0746189763016483E-2</v>
      </c>
      <c r="H32" s="294">
        <f t="shared" si="7"/>
        <v>-3.1617776216406115E-2</v>
      </c>
      <c r="I32" s="294">
        <f t="shared" si="7"/>
        <v>-3.1437725457855774E-2</v>
      </c>
      <c r="J32" s="294">
        <f t="shared" si="7"/>
        <v>-3.2219108154766314E-2</v>
      </c>
      <c r="K32" s="294">
        <f t="shared" si="7"/>
        <v>-3.4860359237571983E-2</v>
      </c>
      <c r="L32" s="294">
        <f t="shared" si="7"/>
        <v>-3.5819227290854537E-2</v>
      </c>
      <c r="M32" s="294">
        <f t="shared" si="7"/>
        <v>-3.7986371391124714E-2</v>
      </c>
      <c r="N32" s="294">
        <f t="shared" ca="1" si="7"/>
        <v>-3.6414714514667323E-2</v>
      </c>
      <c r="O32" s="294">
        <f t="shared" ca="1" si="7"/>
        <v>-3.4958633054813976E-2</v>
      </c>
      <c r="P32" s="294">
        <f t="shared" ca="1" si="7"/>
        <v>-3.360868770104064E-2</v>
      </c>
      <c r="Q32" s="294">
        <f t="shared" ca="1" si="7"/>
        <v>-3.2356284025319357E-2</v>
      </c>
      <c r="R32" s="294">
        <f t="shared" ca="1" si="7"/>
        <v>-3.1193582631993021E-2</v>
      </c>
      <c r="S32" s="294">
        <f t="shared" ca="1" si="7"/>
        <v>-3.0113418406678784E-2</v>
      </c>
      <c r="T32" s="51"/>
    </row>
    <row r="33" spans="3:20">
      <c r="C33" s="50"/>
      <c r="D33" s="50" t="s">
        <v>89</v>
      </c>
      <c r="E33" s="50"/>
      <c r="F33" s="292">
        <f>F31/F48</f>
        <v>0.87534626038781183</v>
      </c>
      <c r="G33" s="292">
        <f t="shared" ref="G33:S33" si="8">G31/G48</f>
        <v>0.93565683646112618</v>
      </c>
      <c r="H33" s="292">
        <f t="shared" si="8"/>
        <v>1.1612903225806452</v>
      </c>
      <c r="I33" s="292">
        <f t="shared" si="8"/>
        <v>1.0035893166666674</v>
      </c>
      <c r="J33" s="292">
        <f t="shared" si="8"/>
        <v>0.79324104947743168</v>
      </c>
      <c r="K33" s="292">
        <f t="shared" si="8"/>
        <v>0.94390515231617467</v>
      </c>
      <c r="L33" s="292">
        <f t="shared" si="8"/>
        <v>1.0365908717512835</v>
      </c>
      <c r="M33" s="292">
        <f t="shared" si="8"/>
        <v>1.095998242843184</v>
      </c>
      <c r="N33" s="292">
        <f t="shared" ca="1" si="8"/>
        <v>1.0716652023693198</v>
      </c>
      <c r="O33" s="292">
        <f t="shared" ca="1" si="8"/>
        <v>1.0473321618954561</v>
      </c>
      <c r="P33" s="292">
        <f t="shared" ca="1" si="8"/>
        <v>1.0229991214215921</v>
      </c>
      <c r="Q33" s="292">
        <f t="shared" ca="1" si="8"/>
        <v>0.99866608094772802</v>
      </c>
      <c r="R33" s="292">
        <f t="shared" ca="1" si="8"/>
        <v>0.97433304047386404</v>
      </c>
      <c r="S33" s="292">
        <f t="shared" ca="1" si="8"/>
        <v>0.95</v>
      </c>
      <c r="T33" s="51"/>
    </row>
    <row r="34" spans="3:20" s="50" customFormat="1">
      <c r="C34"/>
      <c r="D34"/>
      <c r="E34"/>
      <c r="F34"/>
      <c r="G34"/>
      <c r="H34" s="62"/>
      <c r="I34"/>
      <c r="J34"/>
      <c r="K34"/>
      <c r="L34"/>
      <c r="M34"/>
      <c r="N34"/>
      <c r="O34"/>
      <c r="P34"/>
      <c r="Q34"/>
      <c r="R34"/>
      <c r="S34"/>
      <c r="T34"/>
    </row>
    <row r="35" spans="3:20" s="50" customFormat="1">
      <c r="C35"/>
      <c r="D35" t="s">
        <v>71</v>
      </c>
      <c r="E35"/>
      <c r="F35" s="39">
        <f>F27+F31</f>
        <v>77.099999999999994</v>
      </c>
      <c r="G35" s="39">
        <f t="shared" ref="G35:H35" si="9">G27+G31</f>
        <v>74.599999999999994</v>
      </c>
      <c r="H35" s="219">
        <f t="shared" si="9"/>
        <v>62.2</v>
      </c>
      <c r="I35" s="39">
        <f t="shared" ref="I35:R35" si="10">I27+I31</f>
        <v>58.017994262938636</v>
      </c>
      <c r="J35" s="39">
        <f t="shared" si="10"/>
        <v>34.16554290043517</v>
      </c>
      <c r="K35" s="39">
        <f t="shared" si="10"/>
        <v>57.848760578403834</v>
      </c>
      <c r="L35" s="39">
        <f t="shared" si="10"/>
        <v>73.703851457957256</v>
      </c>
      <c r="M35" s="39">
        <f t="shared" si="10"/>
        <v>67.903176641715248</v>
      </c>
      <c r="N35" s="39">
        <f t="shared" ca="1" si="10"/>
        <v>72.786456602401046</v>
      </c>
      <c r="O35" s="39">
        <f t="shared" ca="1" si="10"/>
        <v>77.512155879288656</v>
      </c>
      <c r="P35" s="39">
        <f t="shared" ca="1" si="10"/>
        <v>82.061010756421126</v>
      </c>
      <c r="Q35" s="39">
        <f t="shared" ca="1" si="10"/>
        <v>86.414316942371642</v>
      </c>
      <c r="R35" s="39">
        <f t="shared" ca="1" si="10"/>
        <v>90.554101452134262</v>
      </c>
      <c r="S35" s="39">
        <f t="shared" ref="S35" ca="1" si="11">S27+S31</f>
        <v>94.463291655120031</v>
      </c>
      <c r="T35" s="39"/>
    </row>
    <row r="36" spans="3:20">
      <c r="C36" s="50"/>
      <c r="D36" s="50" t="s">
        <v>70</v>
      </c>
      <c r="E36" s="50"/>
      <c r="F36" s="294">
        <f>F35/F24</f>
        <v>7.0410958904109588E-2</v>
      </c>
      <c r="G36" s="294">
        <f t="shared" ref="G36:S36" si="12">G35/G24</f>
        <v>6.5721081843009427E-2</v>
      </c>
      <c r="H36" s="294">
        <f t="shared" si="12"/>
        <v>5.4628491129457238E-2</v>
      </c>
      <c r="I36" s="294">
        <f t="shared" si="12"/>
        <v>5.0484178941060394E-2</v>
      </c>
      <c r="J36" s="294">
        <f t="shared" si="12"/>
        <v>2.7209871094869338E-2</v>
      </c>
      <c r="K36" s="294">
        <f t="shared" si="12"/>
        <v>4.2729474889781106E-2</v>
      </c>
      <c r="L36" s="294">
        <f t="shared" si="12"/>
        <v>5.0936489593502589E-2</v>
      </c>
      <c r="M36" s="294">
        <f t="shared" si="12"/>
        <v>4.7069332517504801E-2</v>
      </c>
      <c r="N36" s="294">
        <f t="shared" ca="1" si="12"/>
        <v>4.9465038742523913E-2</v>
      </c>
      <c r="O36" s="294">
        <f t="shared" ca="1" si="12"/>
        <v>5.1745169550939017E-2</v>
      </c>
      <c r="P36" s="294">
        <f t="shared" ca="1" si="12"/>
        <v>5.3919164253274081E-2</v>
      </c>
      <c r="Q36" s="294">
        <f t="shared" ca="1" si="12"/>
        <v>5.5995617277557135E-2</v>
      </c>
      <c r="R36" s="294">
        <f t="shared" ca="1" si="12"/>
        <v>5.7982368019445209E-2</v>
      </c>
      <c r="S36" s="294">
        <f t="shared" ca="1" si="12"/>
        <v>5.988658159332122E-2</v>
      </c>
      <c r="T36" s="51"/>
    </row>
    <row r="37" spans="3:20">
      <c r="C37" s="50"/>
      <c r="D37" s="50" t="s">
        <v>64</v>
      </c>
      <c r="E37" s="50"/>
      <c r="F37" s="293">
        <v>0</v>
      </c>
      <c r="G37" s="293">
        <f>(G35-F35)/F35</f>
        <v>-3.2425421530479899E-2</v>
      </c>
      <c r="H37" s="293">
        <f t="shared" ref="H37:S37" si="13">(H35-G35)/G35</f>
        <v>-0.16621983914209104</v>
      </c>
      <c r="I37" s="293">
        <f t="shared" si="13"/>
        <v>-6.7234818923816178E-2</v>
      </c>
      <c r="J37" s="293">
        <f t="shared" si="13"/>
        <v>-0.41112161262252034</v>
      </c>
      <c r="K37" s="293">
        <f t="shared" si="13"/>
        <v>0.69319014619454522</v>
      </c>
      <c r="L37" s="293">
        <f t="shared" si="13"/>
        <v>0.27407831595742888</v>
      </c>
      <c r="M37" s="293">
        <f t="shared" si="13"/>
        <v>-7.8702465359641025E-2</v>
      </c>
      <c r="N37" s="293">
        <f t="shared" ca="1" si="13"/>
        <v>7.1915338901624104E-2</v>
      </c>
      <c r="O37" s="293">
        <f t="shared" ca="1" si="13"/>
        <v>6.4925530070819817E-2</v>
      </c>
      <c r="P37" s="293">
        <f t="shared" ca="1" si="13"/>
        <v>5.8685696785630626E-2</v>
      </c>
      <c r="Q37" s="293">
        <f t="shared" ca="1" si="13"/>
        <v>5.3049629121341001E-2</v>
      </c>
      <c r="R37" s="293">
        <f t="shared" ca="1" si="13"/>
        <v>4.7906234247310872E-2</v>
      </c>
      <c r="S37" s="293">
        <f t="shared" ca="1" si="13"/>
        <v>4.3169664767223351E-2</v>
      </c>
      <c r="T37" s="51"/>
    </row>
    <row r="38" spans="3:20" s="50" customFormat="1">
      <c r="C38"/>
      <c r="D38"/>
      <c r="E38"/>
      <c r="F38"/>
      <c r="G38"/>
      <c r="H38" s="62"/>
      <c r="I38"/>
      <c r="J38"/>
      <c r="K38"/>
      <c r="L38"/>
      <c r="M38"/>
      <c r="N38"/>
      <c r="O38"/>
      <c r="P38"/>
      <c r="Q38"/>
      <c r="R38"/>
      <c r="S38"/>
      <c r="T38"/>
    </row>
    <row r="39" spans="3:20">
      <c r="D39" t="s">
        <v>44</v>
      </c>
      <c r="F39" s="2"/>
      <c r="G39" s="2"/>
      <c r="H39" s="220"/>
      <c r="I39" s="297">
        <f>I35*I40</f>
        <v>11.023418909958341</v>
      </c>
      <c r="J39" s="297">
        <f t="shared" ref="J39:S39" si="14">J35*J40</f>
        <v>6.4914531510826823</v>
      </c>
      <c r="K39" s="297">
        <f t="shared" si="14"/>
        <v>9.8342892983286525</v>
      </c>
      <c r="L39" s="297">
        <f t="shared" si="14"/>
        <v>12.529654747852735</v>
      </c>
      <c r="M39" s="297">
        <f t="shared" si="14"/>
        <v>11.543540029091593</v>
      </c>
      <c r="N39" s="297">
        <f t="shared" ca="1" si="14"/>
        <v>12.373697622408178</v>
      </c>
      <c r="O39" s="297">
        <f t="shared" ca="1" si="14"/>
        <v>13.177066499479073</v>
      </c>
      <c r="P39" s="297">
        <f t="shared" ca="1" si="14"/>
        <v>13.950371828591592</v>
      </c>
      <c r="Q39" s="297">
        <f t="shared" ca="1" si="14"/>
        <v>14.69043388020318</v>
      </c>
      <c r="R39" s="297">
        <f t="shared" ca="1" si="14"/>
        <v>15.394197246862825</v>
      </c>
      <c r="S39" s="297">
        <f t="shared" ca="1" si="14"/>
        <v>16.058759581370406</v>
      </c>
      <c r="T39" s="297" t="s">
        <v>105</v>
      </c>
    </row>
    <row r="40" spans="3:20">
      <c r="C40" s="50"/>
      <c r="D40" s="50" t="s">
        <v>72</v>
      </c>
      <c r="E40" s="50"/>
      <c r="F40" s="97"/>
      <c r="G40" s="97"/>
      <c r="H40" s="221"/>
      <c r="I40" s="289">
        <f>' Financials'!K29</f>
        <v>0.19</v>
      </c>
      <c r="J40" s="289">
        <f>' Financials'!L29</f>
        <v>0.19</v>
      </c>
      <c r="K40" s="289">
        <f>' Financials'!M29</f>
        <v>0.17</v>
      </c>
      <c r="L40" s="289">
        <f>' Financials'!N29</f>
        <v>0.17</v>
      </c>
      <c r="M40" s="289">
        <f>' Financials'!O29</f>
        <v>0.17</v>
      </c>
      <c r="N40" s="289">
        <f>' Financials'!P29</f>
        <v>0.17</v>
      </c>
      <c r="O40" s="289">
        <f>' Financials'!Q29</f>
        <v>0.17</v>
      </c>
      <c r="P40" s="289">
        <f>' Financials'!R29</f>
        <v>0.17</v>
      </c>
      <c r="Q40" s="289">
        <f>' Financials'!S29</f>
        <v>0.17</v>
      </c>
      <c r="R40" s="289">
        <f>' Financials'!T29</f>
        <v>0.17</v>
      </c>
      <c r="S40" s="289">
        <f>' Financials'!U29</f>
        <v>0.17</v>
      </c>
      <c r="T40" s="97"/>
    </row>
    <row r="41" spans="3:20" s="50" customFormat="1">
      <c r="C41"/>
      <c r="D41"/>
      <c r="E41"/>
      <c r="F41"/>
      <c r="G41"/>
      <c r="H41" s="62"/>
      <c r="I41"/>
      <c r="J41"/>
      <c r="K41"/>
      <c r="L41"/>
      <c r="M41"/>
      <c r="N41"/>
      <c r="O41"/>
      <c r="P41"/>
      <c r="Q41"/>
      <c r="R41"/>
      <c r="S41"/>
      <c r="T41"/>
    </row>
    <row r="42" spans="3:20" s="50" customFormat="1" ht="12.75">
      <c r="C42"/>
      <c r="D42" t="s">
        <v>106</v>
      </c>
      <c r="E42"/>
      <c r="F42" s="2"/>
      <c r="G42" s="2"/>
      <c r="H42" s="220"/>
      <c r="I42" s="297">
        <f>I35-I39</f>
        <v>46.994575352980291</v>
      </c>
      <c r="J42" s="297">
        <f t="shared" ref="J42:S42" si="15">J35-J39</f>
        <v>27.67408974935249</v>
      </c>
      <c r="K42" s="297">
        <f t="shared" si="15"/>
        <v>48.014471280075185</v>
      </c>
      <c r="L42" s="297">
        <f t="shared" si="15"/>
        <v>61.174196710104525</v>
      </c>
      <c r="M42" s="297">
        <f t="shared" si="15"/>
        <v>56.359636612623653</v>
      </c>
      <c r="N42" s="297">
        <f t="shared" ca="1" si="15"/>
        <v>60.412758979992866</v>
      </c>
      <c r="O42" s="297">
        <f t="shared" ca="1" si="15"/>
        <v>64.335089379809588</v>
      </c>
      <c r="P42" s="297">
        <f t="shared" ca="1" si="15"/>
        <v>68.110638927829541</v>
      </c>
      <c r="Q42" s="297">
        <f t="shared" ca="1" si="15"/>
        <v>71.723883062168454</v>
      </c>
      <c r="R42" s="297">
        <f t="shared" ca="1" si="15"/>
        <v>75.159904205271431</v>
      </c>
      <c r="S42" s="297">
        <f t="shared" ca="1" si="15"/>
        <v>78.404532073749621</v>
      </c>
      <c r="T42" s="297" t="s">
        <v>107</v>
      </c>
    </row>
    <row r="43" spans="3:20">
      <c r="C43" s="50"/>
      <c r="D43" s="50" t="s">
        <v>70</v>
      </c>
      <c r="E43" s="50"/>
      <c r="F43" s="51"/>
      <c r="G43" s="51"/>
      <c r="H43" s="63"/>
      <c r="I43" s="294">
        <f>I42/I24</f>
        <v>4.0892184942258915E-2</v>
      </c>
      <c r="J43" s="294">
        <f t="shared" ref="J43:S43" si="16">J42/J24</f>
        <v>2.2039995586844167E-2</v>
      </c>
      <c r="K43" s="294">
        <f t="shared" si="16"/>
        <v>3.5465464158518319E-2</v>
      </c>
      <c r="L43" s="294">
        <f t="shared" si="16"/>
        <v>4.227728636260715E-2</v>
      </c>
      <c r="M43" s="294">
        <f t="shared" si="16"/>
        <v>3.9067545989528982E-2</v>
      </c>
      <c r="N43" s="294">
        <f t="shared" ca="1" si="16"/>
        <v>4.105598215629485E-2</v>
      </c>
      <c r="O43" s="294">
        <f t="shared" ca="1" si="16"/>
        <v>4.2948490727279388E-2</v>
      </c>
      <c r="P43" s="294">
        <f t="shared" ca="1" si="16"/>
        <v>4.4752906330217487E-2</v>
      </c>
      <c r="Q43" s="294">
        <f t="shared" ca="1" si="16"/>
        <v>4.6476362340372418E-2</v>
      </c>
      <c r="R43" s="294">
        <f t="shared" ca="1" si="16"/>
        <v>4.8125365456139518E-2</v>
      </c>
      <c r="S43" s="294">
        <f t="shared" ca="1" si="16"/>
        <v>4.9705862722456605E-2</v>
      </c>
      <c r="T43" s="51"/>
    </row>
    <row r="44" spans="3:20">
      <c r="C44" s="50"/>
      <c r="D44" s="50" t="s">
        <v>64</v>
      </c>
      <c r="E44" s="50"/>
      <c r="F44" s="50"/>
      <c r="G44" s="226"/>
      <c r="H44" s="227"/>
      <c r="I44" s="303"/>
      <c r="J44" s="294">
        <f>(J42-I42)/I42</f>
        <v>-0.41112161262252028</v>
      </c>
      <c r="K44" s="294">
        <f t="shared" ref="K44:S44" si="17">(K42-J42)/J42</f>
        <v>0.73499731029811421</v>
      </c>
      <c r="L44" s="294">
        <f t="shared" si="17"/>
        <v>0.27407831595742888</v>
      </c>
      <c r="M44" s="294">
        <f t="shared" si="17"/>
        <v>-7.8702465359641094E-2</v>
      </c>
      <c r="N44" s="294">
        <f t="shared" ca="1" si="17"/>
        <v>7.1915338901624118E-2</v>
      </c>
      <c r="O44" s="294">
        <f t="shared" ca="1" si="17"/>
        <v>6.4925530070819915E-2</v>
      </c>
      <c r="P44" s="294">
        <f t="shared" ca="1" si="17"/>
        <v>5.868569678563066E-2</v>
      </c>
      <c r="Q44" s="294">
        <f t="shared" ca="1" si="17"/>
        <v>5.3049629121340786E-2</v>
      </c>
      <c r="R44" s="294">
        <f t="shared" ca="1" si="17"/>
        <v>4.79062342473109E-2</v>
      </c>
      <c r="S44" s="294">
        <f t="shared" ca="1" si="17"/>
        <v>4.3169664767223379E-2</v>
      </c>
      <c r="T44" s="51"/>
    </row>
    <row r="45" spans="3:20">
      <c r="H45" s="62"/>
    </row>
    <row r="46" spans="3:20">
      <c r="D46" t="s">
        <v>87</v>
      </c>
      <c r="F46" s="2"/>
      <c r="G46" s="2"/>
      <c r="H46" s="220"/>
      <c r="I46" s="2">
        <f t="shared" ref="I46" si="18">-I31</f>
        <v>36.129215400000028</v>
      </c>
      <c r="J46" s="297">
        <f>-J31</f>
        <v>40.455293523349013</v>
      </c>
      <c r="K46" s="297">
        <f t="shared" ref="K46:S46" si="19">-K31</f>
        <v>47.195257615808735</v>
      </c>
      <c r="L46" s="297">
        <f t="shared" si="19"/>
        <v>51.829543587564174</v>
      </c>
      <c r="M46" s="297">
        <f t="shared" si="19"/>
        <v>54.799912142159201</v>
      </c>
      <c r="N46" s="297">
        <f t="shared" ca="1" si="19"/>
        <v>53.583260118465986</v>
      </c>
      <c r="O46" s="297">
        <f t="shared" ca="1" si="19"/>
        <v>52.366608094772801</v>
      </c>
      <c r="P46" s="297">
        <f t="shared" ca="1" si="19"/>
        <v>51.1499560710796</v>
      </c>
      <c r="Q46" s="297">
        <f t="shared" ca="1" si="19"/>
        <v>49.9333040473864</v>
      </c>
      <c r="R46" s="297">
        <f t="shared" ca="1" si="19"/>
        <v>48.7166520236932</v>
      </c>
      <c r="S46" s="297">
        <f t="shared" ca="1" si="19"/>
        <v>47.5</v>
      </c>
      <c r="T46" s="298"/>
    </row>
    <row r="47" spans="3:20" s="50" customFormat="1">
      <c r="C47"/>
      <c r="D47"/>
      <c r="E47"/>
      <c r="F47"/>
      <c r="G47"/>
      <c r="H47" s="62"/>
      <c r="I47"/>
      <c r="J47"/>
      <c r="K47" s="120"/>
      <c r="L47" s="120"/>
      <c r="M47" s="120"/>
      <c r="N47" s="120"/>
      <c r="O47" s="120"/>
      <c r="P47" s="120"/>
      <c r="Q47" s="120"/>
      <c r="R47" s="120"/>
      <c r="S47" s="120"/>
      <c r="T47" s="299"/>
    </row>
    <row r="48" spans="3:20" s="50" customFormat="1">
      <c r="C48"/>
      <c r="D48" t="s">
        <v>42</v>
      </c>
      <c r="E48"/>
      <c r="F48" s="288">
        <f>' Financials'!I72</f>
        <v>-36.1</v>
      </c>
      <c r="G48" s="288">
        <f>' Financials'!J72</f>
        <v>-37.299999999999997</v>
      </c>
      <c r="H48" s="288">
        <f>' Financials'!K72</f>
        <v>-31</v>
      </c>
      <c r="I48" s="288">
        <f>' Financials'!L72</f>
        <v>-36</v>
      </c>
      <c r="J48" s="288">
        <f>' Financials'!M72</f>
        <v>-51</v>
      </c>
      <c r="K48" s="288">
        <f>' Financials'!N72</f>
        <v>-50</v>
      </c>
      <c r="L48" s="288">
        <f>' Financials'!O72</f>
        <v>-50</v>
      </c>
      <c r="M48" s="288">
        <f>' Financials'!P72</f>
        <v>-50</v>
      </c>
      <c r="N48" s="288">
        <f>' Financials'!Q72</f>
        <v>-50</v>
      </c>
      <c r="O48" s="288">
        <f>' Financials'!R72</f>
        <v>-50</v>
      </c>
      <c r="P48" s="288">
        <f>' Financials'!S72</f>
        <v>-50</v>
      </c>
      <c r="Q48" s="288">
        <f>' Financials'!T72</f>
        <v>-50</v>
      </c>
      <c r="R48" s="288">
        <f>' Financials'!U72</f>
        <v>-50</v>
      </c>
      <c r="S48" s="288">
        <f>' Financials'!V72</f>
        <v>-50</v>
      </c>
      <c r="T48" s="298"/>
    </row>
    <row r="49" spans="3:20">
      <c r="C49" s="50"/>
      <c r="D49" s="50" t="s">
        <v>78</v>
      </c>
      <c r="E49" s="50"/>
      <c r="F49" s="294">
        <f>F48/F24</f>
        <v>-3.2968036529680368E-2</v>
      </c>
      <c r="G49" s="294">
        <f t="shared" ref="G49:S49" si="20">G48/G24</f>
        <v>-3.2860540921504713E-2</v>
      </c>
      <c r="H49" s="294">
        <f t="shared" si="20"/>
        <v>-2.7226418408571932E-2</v>
      </c>
      <c r="I49" s="294">
        <f t="shared" si="20"/>
        <v>-3.1325289075688233E-2</v>
      </c>
      <c r="J49" s="294">
        <f t="shared" si="20"/>
        <v>-4.0617045948380379E-2</v>
      </c>
      <c r="K49" s="294">
        <f t="shared" si="20"/>
        <v>-3.6932057370415751E-2</v>
      </c>
      <c r="L49" s="294">
        <f t="shared" si="20"/>
        <v>-3.4554835728332456E-2</v>
      </c>
      <c r="M49" s="294">
        <f t="shared" si="20"/>
        <v>-3.4659153551726836E-2</v>
      </c>
      <c r="N49" s="294">
        <f t="shared" si="20"/>
        <v>-3.3979562305614552E-2</v>
      </c>
      <c r="O49" s="294">
        <f t="shared" ca="1" si="20"/>
        <v>-3.3378744897460261E-2</v>
      </c>
      <c r="P49" s="294">
        <f t="shared" ca="1" si="20"/>
        <v>-3.2853095371516004E-2</v>
      </c>
      <c r="Q49" s="294">
        <f t="shared" ca="1" si="20"/>
        <v>-3.239950233877318E-2</v>
      </c>
      <c r="R49" s="294">
        <f t="shared" ca="1" si="20"/>
        <v>-3.2015318516574284E-2</v>
      </c>
      <c r="S49" s="294">
        <f t="shared" ca="1" si="20"/>
        <v>-3.1698335164925033E-2</v>
      </c>
      <c r="T49" s="300"/>
    </row>
    <row r="50" spans="3:20">
      <c r="C50" s="50"/>
      <c r="D50" s="50" t="s">
        <v>108</v>
      </c>
      <c r="E50" s="50"/>
      <c r="F50" s="294">
        <f>F48/F31</f>
        <v>1.1424050632911389</v>
      </c>
      <c r="G50" s="294">
        <f t="shared" ref="G50:S50" si="21">G48/G31</f>
        <v>1.0687679083094552</v>
      </c>
      <c r="H50" s="294">
        <f t="shared" si="21"/>
        <v>0.86111111111111116</v>
      </c>
      <c r="I50" s="294">
        <f t="shared" si="21"/>
        <v>0.99642352045098581</v>
      </c>
      <c r="J50" s="294">
        <f t="shared" si="21"/>
        <v>1.2606508458668098</v>
      </c>
      <c r="K50" s="294">
        <f t="shared" si="21"/>
        <v>1.0594284791710042</v>
      </c>
      <c r="L50" s="294">
        <f t="shared" si="21"/>
        <v>0.96470075827557256</v>
      </c>
      <c r="M50" s="294">
        <f t="shared" si="21"/>
        <v>0.91241022194146026</v>
      </c>
      <c r="N50" s="294">
        <f t="shared" ca="1" si="21"/>
        <v>0.93312724700692273</v>
      </c>
      <c r="O50" s="294">
        <f t="shared" ca="1" si="21"/>
        <v>0.95480692409006662</v>
      </c>
      <c r="P50" s="294">
        <f t="shared" ca="1" si="21"/>
        <v>0.97751794606662834</v>
      </c>
      <c r="Q50" s="294">
        <f t="shared" ca="1" si="21"/>
        <v>1.0013357007689758</v>
      </c>
      <c r="R50" s="294">
        <f t="shared" ca="1" si="21"/>
        <v>1.0263431069869631</v>
      </c>
      <c r="S50" s="294">
        <f t="shared" ca="1" si="21"/>
        <v>1.0526315789473684</v>
      </c>
      <c r="T50" s="300"/>
    </row>
    <row r="51" spans="3:20">
      <c r="C51" s="50"/>
      <c r="D51" s="50"/>
      <c r="E51" s="50"/>
      <c r="F51" s="51"/>
      <c r="G51" s="51"/>
      <c r="H51" s="63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300"/>
    </row>
    <row r="52" spans="3:20">
      <c r="D52" t="s">
        <v>109</v>
      </c>
      <c r="F52" s="288">
        <f>' Financials'!I74</f>
        <v>-16.300000000000004</v>
      </c>
      <c r="G52" s="288">
        <f>' Financials'!J74</f>
        <v>-12.6</v>
      </c>
      <c r="H52" s="288">
        <f>' Financials'!K74</f>
        <v>-10.399999999999999</v>
      </c>
      <c r="I52" s="288">
        <f>' Financials'!L74</f>
        <v>6</v>
      </c>
      <c r="J52" s="288">
        <f>' Financials'!M74</f>
        <v>16.111954440903407</v>
      </c>
      <c r="K52" s="288">
        <f>' Financials'!N74</f>
        <v>15.168892666804709</v>
      </c>
      <c r="L52" s="288">
        <f>' Financials'!O74</f>
        <v>11.110216900668604</v>
      </c>
      <c r="M52" s="288">
        <f>' Financials'!P74</f>
        <v>3.9548595532390358</v>
      </c>
      <c r="N52" s="288">
        <f>' Financials'!Q74</f>
        <v>0</v>
      </c>
      <c r="O52" s="288">
        <f ca="1">' Financials'!R74</f>
        <v>0</v>
      </c>
      <c r="P52" s="288">
        <f ca="1">' Financials'!S74</f>
        <v>0</v>
      </c>
      <c r="Q52" s="288">
        <f ca="1">' Financials'!T74</f>
        <v>0</v>
      </c>
      <c r="R52" s="288">
        <f ca="1">' Financials'!U74</f>
        <v>0</v>
      </c>
      <c r="S52" s="288">
        <f ca="1">' Financials'!V74</f>
        <v>0</v>
      </c>
      <c r="T52" s="298"/>
    </row>
    <row r="53" spans="3:20">
      <c r="C53" s="50"/>
      <c r="D53" s="50" t="s">
        <v>78</v>
      </c>
      <c r="E53" s="50"/>
      <c r="F53" s="294">
        <f>F52/F24</f>
        <v>-1.4885844748858451E-2</v>
      </c>
      <c r="G53" s="294"/>
      <c r="H53" s="296"/>
      <c r="I53" s="294"/>
      <c r="J53" s="294"/>
      <c r="K53" s="294"/>
      <c r="L53" s="294"/>
      <c r="M53" s="294"/>
      <c r="N53" s="294"/>
      <c r="O53" s="294"/>
      <c r="P53" s="294"/>
      <c r="Q53" s="294"/>
      <c r="R53" s="294"/>
      <c r="S53" s="294"/>
      <c r="T53" s="51"/>
    </row>
    <row r="54" spans="3:20">
      <c r="C54" s="50"/>
      <c r="D54" s="50"/>
      <c r="E54" s="50"/>
      <c r="F54" s="51"/>
      <c r="G54" s="51"/>
      <c r="H54" s="63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</row>
    <row r="55" spans="3:20">
      <c r="C55" s="50"/>
      <c r="D55" t="s">
        <v>82</v>
      </c>
      <c r="E55" s="50"/>
      <c r="F55" s="288">
        <f>' Financials'!I76</f>
        <v>0</v>
      </c>
      <c r="G55" s="288">
        <f>' Financials'!J76</f>
        <v>-1.5</v>
      </c>
      <c r="H55" s="288">
        <f>' Financials'!K76</f>
        <v>0.74</v>
      </c>
      <c r="I55" s="288">
        <f>' Financials'!L76</f>
        <v>0</v>
      </c>
      <c r="J55" s="288">
        <f>' Financials'!M76</f>
        <v>0</v>
      </c>
      <c r="K55" s="288">
        <f>' Financials'!N76</f>
        <v>-5</v>
      </c>
      <c r="L55" s="288">
        <f>' Financials'!O76</f>
        <v>-5</v>
      </c>
      <c r="M55" s="288">
        <f>' Financials'!P76</f>
        <v>-5</v>
      </c>
      <c r="N55" s="288">
        <f>' Financials'!Q76</f>
        <v>-5</v>
      </c>
      <c r="O55" s="288">
        <f>' Financials'!R76</f>
        <v>-5</v>
      </c>
      <c r="P55" s="288">
        <f>' Financials'!S76</f>
        <v>-5</v>
      </c>
      <c r="Q55" s="288">
        <f>' Financials'!T76</f>
        <v>-5</v>
      </c>
      <c r="R55" s="288">
        <f>' Financials'!U76</f>
        <v>-5</v>
      </c>
      <c r="S55" s="288">
        <f>' Financials'!V76</f>
        <v>-5</v>
      </c>
      <c r="T55" s="51"/>
    </row>
    <row r="56" spans="3:20">
      <c r="C56" s="50"/>
      <c r="D56" s="50" t="s">
        <v>78</v>
      </c>
      <c r="E56" s="50"/>
      <c r="F56" s="294">
        <f>F55/F24</f>
        <v>0</v>
      </c>
      <c r="G56" s="294">
        <f t="shared" ref="G56:S56" si="22">G55/G24</f>
        <v>-1.3214694740551493E-3</v>
      </c>
      <c r="H56" s="294">
        <f t="shared" si="22"/>
        <v>6.4992095555945904E-4</v>
      </c>
      <c r="I56" s="294">
        <f t="shared" si="22"/>
        <v>0</v>
      </c>
      <c r="J56" s="294">
        <f t="shared" si="22"/>
        <v>0</v>
      </c>
      <c r="K56" s="294">
        <f t="shared" si="22"/>
        <v>-3.6932057370415751E-3</v>
      </c>
      <c r="L56" s="294">
        <f t="shared" si="22"/>
        <v>-3.4554835728332453E-3</v>
      </c>
      <c r="M56" s="294">
        <f t="shared" si="22"/>
        <v>-3.4659153551726838E-3</v>
      </c>
      <c r="N56" s="294">
        <f t="shared" si="22"/>
        <v>-3.3979562305614551E-3</v>
      </c>
      <c r="O56" s="294">
        <f t="shared" ca="1" si="22"/>
        <v>-3.3378744897460265E-3</v>
      </c>
      <c r="P56" s="294">
        <f t="shared" ca="1" si="22"/>
        <v>-3.2853095371516007E-3</v>
      </c>
      <c r="Q56" s="294">
        <f t="shared" ca="1" si="22"/>
        <v>-3.2399502338773178E-3</v>
      </c>
      <c r="R56" s="294">
        <f t="shared" ca="1" si="22"/>
        <v>-3.2015318516574287E-3</v>
      </c>
      <c r="S56" s="294">
        <f t="shared" ca="1" si="22"/>
        <v>-3.1698335164925037E-3</v>
      </c>
      <c r="T56" s="51"/>
    </row>
    <row r="57" spans="3:20">
      <c r="C57" s="50"/>
      <c r="D57" s="50"/>
      <c r="E57" s="50"/>
      <c r="F57" s="51"/>
      <c r="G57" s="51"/>
      <c r="H57" s="63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</row>
    <row r="58" spans="3:20">
      <c r="C58" s="50"/>
      <c r="D58" t="s">
        <v>84</v>
      </c>
      <c r="E58" s="50"/>
      <c r="F58" s="288">
        <f>' Financials'!I78</f>
        <v>0</v>
      </c>
      <c r="G58" s="288">
        <f>' Financials'!J78</f>
        <v>0</v>
      </c>
      <c r="H58" s="288">
        <f>' Financials'!K78</f>
        <v>0</v>
      </c>
      <c r="I58" s="288">
        <f>' Financials'!L78</f>
        <v>0</v>
      </c>
      <c r="J58" s="288">
        <f>' Financials'!M78</f>
        <v>-18.004468664734777</v>
      </c>
      <c r="K58" s="288">
        <f>' Financials'!N78</f>
        <v>-6.7527180429793674</v>
      </c>
      <c r="L58" s="288">
        <f>' Financials'!O78</f>
        <v>25.138454026318882</v>
      </c>
      <c r="M58" s="288">
        <f>' Financials'!P78</f>
        <v>-4.8650405710493061</v>
      </c>
      <c r="N58" s="288">
        <f>' Financials'!Q78</f>
        <v>0</v>
      </c>
      <c r="O58" s="288">
        <f>' Financials'!R78</f>
        <v>0</v>
      </c>
      <c r="P58" s="288">
        <f>' Financials'!S78</f>
        <v>0</v>
      </c>
      <c r="Q58" s="288">
        <f>' Financials'!T78</f>
        <v>0</v>
      </c>
      <c r="R58" s="288">
        <f>' Financials'!U78</f>
        <v>0</v>
      </c>
      <c r="S58" s="288">
        <f>' Financials'!V78</f>
        <v>0</v>
      </c>
      <c r="T58" s="51"/>
    </row>
    <row r="59" spans="3:20">
      <c r="C59" s="50"/>
      <c r="D59" s="50" t="s">
        <v>78</v>
      </c>
      <c r="E59" s="50"/>
      <c r="F59" s="294">
        <f>F58/F24</f>
        <v>0</v>
      </c>
      <c r="G59" s="294">
        <f t="shared" ref="G59:S59" si="23">G58/G24</f>
        <v>0</v>
      </c>
      <c r="H59" s="294">
        <f t="shared" si="23"/>
        <v>0</v>
      </c>
      <c r="I59" s="294">
        <f t="shared" si="23"/>
        <v>0</v>
      </c>
      <c r="J59" s="294">
        <f t="shared" si="23"/>
        <v>-1.433898688297465E-2</v>
      </c>
      <c r="K59" s="294">
        <f t="shared" si="23"/>
        <v>-4.9878354033911108E-3</v>
      </c>
      <c r="L59" s="294">
        <f t="shared" si="23"/>
        <v>1.737310298687373E-2</v>
      </c>
      <c r="M59" s="294">
        <f t="shared" si="23"/>
        <v>-3.3723637637475745E-3</v>
      </c>
      <c r="N59" s="294">
        <f t="shared" si="23"/>
        <v>0</v>
      </c>
      <c r="O59" s="294">
        <f t="shared" ca="1" si="23"/>
        <v>0</v>
      </c>
      <c r="P59" s="294">
        <f t="shared" ca="1" si="23"/>
        <v>0</v>
      </c>
      <c r="Q59" s="294">
        <f t="shared" ca="1" si="23"/>
        <v>0</v>
      </c>
      <c r="R59" s="294">
        <f t="shared" ca="1" si="23"/>
        <v>0</v>
      </c>
      <c r="S59" s="294">
        <f t="shared" ca="1" si="23"/>
        <v>0</v>
      </c>
      <c r="T59" s="51"/>
    </row>
    <row r="60" spans="3:20">
      <c r="H60" s="63"/>
    </row>
    <row r="61" spans="3:20">
      <c r="D61" s="52" t="s">
        <v>110</v>
      </c>
      <c r="E61" s="52"/>
      <c r="F61" s="111"/>
      <c r="G61" s="111"/>
      <c r="H61" s="112"/>
      <c r="I61" s="301">
        <f>I42+I46+I48+I52+I55+I58</f>
        <v>53.123790752980312</v>
      </c>
      <c r="J61" s="301">
        <f t="shared" ref="J61:S61" si="24">J42+J46+J48+J52+J55+J58</f>
        <v>15.23686904887013</v>
      </c>
      <c r="K61" s="301">
        <f t="shared" si="24"/>
        <v>48.625903519709269</v>
      </c>
      <c r="L61" s="301">
        <f t="shared" si="24"/>
        <v>94.252411224656186</v>
      </c>
      <c r="M61" s="301">
        <f t="shared" si="24"/>
        <v>55.249367736972587</v>
      </c>
      <c r="N61" s="301">
        <f t="shared" ca="1" si="24"/>
        <v>58.996019098458845</v>
      </c>
      <c r="O61" s="301">
        <f t="shared" ca="1" si="24"/>
        <v>61.701697474582389</v>
      </c>
      <c r="P61" s="301">
        <f t="shared" ca="1" si="24"/>
        <v>64.260594998909141</v>
      </c>
      <c r="Q61" s="301">
        <f t="shared" ca="1" si="24"/>
        <v>66.657187109554854</v>
      </c>
      <c r="R61" s="301">
        <f t="shared" ca="1" si="24"/>
        <v>68.876556228964631</v>
      </c>
      <c r="S61" s="301">
        <f t="shared" ca="1" si="24"/>
        <v>70.904532073749621</v>
      </c>
      <c r="T61" s="111" t="s">
        <v>111</v>
      </c>
    </row>
    <row r="62" spans="3:20">
      <c r="H62" s="62"/>
    </row>
    <row r="63" spans="3:20" ht="12.75" customHeight="1">
      <c r="D63" s="37" t="s">
        <v>102</v>
      </c>
      <c r="H63" s="62"/>
      <c r="I63" s="222">
        <f t="shared" ref="I63:S63" si="25">-I18*I61</f>
        <v>-53.123790752980312</v>
      </c>
      <c r="J63" s="2">
        <f t="shared" si="25"/>
        <v>-1.0429068479719332E-2</v>
      </c>
      <c r="K63" s="2">
        <f t="shared" si="25"/>
        <v>0</v>
      </c>
      <c r="L63" s="2">
        <f t="shared" si="25"/>
        <v>0</v>
      </c>
      <c r="M63" s="2">
        <f t="shared" si="25"/>
        <v>0</v>
      </c>
      <c r="N63" s="2">
        <f t="shared" ca="1" si="25"/>
        <v>0</v>
      </c>
      <c r="O63" s="2">
        <f t="shared" ca="1" si="25"/>
        <v>0</v>
      </c>
      <c r="P63" s="2">
        <f t="shared" ca="1" si="25"/>
        <v>0</v>
      </c>
      <c r="Q63" s="2">
        <f t="shared" ca="1" si="25"/>
        <v>0</v>
      </c>
      <c r="R63" s="2">
        <f t="shared" ca="1" si="25"/>
        <v>0</v>
      </c>
      <c r="S63" s="2">
        <f t="shared" ca="1" si="25"/>
        <v>0</v>
      </c>
      <c r="T63" s="2"/>
    </row>
    <row r="64" spans="3:20">
      <c r="D64" s="52" t="s">
        <v>112</v>
      </c>
      <c r="E64" s="52"/>
      <c r="F64" s="52"/>
      <c r="G64" s="52"/>
      <c r="H64" s="224"/>
      <c r="I64" s="113">
        <f>I63+I61</f>
        <v>0</v>
      </c>
      <c r="J64" s="111">
        <f t="shared" ref="J64:O64" si="26">J63+J61</f>
        <v>15.22643998039041</v>
      </c>
      <c r="K64" s="111">
        <f t="shared" si="26"/>
        <v>48.625903519709269</v>
      </c>
      <c r="L64" s="111">
        <f t="shared" si="26"/>
        <v>94.252411224656186</v>
      </c>
      <c r="M64" s="111">
        <f>M63+M61</f>
        <v>55.249367736972587</v>
      </c>
      <c r="N64" s="111">
        <f t="shared" ca="1" si="26"/>
        <v>58.996019098458845</v>
      </c>
      <c r="O64" s="111">
        <f t="shared" ca="1" si="26"/>
        <v>61.701697474582389</v>
      </c>
      <c r="P64" s="111">
        <f ca="1">P63+P61</f>
        <v>64.260594998909141</v>
      </c>
      <c r="Q64" s="111">
        <f ca="1">Q63+Q61</f>
        <v>66.657187109554854</v>
      </c>
      <c r="R64" s="111">
        <f ca="1">R63+R61</f>
        <v>68.876556228964631</v>
      </c>
      <c r="S64" s="111">
        <f ca="1">S63+S61</f>
        <v>70.904532073749621</v>
      </c>
      <c r="T64" s="111"/>
    </row>
    <row r="65" spans="4:20">
      <c r="H65" s="62"/>
    </row>
    <row r="66" spans="4:20" ht="12.75" customHeight="1">
      <c r="D66" s="315" t="s">
        <v>113</v>
      </c>
      <c r="E66" s="315"/>
      <c r="F66" s="315"/>
      <c r="G66" s="315"/>
      <c r="H66" s="316"/>
      <c r="I66" s="317">
        <f>(I22-F7)/2</f>
        <v>0</v>
      </c>
      <c r="J66" s="318">
        <f t="shared" ref="J66:S66" si="27">I66+365.25</f>
        <v>365.25</v>
      </c>
      <c r="K66" s="318">
        <f t="shared" si="27"/>
        <v>730.5</v>
      </c>
      <c r="L66" s="318">
        <f t="shared" si="27"/>
        <v>1095.75</v>
      </c>
      <c r="M66" s="318">
        <f t="shared" si="27"/>
        <v>1461</v>
      </c>
      <c r="N66" s="318">
        <f t="shared" si="27"/>
        <v>1826.25</v>
      </c>
      <c r="O66" s="318">
        <f t="shared" si="27"/>
        <v>2191.5</v>
      </c>
      <c r="P66" s="318">
        <f t="shared" si="27"/>
        <v>2556.75</v>
      </c>
      <c r="Q66" s="318">
        <f t="shared" si="27"/>
        <v>2922</v>
      </c>
      <c r="R66" s="318">
        <f t="shared" si="27"/>
        <v>3287.25</v>
      </c>
      <c r="S66" s="318">
        <f t="shared" si="27"/>
        <v>3652.5</v>
      </c>
      <c r="T66" s="318"/>
    </row>
    <row r="67" spans="4:20">
      <c r="D67" s="40" t="s">
        <v>114</v>
      </c>
      <c r="E67" s="40"/>
      <c r="F67" s="40"/>
      <c r="G67" s="40"/>
      <c r="H67" s="225"/>
      <c r="I67" s="105">
        <f>1/((1+$F$11)^(I66/365.25))</f>
        <v>1</v>
      </c>
      <c r="J67" s="114">
        <f t="shared" ref="J67:Q67" si="28">1/((1+$F$11)^(J66/365.25))</f>
        <v>0.92165898617511521</v>
      </c>
      <c r="K67" s="114">
        <f t="shared" si="28"/>
        <v>0.84945528679734128</v>
      </c>
      <c r="L67" s="114">
        <f t="shared" si="28"/>
        <v>0.78290809843072917</v>
      </c>
      <c r="M67" s="114">
        <f t="shared" si="28"/>
        <v>0.72157428426795334</v>
      </c>
      <c r="N67" s="114">
        <f t="shared" si="28"/>
        <v>0.66504542328843619</v>
      </c>
      <c r="O67" s="114">
        <f t="shared" si="28"/>
        <v>0.6129450905884205</v>
      </c>
      <c r="P67" s="114">
        <f t="shared" si="28"/>
        <v>0.56492635077273778</v>
      </c>
      <c r="Q67" s="114">
        <f t="shared" si="28"/>
        <v>0.52066944771680901</v>
      </c>
      <c r="R67" s="114">
        <f>1/((1+$F$11)^(R66/365.25))</f>
        <v>0.4798796753150314</v>
      </c>
      <c r="S67" s="114">
        <f>1/((1+$F$11)^(S66/365.25))</f>
        <v>0.44228541503689528</v>
      </c>
      <c r="T67" s="114"/>
    </row>
    <row r="68" spans="4:20">
      <c r="R68" s="2"/>
      <c r="S68" s="2"/>
      <c r="T68" s="2"/>
    </row>
    <row r="69" spans="4:20">
      <c r="D69" s="61" t="s">
        <v>115</v>
      </c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 t="s">
        <v>116</v>
      </c>
      <c r="Q69" s="61"/>
      <c r="R69" s="61"/>
      <c r="S69" s="61"/>
      <c r="T69" s="66">
        <f ca="1">S64*(1+F9)/(F11-F9)</f>
        <v>890.73818417647954</v>
      </c>
    </row>
    <row r="70" spans="4:20"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 t="s">
        <v>117</v>
      </c>
      <c r="Q70" s="35"/>
      <c r="R70" s="35"/>
      <c r="S70" s="35"/>
      <c r="T70" s="67">
        <f ca="1">S27*F10</f>
        <v>1206.6879790685202</v>
      </c>
    </row>
    <row r="71" spans="4:20">
      <c r="Q71" s="2"/>
      <c r="R71" s="2"/>
      <c r="S71" s="2"/>
      <c r="T71" s="2"/>
    </row>
    <row r="72" spans="4:20">
      <c r="F72" s="45" t="s">
        <v>118</v>
      </c>
      <c r="G72" s="45"/>
      <c r="H72" s="45"/>
      <c r="I72" s="45"/>
      <c r="L72" s="45" t="s">
        <v>119</v>
      </c>
      <c r="M72" s="45"/>
      <c r="N72" s="45"/>
      <c r="O72" s="45"/>
    </row>
    <row r="73" spans="4:20" ht="4.5" customHeight="1"/>
    <row r="74" spans="4:20">
      <c r="F74" s="35" t="s">
        <v>120</v>
      </c>
      <c r="G74" s="35"/>
      <c r="H74" s="107" t="s">
        <v>121</v>
      </c>
      <c r="I74" s="107" t="s">
        <v>122</v>
      </c>
      <c r="L74" s="35" t="s">
        <v>120</v>
      </c>
      <c r="M74" s="68"/>
      <c r="N74" s="107" t="s">
        <v>121</v>
      </c>
      <c r="O74" s="107" t="s">
        <v>122</v>
      </c>
    </row>
    <row r="75" spans="4:20">
      <c r="F75" t="s">
        <v>123</v>
      </c>
      <c r="H75" s="269">
        <f ca="1">SUMPRODUCT($I$64:$T$64,$I$67:$T$67)</f>
        <v>381.47276418876623</v>
      </c>
      <c r="I75" s="49">
        <f ca="1">H75/$H$77</f>
        <v>0.49194789303913844</v>
      </c>
      <c r="L75" t="s">
        <v>123</v>
      </c>
      <c r="N75" s="39">
        <f ca="1">SUMPRODUCT($G$64:$T$64,$G$67:$T$67)</f>
        <v>381.47276418876623</v>
      </c>
      <c r="O75" s="49">
        <f ca="1">N75/$N$77</f>
        <v>0.39714497885651251</v>
      </c>
    </row>
    <row r="76" spans="4:20">
      <c r="F76" t="s">
        <v>124</v>
      </c>
      <c r="H76" s="269">
        <f ca="1">T69*S67</f>
        <v>393.96050747770471</v>
      </c>
      <c r="I76" s="49">
        <f ca="1">H76/$H$77</f>
        <v>0.50805210696086156</v>
      </c>
      <c r="L76" t="s">
        <v>124</v>
      </c>
      <c r="N76" s="39">
        <f ca="1">T70*R67</f>
        <v>579.0650356019529</v>
      </c>
      <c r="O76" s="49">
        <f ca="1">N76/$N$77</f>
        <v>0.60285502114348744</v>
      </c>
    </row>
    <row r="77" spans="4:20">
      <c r="F77" s="23" t="s">
        <v>125</v>
      </c>
      <c r="G77" s="52"/>
      <c r="H77" s="270">
        <f ca="1">SUM(H75:H76)</f>
        <v>775.433271666471</v>
      </c>
      <c r="I77" s="53">
        <f ca="1">SUM(I75:I76)</f>
        <v>1</v>
      </c>
      <c r="L77" s="23" t="s">
        <v>125</v>
      </c>
      <c r="M77" s="52"/>
      <c r="N77" s="47">
        <f ca="1">SUM(N75:N76)</f>
        <v>960.53779979071919</v>
      </c>
      <c r="O77" s="53">
        <f ca="1">SUM(O75:O76)</f>
        <v>1</v>
      </c>
    </row>
    <row r="78" spans="4:20">
      <c r="F78" t="s">
        <v>126</v>
      </c>
      <c r="H78" s="110">
        <f>-SUM(Assumptions!$D$19:$D$22)</f>
        <v>-84.616813539584982</v>
      </c>
      <c r="I78" s="71"/>
      <c r="L78" t="s">
        <v>126</v>
      </c>
      <c r="N78" s="110">
        <f>-SUM(Assumptions!$D$19:$D$22)</f>
        <v>-84.616813539584982</v>
      </c>
      <c r="O78" s="71"/>
    </row>
    <row r="79" spans="4:20">
      <c r="F79" s="23" t="s">
        <v>127</v>
      </c>
      <c r="G79" s="52"/>
      <c r="H79" s="270">
        <f ca="1">H77+H78</f>
        <v>690.816458126886</v>
      </c>
      <c r="I79" s="53"/>
      <c r="L79" s="23" t="s">
        <v>127</v>
      </c>
      <c r="M79" s="52"/>
      <c r="N79" s="47">
        <f ca="1">N77+N78</f>
        <v>875.9209862511342</v>
      </c>
      <c r="O79" s="53"/>
    </row>
    <row r="80" spans="4:20">
      <c r="F80" s="315" t="s">
        <v>128</v>
      </c>
      <c r="G80" s="315"/>
      <c r="H80" s="319">
        <f ca="1">H79/Assumptions!$D$17*100</f>
        <v>347.1439488074804</v>
      </c>
      <c r="I80" s="320"/>
      <c r="L80" s="315" t="s">
        <v>128</v>
      </c>
      <c r="M80" s="315"/>
      <c r="N80" s="321">
        <f ca="1">N79/Assumptions!$D$17*100</f>
        <v>440.16129962368547</v>
      </c>
      <c r="O80" s="320"/>
    </row>
    <row r="81" spans="4:20">
      <c r="F81" s="72" t="s">
        <v>129</v>
      </c>
      <c r="G81" s="40"/>
      <c r="H81" s="271">
        <f ca="1">H80/Assumptions!$D$16-1</f>
        <v>1.103902720045336</v>
      </c>
      <c r="I81" s="74"/>
      <c r="L81" s="72" t="s">
        <v>129</v>
      </c>
      <c r="M81" s="40"/>
      <c r="N81" s="73">
        <f ca="1">N80/Assumptions!$D$16-1</f>
        <v>1.6676442401435483</v>
      </c>
      <c r="O81" s="74"/>
    </row>
    <row r="82" spans="4:20">
      <c r="H82" s="2"/>
    </row>
    <row r="83" spans="4:20">
      <c r="D83" s="45" t="s">
        <v>130</v>
      </c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</row>
    <row r="84" spans="4:20" ht="4.5" customHeight="1"/>
    <row r="85" spans="4:20">
      <c r="D85" s="35" t="s">
        <v>131</v>
      </c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61"/>
    </row>
    <row r="87" spans="4:20" ht="12.75" customHeight="1">
      <c r="E87" s="25" t="s">
        <v>94</v>
      </c>
      <c r="F87" s="346">
        <v>5.0000000000000001E-3</v>
      </c>
      <c r="G87" s="25" t="s">
        <v>132</v>
      </c>
      <c r="I87" s="347">
        <v>2.5000000000000001E-3</v>
      </c>
      <c r="L87" s="25" t="s">
        <v>133</v>
      </c>
      <c r="M87" s="348">
        <v>8.5</v>
      </c>
      <c r="N87" s="25" t="s">
        <v>134</v>
      </c>
      <c r="P87" s="348">
        <v>0.5</v>
      </c>
    </row>
    <row r="88" spans="4:20">
      <c r="E88" s="25" t="s">
        <v>135</v>
      </c>
      <c r="F88" s="347">
        <v>8.5000000000000006E-2</v>
      </c>
      <c r="G88" s="25" t="s">
        <v>136</v>
      </c>
      <c r="I88" s="347">
        <v>5.0000000000000001E-3</v>
      </c>
      <c r="L88" s="25" t="s">
        <v>135</v>
      </c>
      <c r="M88" s="349">
        <f>F88</f>
        <v>8.5000000000000006E-2</v>
      </c>
      <c r="N88" s="25" t="s">
        <v>136</v>
      </c>
      <c r="P88" s="98">
        <f>I88</f>
        <v>5.0000000000000001E-3</v>
      </c>
    </row>
    <row r="90" spans="4:20">
      <c r="E90" s="65" t="s">
        <v>137</v>
      </c>
      <c r="F90" s="65"/>
      <c r="G90" s="65"/>
      <c r="H90" s="65"/>
      <c r="I90" s="65"/>
      <c r="J90" s="65"/>
      <c r="L90" s="65" t="s">
        <v>138</v>
      </c>
      <c r="M90" s="65"/>
      <c r="N90" s="65"/>
      <c r="O90" s="65"/>
      <c r="P90" s="65"/>
      <c r="Q90" s="65"/>
    </row>
    <row r="91" spans="4:20" ht="4.5" customHeight="1"/>
    <row r="92" spans="4:20">
      <c r="E92" s="64" t="s">
        <v>139</v>
      </c>
      <c r="F92" s="35"/>
      <c r="G92" s="35"/>
      <c r="H92" s="35"/>
      <c r="I92" s="35"/>
      <c r="J92" s="35"/>
      <c r="L92" s="64" t="s">
        <v>139</v>
      </c>
      <c r="M92" s="35"/>
      <c r="N92" s="35"/>
      <c r="O92" s="35"/>
      <c r="P92" s="35"/>
      <c r="Q92" s="35"/>
    </row>
    <row r="93" spans="4:20">
      <c r="E93" s="28" t="s">
        <v>140</v>
      </c>
      <c r="F93" s="69" t="s">
        <v>141</v>
      </c>
      <c r="G93" s="48"/>
      <c r="H93" s="48"/>
      <c r="I93" s="48"/>
      <c r="J93" s="322"/>
      <c r="L93" s="28" t="s">
        <v>140</v>
      </c>
      <c r="M93" s="48" t="s">
        <v>142</v>
      </c>
      <c r="N93" s="48"/>
      <c r="O93" s="48"/>
      <c r="P93" s="48"/>
      <c r="Q93" s="322"/>
    </row>
    <row r="94" spans="4:20" ht="12.75" customHeight="1">
      <c r="E94" s="54">
        <f ca="1">H77</f>
        <v>775.433271666471</v>
      </c>
      <c r="F94" s="55">
        <f>G94-$I$87</f>
        <v>0</v>
      </c>
      <c r="G94" s="55">
        <f>H94-$I$87</f>
        <v>2.5000000000000001E-3</v>
      </c>
      <c r="H94" s="323">
        <f>$F$87</f>
        <v>5.0000000000000001E-3</v>
      </c>
      <c r="I94" s="55">
        <f>H94+$I$87</f>
        <v>7.4999999999999997E-3</v>
      </c>
      <c r="J94" s="324">
        <f>I94+$I$87</f>
        <v>0.01</v>
      </c>
      <c r="L94" s="54">
        <f ca="1">N77</f>
        <v>960.53779979071919</v>
      </c>
      <c r="M94" s="244">
        <f>N94-$P$87</f>
        <v>7.5</v>
      </c>
      <c r="N94" s="244">
        <f>O94-$P$87</f>
        <v>8</v>
      </c>
      <c r="O94" s="325">
        <f>$M$87</f>
        <v>8.5</v>
      </c>
      <c r="P94" s="244">
        <f>O94+$P$87</f>
        <v>9</v>
      </c>
      <c r="Q94" s="326">
        <f>P94+$P$87</f>
        <v>9.5</v>
      </c>
    </row>
    <row r="95" spans="4:20" ht="12.75" customHeight="1">
      <c r="E95" s="26">
        <f>E96-$I$88</f>
        <v>7.4999999999999997E-2</v>
      </c>
      <c r="F95" s="228">
        <f t="dataTable" ref="F95:J99" dt2D="1" dtr="1" r1="F9" r2="F11" ca="1"/>
        <v>859.69130953150966</v>
      </c>
      <c r="G95" s="229">
        <v>876.69481853614525</v>
      </c>
      <c r="H95" s="230">
        <v>894.91286389825507</v>
      </c>
      <c r="I95" s="229">
        <v>914.48039410200249</v>
      </c>
      <c r="J95" s="231">
        <v>935.55311893680755</v>
      </c>
      <c r="L95" s="26">
        <f>L96-$I$88</f>
        <v>7.4999999999999997E-2</v>
      </c>
      <c r="M95" s="327">
        <f t="dataTable" ref="M95:Q99" dt2D="1" dtr="1" r1="F10" r2="F11" ca="1"/>
        <v>956.33479701739338</v>
      </c>
      <c r="N95" s="328">
        <v>993.35765036199882</v>
      </c>
      <c r="O95" s="328">
        <v>1030.380503706604</v>
      </c>
      <c r="P95" s="328">
        <v>1067.4033570512095</v>
      </c>
      <c r="Q95" s="329">
        <v>1104.4262103958149</v>
      </c>
    </row>
    <row r="96" spans="4:20" ht="12.75" customHeight="1">
      <c r="E96" s="26">
        <f>E97-$I$88</f>
        <v>0.08</v>
      </c>
      <c r="F96" s="232">
        <v>801.58985961975884</v>
      </c>
      <c r="G96" s="233">
        <v>815.89224628703005</v>
      </c>
      <c r="H96" s="230">
        <v>831.14812539878608</v>
      </c>
      <c r="I96" s="233">
        <v>847.45613410445617</v>
      </c>
      <c r="J96" s="234">
        <v>864.92900057481711</v>
      </c>
      <c r="L96" s="26">
        <f>L97-$I$88</f>
        <v>0.08</v>
      </c>
      <c r="M96" s="245">
        <v>923.68581562452221</v>
      </c>
      <c r="N96" s="246">
        <v>959.1943106350501</v>
      </c>
      <c r="O96" s="247">
        <v>994.702805645578</v>
      </c>
      <c r="P96" s="246">
        <v>1030.211300656106</v>
      </c>
      <c r="Q96" s="330">
        <v>1065.7197956666339</v>
      </c>
      <c r="R96" s="58"/>
      <c r="S96" s="58"/>
      <c r="T96" s="58"/>
    </row>
    <row r="97" spans="4:20" ht="12.75" customHeight="1">
      <c r="E97" s="331">
        <f>$F$88</f>
        <v>8.5000000000000006E-2</v>
      </c>
      <c r="F97" s="232">
        <v>750.41441590918043</v>
      </c>
      <c r="G97" s="230">
        <v>762.54477021574553</v>
      </c>
      <c r="H97" s="233">
        <v>775.433271666471</v>
      </c>
      <c r="I97" s="230">
        <v>789.15328933982391</v>
      </c>
      <c r="J97" s="234">
        <v>803.78797485806695</v>
      </c>
      <c r="L97" s="331">
        <f>$M$88</f>
        <v>8.5000000000000006E-2</v>
      </c>
      <c r="M97" s="245">
        <v>892.41250148460699</v>
      </c>
      <c r="N97" s="247">
        <v>926.47515063766309</v>
      </c>
      <c r="O97" s="246">
        <v>960.53779979071919</v>
      </c>
      <c r="P97" s="247">
        <v>994.60044894377506</v>
      </c>
      <c r="Q97" s="330">
        <v>1028.6630980968312</v>
      </c>
      <c r="R97" s="58"/>
      <c r="S97" s="58"/>
      <c r="T97" s="58"/>
    </row>
    <row r="98" spans="4:20" ht="12.75" customHeight="1">
      <c r="E98" s="108">
        <f>E97+$I$88</f>
        <v>9.0000000000000011E-2</v>
      </c>
      <c r="F98" s="232">
        <v>705.00731059814063</v>
      </c>
      <c r="G98" s="233">
        <v>715.37125226809576</v>
      </c>
      <c r="H98" s="230">
        <v>726.34483756569546</v>
      </c>
      <c r="I98" s="233">
        <v>737.98348863890715</v>
      </c>
      <c r="J98" s="234">
        <v>750.34955540419469</v>
      </c>
      <c r="L98" s="108">
        <f>L97+$I$88</f>
        <v>9.0000000000000011E-2</v>
      </c>
      <c r="M98" s="245">
        <v>862.44901637748205</v>
      </c>
      <c r="N98" s="246">
        <v>895.13093795227803</v>
      </c>
      <c r="O98" s="247">
        <v>927.8128595270739</v>
      </c>
      <c r="P98" s="246">
        <v>960.49478110186988</v>
      </c>
      <c r="Q98" s="330">
        <v>993.17670267666585</v>
      </c>
      <c r="R98" s="58"/>
      <c r="S98" s="58"/>
      <c r="T98" s="58"/>
    </row>
    <row r="99" spans="4:20" ht="12.75" customHeight="1">
      <c r="E99" s="109">
        <f>E98+$I$88</f>
        <v>9.5000000000000015E-2</v>
      </c>
      <c r="F99" s="235">
        <v>664.45474727819305</v>
      </c>
      <c r="G99" s="236">
        <v>673.36769980521672</v>
      </c>
      <c r="H99" s="236">
        <v>682.77581636151967</v>
      </c>
      <c r="I99" s="236">
        <v>692.72153957818273</v>
      </c>
      <c r="J99" s="237">
        <v>703.25230533700233</v>
      </c>
      <c r="L99" s="109">
        <f>L98+$I$88</f>
        <v>9.5000000000000015E-2</v>
      </c>
      <c r="M99" s="248">
        <v>833.73299876980889</v>
      </c>
      <c r="N99" s="249">
        <v>865.09609946284991</v>
      </c>
      <c r="O99" s="249">
        <v>896.45920015589093</v>
      </c>
      <c r="P99" s="249">
        <v>927.82230084893183</v>
      </c>
      <c r="Q99" s="332">
        <v>959.18540154197285</v>
      </c>
      <c r="R99" s="58"/>
      <c r="S99" s="58"/>
      <c r="T99" s="58"/>
    </row>
    <row r="101" spans="4:20">
      <c r="E101" s="64" t="s">
        <v>143</v>
      </c>
      <c r="F101" s="35"/>
      <c r="G101" s="35"/>
      <c r="H101" s="35"/>
      <c r="I101" s="35"/>
      <c r="J101" s="35"/>
      <c r="L101" s="64" t="s">
        <v>143</v>
      </c>
      <c r="M101" s="35"/>
      <c r="N101" s="35"/>
      <c r="O101" s="35"/>
      <c r="P101" s="35"/>
      <c r="Q101" s="35"/>
    </row>
    <row r="102" spans="4:20">
      <c r="E102" s="28" t="s">
        <v>140</v>
      </c>
      <c r="F102" s="69" t="s">
        <v>141</v>
      </c>
      <c r="G102" s="48"/>
      <c r="H102" s="48"/>
      <c r="I102" s="48"/>
      <c r="J102" s="322"/>
      <c r="L102" s="28" t="s">
        <v>140</v>
      </c>
      <c r="M102" s="48" t="s">
        <v>142</v>
      </c>
      <c r="N102" s="48"/>
      <c r="O102" s="48"/>
      <c r="P102" s="48"/>
      <c r="Q102" s="322"/>
    </row>
    <row r="103" spans="4:20">
      <c r="E103" s="126">
        <f ca="1">H80</f>
        <v>347.1439488074804</v>
      </c>
      <c r="F103" s="243">
        <f>G103-$I$87</f>
        <v>0</v>
      </c>
      <c r="G103" s="243">
        <f>H103-$I$87</f>
        <v>2.5000000000000001E-3</v>
      </c>
      <c r="H103" s="333">
        <f>$F$87</f>
        <v>5.0000000000000001E-3</v>
      </c>
      <c r="I103" s="243">
        <f>H103+$I$87</f>
        <v>7.4999999999999997E-3</v>
      </c>
      <c r="J103" s="334">
        <f>I103+$I$87</f>
        <v>0.01</v>
      </c>
      <c r="L103" s="126">
        <f ca="1">N80</f>
        <v>440.16129962368547</v>
      </c>
      <c r="M103" s="117">
        <f>N103-$P$87</f>
        <v>7.5</v>
      </c>
      <c r="N103" s="117">
        <f>O103-$P$87</f>
        <v>8</v>
      </c>
      <c r="O103" s="335">
        <f>$M$87</f>
        <v>8.5</v>
      </c>
      <c r="P103" s="117">
        <f>O103+$P$87</f>
        <v>9</v>
      </c>
      <c r="Q103" s="336">
        <f>P103+$P$87</f>
        <v>9.5</v>
      </c>
    </row>
    <row r="104" spans="4:20">
      <c r="E104" s="26">
        <f>E105-$I$88</f>
        <v>7.4999999999999997E-2</v>
      </c>
      <c r="F104" s="337">
        <f>(F95-SUM(Assumptions!$D$19:$D$22))/Assumptions!$D$17*100</f>
        <v>389.48467135272597</v>
      </c>
      <c r="G104" s="338">
        <f>(G95-SUM(Assumptions!$D$19:$D$22))/Assumptions!$D$17*100</f>
        <v>398.02914823947748</v>
      </c>
      <c r="H104" s="238">
        <f>(H95-SUM(Assumptions!$D$19:$D$22))/Assumptions!$D$17*100</f>
        <v>407.1839449038543</v>
      </c>
      <c r="I104" s="338">
        <f>(I95-SUM(Assumptions!$D$19:$D$22))/Assumptions!$D$17*100</f>
        <v>417.01687465448111</v>
      </c>
      <c r="J104" s="339">
        <f>(J95-SUM(Assumptions!$D$19:$D$22))/Assumptions!$D$17*100</f>
        <v>427.60618361669475</v>
      </c>
      <c r="L104" s="26">
        <f>L105-$I$88</f>
        <v>7.4999999999999997E-2</v>
      </c>
      <c r="M104" s="340">
        <f>(M95-SUM(Assumptions!$D$19:$D$22))/Assumptions!$D$17*100</f>
        <v>438.04923792854692</v>
      </c>
      <c r="N104" s="319">
        <f>(N95-SUM(Assumptions!$D$19:$D$22))/Assumptions!$D$17*100</f>
        <v>456.65368684543404</v>
      </c>
      <c r="O104" s="58">
        <f>(O95-SUM(Assumptions!$D$19:$D$22))/Assumptions!$D$17*100</f>
        <v>475.2581357623211</v>
      </c>
      <c r="P104" s="319">
        <f>(P95-SUM(Assumptions!$D$19:$D$22))/Assumptions!$D$17*100</f>
        <v>493.86258467920828</v>
      </c>
      <c r="Q104" s="341">
        <f>(Q95-SUM(Assumptions!$D$19:$D$22))/Assumptions!$D$17*100</f>
        <v>512.46703359609546</v>
      </c>
    </row>
    <row r="105" spans="4:20">
      <c r="E105" s="26">
        <f>E106-$I$88</f>
        <v>0.08</v>
      </c>
      <c r="F105" s="239">
        <f>(F96-SUM(Assumptions!$D$19:$D$22))/Assumptions!$D$17*100</f>
        <v>360.28796285435874</v>
      </c>
      <c r="G105" s="240">
        <f>(G96-SUM(Assumptions!$D$19:$D$22))/Assumptions!$D$17*100</f>
        <v>367.47509183288696</v>
      </c>
      <c r="H105" s="238">
        <f>(H96-SUM(Assumptions!$D$19:$D$22))/Assumptions!$D$17*100</f>
        <v>375.14136274331713</v>
      </c>
      <c r="I105" s="240">
        <f>(I96-SUM(Assumptions!$D$19:$D$22))/Assumptions!$D$17*100</f>
        <v>383.33634199239759</v>
      </c>
      <c r="J105" s="342">
        <f>(J96-SUM(Assumptions!$D$19:$D$22))/Assumptions!$D$17*100</f>
        <v>392.1166769021267</v>
      </c>
      <c r="L105" s="26">
        <f>L106-$I$88</f>
        <v>0.08</v>
      </c>
      <c r="M105" s="56">
        <f>(M96-SUM(Assumptions!$D$19:$D$22))/Assumptions!$D$17*100</f>
        <v>421.64271461554631</v>
      </c>
      <c r="N105" s="57">
        <f>(N96-SUM(Assumptions!$D$19:$D$22))/Assumptions!$D$17*100</f>
        <v>439.48617944495732</v>
      </c>
      <c r="O105" s="58">
        <f>(O96-SUM(Assumptions!$D$19:$D$22))/Assumptions!$D$17*100</f>
        <v>457.32964427436838</v>
      </c>
      <c r="P105" s="57">
        <f>(P96-SUM(Assumptions!$D$19:$D$22))/Assumptions!$D$17*100</f>
        <v>475.17310910377938</v>
      </c>
      <c r="Q105" s="343">
        <f>(Q96-SUM(Assumptions!$D$19:$D$22))/Assumptions!$D$17*100</f>
        <v>493.01657393319039</v>
      </c>
    </row>
    <row r="106" spans="4:20">
      <c r="E106" s="331">
        <f>$F$88</f>
        <v>8.5000000000000006E-2</v>
      </c>
      <c r="F106" s="239">
        <f>(F97-SUM(Assumptions!$D$19:$D$22))/Assumptions!$D$17*100</f>
        <v>334.57165948220876</v>
      </c>
      <c r="G106" s="238">
        <f>(G97-SUM(Assumptions!$D$19:$D$22))/Assumptions!$D$17*100</f>
        <v>340.66731491264346</v>
      </c>
      <c r="H106" s="240">
        <f>(H97-SUM(Assumptions!$D$19:$D$22))/Assumptions!$D$17*100</f>
        <v>347.1439488074804</v>
      </c>
      <c r="I106" s="238">
        <f>(I97-SUM(Assumptions!$D$19:$D$22))/Assumptions!$D$17*100</f>
        <v>354.03843005037129</v>
      </c>
      <c r="J106" s="342">
        <f>(J97-SUM(Assumptions!$D$19:$D$22))/Assumptions!$D$17*100</f>
        <v>361.39254337612158</v>
      </c>
      <c r="L106" s="331">
        <f>$M$88</f>
        <v>8.5000000000000006E-2</v>
      </c>
      <c r="M106" s="56">
        <f>(M97-SUM(Assumptions!$D$19:$D$22))/Assumptions!$D$17*100</f>
        <v>405.92748137940805</v>
      </c>
      <c r="N106" s="58">
        <f>(N97-SUM(Assumptions!$D$19:$D$22))/Assumptions!$D$17*100</f>
        <v>423.04439050154679</v>
      </c>
      <c r="O106" s="57">
        <f>(O97-SUM(Assumptions!$D$19:$D$22))/Assumptions!$D$17*100</f>
        <v>440.16129962368547</v>
      </c>
      <c r="P106" s="58">
        <f>(P97-SUM(Assumptions!$D$19:$D$22))/Assumptions!$D$17*100</f>
        <v>457.27820874582414</v>
      </c>
      <c r="Q106" s="343">
        <f>(Q97-SUM(Assumptions!$D$19:$D$22))/Assumptions!$D$17*100</f>
        <v>474.39511786796294</v>
      </c>
    </row>
    <row r="107" spans="4:20">
      <c r="E107" s="108">
        <f>E106+$I$88</f>
        <v>9.0000000000000011E-2</v>
      </c>
      <c r="F107" s="239">
        <f>(F98-SUM(Assumptions!$D$19:$D$22))/Assumptions!$D$17*100</f>
        <v>311.75401862238976</v>
      </c>
      <c r="G107" s="240">
        <f>(G98-SUM(Assumptions!$D$19:$D$22))/Assumptions!$D$17*100</f>
        <v>316.96202951181448</v>
      </c>
      <c r="H107" s="238">
        <f>(H98-SUM(Assumptions!$D$19:$D$22))/Assumptions!$D$17*100</f>
        <v>322.47639398297008</v>
      </c>
      <c r="I107" s="240">
        <f>(I98-SUM(Assumptions!$D$19:$D$22))/Assumptions!$D$17*100</f>
        <v>328.32496236146841</v>
      </c>
      <c r="J107" s="342">
        <f>(J98-SUM(Assumptions!$D$19:$D$22))/Assumptions!$D$17*100</f>
        <v>334.53906626362294</v>
      </c>
      <c r="L107" s="108">
        <f>L106+$I$88</f>
        <v>9.0000000000000011E-2</v>
      </c>
      <c r="M107" s="56">
        <f>(M98-SUM(Assumptions!$D$19:$D$22))/Assumptions!$D$17*100</f>
        <v>390.87045368738546</v>
      </c>
      <c r="N107" s="57">
        <f>(N98-SUM(Assumptions!$D$19:$D$22))/Assumptions!$D$17*100</f>
        <v>407.29352985562468</v>
      </c>
      <c r="O107" s="58">
        <f>(O98-SUM(Assumptions!$D$19:$D$22))/Assumptions!$D$17*100</f>
        <v>423.71660602386373</v>
      </c>
      <c r="P107" s="57">
        <f>(P98-SUM(Assumptions!$D$19:$D$22))/Assumptions!$D$17*100</f>
        <v>440.13968219210301</v>
      </c>
      <c r="Q107" s="343">
        <f>(Q98-SUM(Assumptions!$D$19:$D$22))/Assumptions!$D$17*100</f>
        <v>456.56275836034217</v>
      </c>
    </row>
    <row r="108" spans="4:20">
      <c r="E108" s="109">
        <f>E107+$I$88</f>
        <v>9.5000000000000015E-2</v>
      </c>
      <c r="F108" s="241">
        <f>(F99-SUM(Assumptions!$D$19:$D$22))/Assumptions!$D$17*100</f>
        <v>291.37584609980303</v>
      </c>
      <c r="G108" s="242">
        <f>(G99-SUM(Assumptions!$D$19:$D$22))/Assumptions!$D$17*100</f>
        <v>295.85471671639783</v>
      </c>
      <c r="H108" s="242">
        <f>(H99-SUM(Assumptions!$D$19:$D$22))/Assumptions!$D$17*100</f>
        <v>300.58241347835917</v>
      </c>
      <c r="I108" s="242">
        <f>(I99-SUM(Assumptions!$D$19:$D$22))/Assumptions!$D$17*100</f>
        <v>305.5802643410039</v>
      </c>
      <c r="J108" s="344">
        <f>(J99-SUM(Assumptions!$D$19:$D$22))/Assumptions!$D$17*100</f>
        <v>310.87210643086297</v>
      </c>
      <c r="L108" s="109">
        <f>L107+$I$88</f>
        <v>9.5000000000000015E-2</v>
      </c>
      <c r="M108" s="59">
        <f>(M99-SUM(Assumptions!$D$19:$D$22))/Assumptions!$D$17*100</f>
        <v>376.44029408553962</v>
      </c>
      <c r="N108" s="60">
        <f>(N99-SUM(Assumptions!$D$19:$D$22))/Assumptions!$D$17*100</f>
        <v>392.20064619259546</v>
      </c>
      <c r="O108" s="60">
        <f>(O99-SUM(Assumptions!$D$19:$D$22))/Assumptions!$D$17*100</f>
        <v>407.96099829965124</v>
      </c>
      <c r="P108" s="60">
        <f>(P99-SUM(Assumptions!$D$19:$D$22))/Assumptions!$D$17*100</f>
        <v>423.72135040670696</v>
      </c>
      <c r="Q108" s="345">
        <f>(Q99-SUM(Assumptions!$D$19:$D$22))/Assumptions!$D$17*100</f>
        <v>439.4817025137628</v>
      </c>
    </row>
    <row r="110" spans="4:20">
      <c r="D110" s="311" t="s">
        <v>85</v>
      </c>
      <c r="E110" s="313"/>
      <c r="F110" s="314"/>
      <c r="G110" s="312"/>
      <c r="H110" s="313"/>
      <c r="I110" s="314"/>
      <c r="J110" s="312"/>
      <c r="K110" s="312"/>
      <c r="L110" s="312"/>
      <c r="M110" s="312"/>
      <c r="N110" s="312"/>
      <c r="O110" s="312"/>
      <c r="P110" s="312"/>
      <c r="Q110" s="312"/>
      <c r="R110" s="312"/>
      <c r="S110" s="312"/>
      <c r="T110" s="217"/>
    </row>
    <row r="111" spans="4:20">
      <c r="D111" s="61" t="str">
        <f>TEXT(Assumptions!$D$11,"mmmm")&amp;" YE ($mm)"</f>
        <v>March YE ($mm)</v>
      </c>
      <c r="E111" s="83"/>
      <c r="F111" s="84">
        <f t="shared" ref="F111:S111" si="29">F22</f>
        <v>42825</v>
      </c>
      <c r="G111" s="84">
        <f t="shared" si="29"/>
        <v>43190</v>
      </c>
      <c r="H111" s="118">
        <f t="shared" si="29"/>
        <v>43555</v>
      </c>
      <c r="I111" s="118">
        <f t="shared" si="29"/>
        <v>43921</v>
      </c>
      <c r="J111" s="118">
        <f t="shared" si="29"/>
        <v>44286</v>
      </c>
      <c r="K111" s="118">
        <f t="shared" si="29"/>
        <v>44651</v>
      </c>
      <c r="L111" s="118">
        <f t="shared" si="29"/>
        <v>45016</v>
      </c>
      <c r="M111" s="118">
        <f t="shared" si="29"/>
        <v>45382</v>
      </c>
      <c r="N111" s="118">
        <f t="shared" si="29"/>
        <v>45747</v>
      </c>
      <c r="O111" s="118">
        <f t="shared" si="29"/>
        <v>46112</v>
      </c>
      <c r="P111" s="118">
        <f t="shared" si="29"/>
        <v>46477</v>
      </c>
      <c r="Q111" s="118">
        <f t="shared" si="29"/>
        <v>46843</v>
      </c>
      <c r="R111" s="118">
        <f t="shared" si="29"/>
        <v>47208</v>
      </c>
      <c r="S111" s="118">
        <f t="shared" si="29"/>
        <v>47573</v>
      </c>
      <c r="T111" s="118"/>
    </row>
    <row r="112" spans="4:20">
      <c r="D112" s="37" t="s">
        <v>63</v>
      </c>
      <c r="E112" s="77"/>
      <c r="F112" s="99">
        <f t="shared" ref="F112:S112" si="30">F27</f>
        <v>108.7</v>
      </c>
      <c r="G112" s="99">
        <f t="shared" si="30"/>
        <v>109.5</v>
      </c>
      <c r="H112" s="99">
        <f t="shared" si="30"/>
        <v>98.2</v>
      </c>
      <c r="I112" s="99">
        <f t="shared" si="30"/>
        <v>94.147209662938664</v>
      </c>
      <c r="J112" s="99">
        <f t="shared" si="30"/>
        <v>74.620836423784183</v>
      </c>
      <c r="K112" s="99">
        <f t="shared" si="30"/>
        <v>105.04401819421257</v>
      </c>
      <c r="L112" s="99">
        <f t="shared" si="30"/>
        <v>125.53339504552143</v>
      </c>
      <c r="M112" s="99">
        <f t="shared" si="30"/>
        <v>122.70308878387445</v>
      </c>
      <c r="N112" s="99">
        <f t="shared" ca="1" si="30"/>
        <v>126.36971672086703</v>
      </c>
      <c r="O112" s="99">
        <f t="shared" ca="1" si="30"/>
        <v>129.87876397406146</v>
      </c>
      <c r="P112" s="99">
        <f t="shared" ca="1" si="30"/>
        <v>133.21096682750073</v>
      </c>
      <c r="Q112" s="99">
        <f t="shared" ca="1" si="30"/>
        <v>136.34762098975804</v>
      </c>
      <c r="R112" s="99">
        <f t="shared" ca="1" si="30"/>
        <v>139.27075347582746</v>
      </c>
      <c r="S112" s="99">
        <f t="shared" ca="1" si="30"/>
        <v>141.96329165512003</v>
      </c>
      <c r="T112" s="99"/>
    </row>
    <row r="113" spans="4:20">
      <c r="D113" s="38" t="s">
        <v>70</v>
      </c>
      <c r="E113" s="78"/>
      <c r="F113" s="101">
        <f>F112/F$24</f>
        <v>9.9269406392694062E-2</v>
      </c>
      <c r="G113" s="101">
        <f t="shared" ref="G113:R113" si="31">G112/G$24</f>
        <v>9.6467271606025903E-2</v>
      </c>
      <c r="H113" s="101">
        <f t="shared" si="31"/>
        <v>8.6246267345863353E-2</v>
      </c>
      <c r="I113" s="101">
        <f t="shared" si="31"/>
        <v>8.1921904398916168E-2</v>
      </c>
      <c r="J113" s="101">
        <f t="shared" si="31"/>
        <v>5.9428979249635652E-2</v>
      </c>
      <c r="K113" s="101">
        <f t="shared" si="31"/>
        <v>7.7589834127353083E-2</v>
      </c>
      <c r="L113" s="101">
        <f t="shared" si="31"/>
        <v>8.6755716884357126E-2</v>
      </c>
      <c r="M113" s="101">
        <f t="shared" si="31"/>
        <v>8.5055703908629515E-2</v>
      </c>
      <c r="N113" s="101">
        <f t="shared" ca="1" si="31"/>
        <v>8.5879753257191244E-2</v>
      </c>
      <c r="O113" s="101">
        <f t="shared" ca="1" si="31"/>
        <v>8.6703802605753E-2</v>
      </c>
      <c r="P113" s="101">
        <f t="shared" ca="1" si="31"/>
        <v>8.7527851954314728E-2</v>
      </c>
      <c r="Q113" s="101">
        <f t="shared" ca="1" si="31"/>
        <v>8.8351901302876498E-2</v>
      </c>
      <c r="R113" s="101">
        <f t="shared" ca="1" si="31"/>
        <v>8.9175950651438241E-2</v>
      </c>
      <c r="S113" s="101">
        <f t="shared" ref="S113" ca="1" si="32">S112/S$24</f>
        <v>0.09</v>
      </c>
      <c r="T113" s="101"/>
    </row>
    <row r="114" spans="4:20">
      <c r="D114" s="37" t="s">
        <v>87</v>
      </c>
      <c r="E114" s="78"/>
      <c r="F114" s="100">
        <f t="shared" ref="F114:S114" si="33">F46</f>
        <v>0</v>
      </c>
      <c r="G114" s="100">
        <f t="shared" si="33"/>
        <v>0</v>
      </c>
      <c r="H114" s="100">
        <f t="shared" si="33"/>
        <v>0</v>
      </c>
      <c r="I114" s="100">
        <f t="shared" si="33"/>
        <v>36.129215400000028</v>
      </c>
      <c r="J114" s="100">
        <f t="shared" si="33"/>
        <v>40.455293523349013</v>
      </c>
      <c r="K114" s="100">
        <f t="shared" si="33"/>
        <v>47.195257615808735</v>
      </c>
      <c r="L114" s="100">
        <f t="shared" si="33"/>
        <v>51.829543587564174</v>
      </c>
      <c r="M114" s="100">
        <f t="shared" si="33"/>
        <v>54.799912142159201</v>
      </c>
      <c r="N114" s="100">
        <f t="shared" ca="1" si="33"/>
        <v>53.583260118465986</v>
      </c>
      <c r="O114" s="100">
        <f t="shared" ca="1" si="33"/>
        <v>52.366608094772801</v>
      </c>
      <c r="P114" s="100">
        <f t="shared" ca="1" si="33"/>
        <v>51.1499560710796</v>
      </c>
      <c r="Q114" s="100">
        <f t="shared" ca="1" si="33"/>
        <v>49.9333040473864</v>
      </c>
      <c r="R114" s="100">
        <f t="shared" ca="1" si="33"/>
        <v>48.7166520236932</v>
      </c>
      <c r="S114" s="100">
        <f t="shared" ca="1" si="33"/>
        <v>47.5</v>
      </c>
      <c r="T114" s="100"/>
    </row>
    <row r="115" spans="4:20">
      <c r="D115" s="38" t="s">
        <v>89</v>
      </c>
      <c r="E115" s="78"/>
      <c r="F115" s="101">
        <f t="shared" ref="F115:S115" si="34">-F114/F48</f>
        <v>0</v>
      </c>
      <c r="G115" s="101">
        <f t="shared" si="34"/>
        <v>0</v>
      </c>
      <c r="H115" s="101">
        <f t="shared" si="34"/>
        <v>0</v>
      </c>
      <c r="I115" s="101">
        <f t="shared" si="34"/>
        <v>1.0035893166666674</v>
      </c>
      <c r="J115" s="101">
        <f t="shared" si="34"/>
        <v>0.79324104947743168</v>
      </c>
      <c r="K115" s="101">
        <f t="shared" si="34"/>
        <v>0.94390515231617467</v>
      </c>
      <c r="L115" s="101">
        <f t="shared" si="34"/>
        <v>1.0365908717512835</v>
      </c>
      <c r="M115" s="101">
        <f t="shared" si="34"/>
        <v>1.095998242843184</v>
      </c>
      <c r="N115" s="101">
        <f t="shared" ca="1" si="34"/>
        <v>1.0716652023693198</v>
      </c>
      <c r="O115" s="101">
        <f t="shared" ca="1" si="34"/>
        <v>1.0473321618954561</v>
      </c>
      <c r="P115" s="101">
        <f t="shared" ca="1" si="34"/>
        <v>1.0229991214215921</v>
      </c>
      <c r="Q115" s="101">
        <f t="shared" ca="1" si="34"/>
        <v>0.99866608094772802</v>
      </c>
      <c r="R115" s="101">
        <f t="shared" ca="1" si="34"/>
        <v>0.97433304047386404</v>
      </c>
      <c r="S115" s="101">
        <f t="shared" ca="1" si="34"/>
        <v>0.95</v>
      </c>
      <c r="T115" s="101"/>
    </row>
    <row r="116" spans="4:20" ht="12.75" customHeight="1">
      <c r="D116" s="37" t="s">
        <v>71</v>
      </c>
      <c r="E116" s="76"/>
      <c r="F116" s="99">
        <f t="shared" ref="F116:S116" si="35">F35</f>
        <v>77.099999999999994</v>
      </c>
      <c r="G116" s="99">
        <f t="shared" si="35"/>
        <v>74.599999999999994</v>
      </c>
      <c r="H116" s="99">
        <f t="shared" si="35"/>
        <v>62.2</v>
      </c>
      <c r="I116" s="99">
        <f t="shared" si="35"/>
        <v>58.017994262938636</v>
      </c>
      <c r="J116" s="99">
        <f t="shared" si="35"/>
        <v>34.16554290043517</v>
      </c>
      <c r="K116" s="99">
        <f t="shared" si="35"/>
        <v>57.848760578403834</v>
      </c>
      <c r="L116" s="99">
        <f t="shared" si="35"/>
        <v>73.703851457957256</v>
      </c>
      <c r="M116" s="99">
        <f t="shared" si="35"/>
        <v>67.903176641715248</v>
      </c>
      <c r="N116" s="99">
        <f t="shared" ca="1" si="35"/>
        <v>72.786456602401046</v>
      </c>
      <c r="O116" s="99">
        <f t="shared" ca="1" si="35"/>
        <v>77.512155879288656</v>
      </c>
      <c r="P116" s="99">
        <f t="shared" ca="1" si="35"/>
        <v>82.061010756421126</v>
      </c>
      <c r="Q116" s="99">
        <f t="shared" ca="1" si="35"/>
        <v>86.414316942371642</v>
      </c>
      <c r="R116" s="99">
        <f t="shared" ca="1" si="35"/>
        <v>90.554101452134262</v>
      </c>
      <c r="S116" s="99">
        <f t="shared" ca="1" si="35"/>
        <v>94.463291655120031</v>
      </c>
      <c r="T116" s="99"/>
    </row>
    <row r="117" spans="4:20">
      <c r="D117" s="38" t="s">
        <v>70</v>
      </c>
      <c r="E117" s="79"/>
      <c r="F117" s="101">
        <f>F116/F$24</f>
        <v>7.0410958904109588E-2</v>
      </c>
      <c r="G117" s="101">
        <f t="shared" ref="G117:R117" si="36">G116/G$24</f>
        <v>6.5721081843009427E-2</v>
      </c>
      <c r="H117" s="101">
        <f t="shared" si="36"/>
        <v>5.4628491129457238E-2</v>
      </c>
      <c r="I117" s="101">
        <f t="shared" si="36"/>
        <v>5.0484178941060394E-2</v>
      </c>
      <c r="J117" s="101">
        <f t="shared" si="36"/>
        <v>2.7209871094869338E-2</v>
      </c>
      <c r="K117" s="101">
        <f t="shared" si="36"/>
        <v>4.2729474889781106E-2</v>
      </c>
      <c r="L117" s="101">
        <f t="shared" si="36"/>
        <v>5.0936489593502589E-2</v>
      </c>
      <c r="M117" s="101">
        <f t="shared" si="36"/>
        <v>4.7069332517504801E-2</v>
      </c>
      <c r="N117" s="101">
        <f t="shared" ca="1" si="36"/>
        <v>4.9465038742523913E-2</v>
      </c>
      <c r="O117" s="101">
        <f t="shared" ca="1" si="36"/>
        <v>5.1745169550939017E-2</v>
      </c>
      <c r="P117" s="101">
        <f t="shared" ca="1" si="36"/>
        <v>5.3919164253274081E-2</v>
      </c>
      <c r="Q117" s="101">
        <f t="shared" ca="1" si="36"/>
        <v>5.5995617277557135E-2</v>
      </c>
      <c r="R117" s="101">
        <f t="shared" ca="1" si="36"/>
        <v>5.7982368019445209E-2</v>
      </c>
      <c r="S117" s="101">
        <f t="shared" ref="S117" ca="1" si="37">S116/S$24</f>
        <v>5.988658159332122E-2</v>
      </c>
      <c r="T117" s="101"/>
    </row>
    <row r="118" spans="4:20">
      <c r="D118" s="37" t="s">
        <v>44</v>
      </c>
      <c r="E118" s="79"/>
      <c r="F118" s="100">
        <f t="shared" ref="F118:S118" si="38">F39</f>
        <v>0</v>
      </c>
      <c r="G118" s="100">
        <f t="shared" si="38"/>
        <v>0</v>
      </c>
      <c r="H118" s="100">
        <f t="shared" si="38"/>
        <v>0</v>
      </c>
      <c r="I118" s="100">
        <f t="shared" si="38"/>
        <v>11.023418909958341</v>
      </c>
      <c r="J118" s="100">
        <f t="shared" si="38"/>
        <v>6.4914531510826823</v>
      </c>
      <c r="K118" s="100">
        <f t="shared" si="38"/>
        <v>9.8342892983286525</v>
      </c>
      <c r="L118" s="100">
        <f t="shared" si="38"/>
        <v>12.529654747852735</v>
      </c>
      <c r="M118" s="100">
        <f t="shared" si="38"/>
        <v>11.543540029091593</v>
      </c>
      <c r="N118" s="100">
        <f t="shared" ca="1" si="38"/>
        <v>12.373697622408178</v>
      </c>
      <c r="O118" s="100">
        <f t="shared" ca="1" si="38"/>
        <v>13.177066499479073</v>
      </c>
      <c r="P118" s="100">
        <f t="shared" ca="1" si="38"/>
        <v>13.950371828591592</v>
      </c>
      <c r="Q118" s="100">
        <f t="shared" ca="1" si="38"/>
        <v>14.69043388020318</v>
      </c>
      <c r="R118" s="100">
        <f t="shared" ca="1" si="38"/>
        <v>15.394197246862825</v>
      </c>
      <c r="S118" s="100">
        <f t="shared" ca="1" si="38"/>
        <v>16.058759581370406</v>
      </c>
      <c r="T118" s="100"/>
    </row>
    <row r="119" spans="4:20">
      <c r="D119" s="38" t="s">
        <v>144</v>
      </c>
      <c r="E119" s="79"/>
      <c r="F119" s="101">
        <f t="shared" ref="F119:S119" si="39">F40</f>
        <v>0</v>
      </c>
      <c r="G119" s="101">
        <f t="shared" si="39"/>
        <v>0</v>
      </c>
      <c r="H119" s="101">
        <f t="shared" si="39"/>
        <v>0</v>
      </c>
      <c r="I119" s="101">
        <f t="shared" si="39"/>
        <v>0.19</v>
      </c>
      <c r="J119" s="101">
        <f t="shared" si="39"/>
        <v>0.19</v>
      </c>
      <c r="K119" s="101">
        <f t="shared" si="39"/>
        <v>0.17</v>
      </c>
      <c r="L119" s="101">
        <f t="shared" si="39"/>
        <v>0.17</v>
      </c>
      <c r="M119" s="101">
        <f t="shared" si="39"/>
        <v>0.17</v>
      </c>
      <c r="N119" s="101">
        <f t="shared" si="39"/>
        <v>0.17</v>
      </c>
      <c r="O119" s="101">
        <f t="shared" si="39"/>
        <v>0.17</v>
      </c>
      <c r="P119" s="101">
        <f t="shared" si="39"/>
        <v>0.17</v>
      </c>
      <c r="Q119" s="101">
        <f t="shared" si="39"/>
        <v>0.17</v>
      </c>
      <c r="R119" s="101">
        <f t="shared" si="39"/>
        <v>0.17</v>
      </c>
      <c r="S119" s="101">
        <f t="shared" si="39"/>
        <v>0.17</v>
      </c>
      <c r="T119" s="101"/>
    </row>
    <row r="120" spans="4:20">
      <c r="D120" s="37" t="s">
        <v>106</v>
      </c>
      <c r="E120" s="79"/>
      <c r="F120" s="100">
        <f t="shared" ref="F120:S120" si="40">F42</f>
        <v>0</v>
      </c>
      <c r="G120" s="100">
        <f t="shared" si="40"/>
        <v>0</v>
      </c>
      <c r="H120" s="100">
        <f t="shared" si="40"/>
        <v>0</v>
      </c>
      <c r="I120" s="100">
        <f t="shared" si="40"/>
        <v>46.994575352980291</v>
      </c>
      <c r="J120" s="100">
        <f t="shared" si="40"/>
        <v>27.67408974935249</v>
      </c>
      <c r="K120" s="100">
        <f t="shared" si="40"/>
        <v>48.014471280075185</v>
      </c>
      <c r="L120" s="100">
        <f t="shared" si="40"/>
        <v>61.174196710104525</v>
      </c>
      <c r="M120" s="100">
        <f t="shared" si="40"/>
        <v>56.359636612623653</v>
      </c>
      <c r="N120" s="100">
        <f t="shared" ca="1" si="40"/>
        <v>60.412758979992866</v>
      </c>
      <c r="O120" s="100">
        <f t="shared" ca="1" si="40"/>
        <v>64.335089379809588</v>
      </c>
      <c r="P120" s="100">
        <f t="shared" ca="1" si="40"/>
        <v>68.110638927829541</v>
      </c>
      <c r="Q120" s="100">
        <f t="shared" ca="1" si="40"/>
        <v>71.723883062168454</v>
      </c>
      <c r="R120" s="100">
        <f t="shared" ca="1" si="40"/>
        <v>75.159904205271431</v>
      </c>
      <c r="S120" s="100">
        <f t="shared" ca="1" si="40"/>
        <v>78.404532073749621</v>
      </c>
      <c r="T120" s="100"/>
    </row>
    <row r="121" spans="4:20">
      <c r="D121" s="90" t="s">
        <v>145</v>
      </c>
      <c r="E121" s="79"/>
      <c r="F121" s="100">
        <f t="shared" ref="F121:S121" si="41">-F31</f>
        <v>31.600000000000009</v>
      </c>
      <c r="G121" s="100">
        <f t="shared" si="41"/>
        <v>34.900000000000006</v>
      </c>
      <c r="H121" s="100">
        <f t="shared" si="41"/>
        <v>36</v>
      </c>
      <c r="I121" s="100">
        <f t="shared" si="41"/>
        <v>36.129215400000028</v>
      </c>
      <c r="J121" s="100">
        <f t="shared" si="41"/>
        <v>40.455293523349013</v>
      </c>
      <c r="K121" s="100">
        <f t="shared" si="41"/>
        <v>47.195257615808735</v>
      </c>
      <c r="L121" s="100">
        <f t="shared" si="41"/>
        <v>51.829543587564174</v>
      </c>
      <c r="M121" s="100">
        <f t="shared" si="41"/>
        <v>54.799912142159201</v>
      </c>
      <c r="N121" s="100">
        <f t="shared" ca="1" si="41"/>
        <v>53.583260118465986</v>
      </c>
      <c r="O121" s="100">
        <f t="shared" ca="1" si="41"/>
        <v>52.366608094772801</v>
      </c>
      <c r="P121" s="100">
        <f t="shared" ca="1" si="41"/>
        <v>51.1499560710796</v>
      </c>
      <c r="Q121" s="100">
        <f t="shared" ca="1" si="41"/>
        <v>49.9333040473864</v>
      </c>
      <c r="R121" s="100">
        <f t="shared" ca="1" si="41"/>
        <v>48.7166520236932</v>
      </c>
      <c r="S121" s="100">
        <f t="shared" ca="1" si="41"/>
        <v>47.5</v>
      </c>
      <c r="T121" s="100"/>
    </row>
    <row r="122" spans="4:20">
      <c r="D122" s="90" t="s">
        <v>146</v>
      </c>
      <c r="E122" s="79"/>
      <c r="F122" s="100">
        <f t="shared" ref="F122:S122" si="42">F48</f>
        <v>-36.1</v>
      </c>
      <c r="G122" s="100">
        <f t="shared" si="42"/>
        <v>-37.299999999999997</v>
      </c>
      <c r="H122" s="100">
        <f t="shared" si="42"/>
        <v>-31</v>
      </c>
      <c r="I122" s="100">
        <f t="shared" si="42"/>
        <v>-36</v>
      </c>
      <c r="J122" s="100">
        <f t="shared" si="42"/>
        <v>-51</v>
      </c>
      <c r="K122" s="100">
        <f t="shared" si="42"/>
        <v>-50</v>
      </c>
      <c r="L122" s="100">
        <f t="shared" si="42"/>
        <v>-50</v>
      </c>
      <c r="M122" s="100">
        <f t="shared" si="42"/>
        <v>-50</v>
      </c>
      <c r="N122" s="100">
        <f t="shared" si="42"/>
        <v>-50</v>
      </c>
      <c r="O122" s="100">
        <f t="shared" si="42"/>
        <v>-50</v>
      </c>
      <c r="P122" s="100">
        <f t="shared" si="42"/>
        <v>-50</v>
      </c>
      <c r="Q122" s="100">
        <f t="shared" si="42"/>
        <v>-50</v>
      </c>
      <c r="R122" s="100">
        <f t="shared" si="42"/>
        <v>-50</v>
      </c>
      <c r="S122" s="100">
        <f t="shared" si="42"/>
        <v>-50</v>
      </c>
      <c r="T122" s="100"/>
    </row>
    <row r="123" spans="4:20">
      <c r="D123" s="90" t="s">
        <v>147</v>
      </c>
      <c r="E123" s="79"/>
      <c r="F123" s="100">
        <f t="shared" ref="F123:S123" si="43">F52</f>
        <v>-16.300000000000004</v>
      </c>
      <c r="G123" s="100">
        <f t="shared" si="43"/>
        <v>-12.6</v>
      </c>
      <c r="H123" s="99">
        <f t="shared" si="43"/>
        <v>-10.399999999999999</v>
      </c>
      <c r="I123" s="99">
        <f t="shared" si="43"/>
        <v>6</v>
      </c>
      <c r="J123" s="99">
        <f t="shared" si="43"/>
        <v>16.111954440903407</v>
      </c>
      <c r="K123" s="99">
        <f t="shared" si="43"/>
        <v>15.168892666804709</v>
      </c>
      <c r="L123" s="99">
        <f t="shared" si="43"/>
        <v>11.110216900668604</v>
      </c>
      <c r="M123" s="99">
        <f t="shared" si="43"/>
        <v>3.9548595532390358</v>
      </c>
      <c r="N123" s="99">
        <f t="shared" si="43"/>
        <v>0</v>
      </c>
      <c r="O123" s="99">
        <f t="shared" ca="1" si="43"/>
        <v>0</v>
      </c>
      <c r="P123" s="99">
        <f t="shared" ca="1" si="43"/>
        <v>0</v>
      </c>
      <c r="Q123" s="99">
        <f t="shared" ca="1" si="43"/>
        <v>0</v>
      </c>
      <c r="R123" s="99">
        <f t="shared" ca="1" si="43"/>
        <v>0</v>
      </c>
      <c r="S123" s="99">
        <f t="shared" ca="1" si="43"/>
        <v>0</v>
      </c>
      <c r="T123" s="99"/>
    </row>
    <row r="124" spans="4:20">
      <c r="D124" s="90" t="s">
        <v>148</v>
      </c>
      <c r="E124" s="79"/>
      <c r="F124" s="100">
        <f t="shared" ref="F124:S124" si="44">+F58</f>
        <v>0</v>
      </c>
      <c r="G124" s="100">
        <f t="shared" si="44"/>
        <v>0</v>
      </c>
      <c r="H124" s="100">
        <f t="shared" si="44"/>
        <v>0</v>
      </c>
      <c r="I124" s="100">
        <f t="shared" si="44"/>
        <v>0</v>
      </c>
      <c r="J124" s="100">
        <f t="shared" si="44"/>
        <v>-18.004468664734777</v>
      </c>
      <c r="K124" s="100">
        <f t="shared" si="44"/>
        <v>-6.7527180429793674</v>
      </c>
      <c r="L124" s="100">
        <f t="shared" si="44"/>
        <v>25.138454026318882</v>
      </c>
      <c r="M124" s="100">
        <f t="shared" si="44"/>
        <v>-4.8650405710493061</v>
      </c>
      <c r="N124" s="100">
        <f t="shared" si="44"/>
        <v>0</v>
      </c>
      <c r="O124" s="100">
        <f t="shared" si="44"/>
        <v>0</v>
      </c>
      <c r="P124" s="100">
        <f t="shared" si="44"/>
        <v>0</v>
      </c>
      <c r="Q124" s="100">
        <f t="shared" si="44"/>
        <v>0</v>
      </c>
      <c r="R124" s="100">
        <f t="shared" si="44"/>
        <v>0</v>
      </c>
      <c r="S124" s="100">
        <f t="shared" si="44"/>
        <v>0</v>
      </c>
      <c r="T124" s="99"/>
    </row>
    <row r="125" spans="4:20">
      <c r="D125" s="90" t="s">
        <v>149</v>
      </c>
      <c r="E125" s="79"/>
      <c r="F125" s="100">
        <f t="shared" ref="F125:S125" si="45">+F55</f>
        <v>0</v>
      </c>
      <c r="G125" s="100">
        <f t="shared" si="45"/>
        <v>-1.5</v>
      </c>
      <c r="H125" s="100">
        <f t="shared" si="45"/>
        <v>0.74</v>
      </c>
      <c r="I125" s="100">
        <f t="shared" si="45"/>
        <v>0</v>
      </c>
      <c r="J125" s="100">
        <f t="shared" si="45"/>
        <v>0</v>
      </c>
      <c r="K125" s="100">
        <f t="shared" si="45"/>
        <v>-5</v>
      </c>
      <c r="L125" s="100">
        <f t="shared" si="45"/>
        <v>-5</v>
      </c>
      <c r="M125" s="100">
        <f t="shared" si="45"/>
        <v>-5</v>
      </c>
      <c r="N125" s="100">
        <f t="shared" si="45"/>
        <v>-5</v>
      </c>
      <c r="O125" s="100">
        <f t="shared" si="45"/>
        <v>-5</v>
      </c>
      <c r="P125" s="100">
        <f t="shared" si="45"/>
        <v>-5</v>
      </c>
      <c r="Q125" s="100">
        <f t="shared" si="45"/>
        <v>-5</v>
      </c>
      <c r="R125" s="100">
        <f t="shared" si="45"/>
        <v>-5</v>
      </c>
      <c r="S125" s="100">
        <f t="shared" si="45"/>
        <v>-5</v>
      </c>
      <c r="T125" s="99"/>
    </row>
    <row r="126" spans="4:20">
      <c r="D126" s="38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</row>
    <row r="127" spans="4:20">
      <c r="D127" s="81" t="s">
        <v>110</v>
      </c>
      <c r="E127" s="82"/>
      <c r="F127" s="105">
        <f>SUM(F120:F125)</f>
        <v>-20.799999999999997</v>
      </c>
      <c r="G127" s="105">
        <f t="shared" ref="G127:S127" si="46">SUM(G120:G125)</f>
        <v>-16.499999999999993</v>
      </c>
      <c r="H127" s="105">
        <f t="shared" si="46"/>
        <v>-4.6599999999999984</v>
      </c>
      <c r="I127" s="105">
        <f t="shared" si="46"/>
        <v>53.123790752980312</v>
      </c>
      <c r="J127" s="105">
        <f>SUM(J120:J125)</f>
        <v>15.23686904887013</v>
      </c>
      <c r="K127" s="105">
        <f t="shared" si="46"/>
        <v>48.625903519709269</v>
      </c>
      <c r="L127" s="105">
        <f t="shared" si="46"/>
        <v>94.252411224656186</v>
      </c>
      <c r="M127" s="105">
        <f t="shared" si="46"/>
        <v>55.249367736972587</v>
      </c>
      <c r="N127" s="105">
        <f t="shared" ca="1" si="46"/>
        <v>58.996019098458845</v>
      </c>
      <c r="O127" s="105">
        <f t="shared" ca="1" si="46"/>
        <v>61.701697474582389</v>
      </c>
      <c r="P127" s="105">
        <f t="shared" ca="1" si="46"/>
        <v>64.260594998909141</v>
      </c>
      <c r="Q127" s="105">
        <f t="shared" ca="1" si="46"/>
        <v>66.657187109554854</v>
      </c>
      <c r="R127" s="105">
        <f t="shared" ca="1" si="46"/>
        <v>68.876556228964631</v>
      </c>
      <c r="S127" s="105">
        <f t="shared" ca="1" si="46"/>
        <v>70.904532073749621</v>
      </c>
      <c r="T127" s="105"/>
    </row>
  </sheetData>
  <pageMargins left="0.7" right="0.7" top="0.75" bottom="0.75" header="0.3" footer="0.3"/>
  <pageSetup paperSize="9" scale="35" orientation="portrait" r:id="rId1"/>
  <customProperties>
    <customPr name="Worksheet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44"/>
  <sheetViews>
    <sheetView showGridLines="0" zoomScaleNormal="100" workbookViewId="0">
      <selection activeCell="D1" sqref="D1"/>
    </sheetView>
  </sheetViews>
  <sheetFormatPr defaultColWidth="8.85546875" defaultRowHeight="12.95"/>
  <cols>
    <col min="1" max="2" width="2.7109375" style="136" customWidth="1"/>
    <col min="3" max="5" width="12" style="136" customWidth="1"/>
    <col min="6" max="7" width="9.140625" style="136"/>
    <col min="8" max="8" width="0.85546875" style="136" customWidth="1"/>
    <col min="9" max="19" width="12.7109375" style="136" customWidth="1"/>
    <col min="20" max="253" width="9.140625" style="136"/>
    <col min="254" max="255" width="2.7109375" style="136" customWidth="1"/>
    <col min="256" max="258" width="12" style="136" customWidth="1"/>
    <col min="259" max="260" width="9.140625" style="136"/>
    <col min="261" max="261" width="0.85546875" style="136" customWidth="1"/>
    <col min="262" max="275" width="7.7109375" style="136" customWidth="1"/>
    <col min="276" max="509" width="9.140625" style="136"/>
    <col min="510" max="511" width="2.7109375" style="136" customWidth="1"/>
    <col min="512" max="514" width="12" style="136" customWidth="1"/>
    <col min="515" max="516" width="9.140625" style="136"/>
    <col min="517" max="517" width="0.85546875" style="136" customWidth="1"/>
    <col min="518" max="531" width="7.7109375" style="136" customWidth="1"/>
    <col min="532" max="765" width="9.140625" style="136"/>
    <col min="766" max="767" width="2.7109375" style="136" customWidth="1"/>
    <col min="768" max="770" width="12" style="136" customWidth="1"/>
    <col min="771" max="772" width="9.140625" style="136"/>
    <col min="773" max="773" width="0.85546875" style="136" customWidth="1"/>
    <col min="774" max="787" width="7.7109375" style="136" customWidth="1"/>
    <col min="788" max="1021" width="9.140625" style="136"/>
    <col min="1022" max="1023" width="2.7109375" style="136" customWidth="1"/>
    <col min="1024" max="1026" width="12" style="136" customWidth="1"/>
    <col min="1027" max="1028" width="9.140625" style="136"/>
    <col min="1029" max="1029" width="0.85546875" style="136" customWidth="1"/>
    <col min="1030" max="1043" width="7.7109375" style="136" customWidth="1"/>
    <col min="1044" max="1277" width="9.140625" style="136"/>
    <col min="1278" max="1279" width="2.7109375" style="136" customWidth="1"/>
    <col min="1280" max="1282" width="12" style="136" customWidth="1"/>
    <col min="1283" max="1284" width="9.140625" style="136"/>
    <col min="1285" max="1285" width="0.85546875" style="136" customWidth="1"/>
    <col min="1286" max="1299" width="7.7109375" style="136" customWidth="1"/>
    <col min="1300" max="1533" width="9.140625" style="136"/>
    <col min="1534" max="1535" width="2.7109375" style="136" customWidth="1"/>
    <col min="1536" max="1538" width="12" style="136" customWidth="1"/>
    <col min="1539" max="1540" width="9.140625" style="136"/>
    <col min="1541" max="1541" width="0.85546875" style="136" customWidth="1"/>
    <col min="1542" max="1555" width="7.7109375" style="136" customWidth="1"/>
    <col min="1556" max="1789" width="9.140625" style="136"/>
    <col min="1790" max="1791" width="2.7109375" style="136" customWidth="1"/>
    <col min="1792" max="1794" width="12" style="136" customWidth="1"/>
    <col min="1795" max="1796" width="9.140625" style="136"/>
    <col min="1797" max="1797" width="0.85546875" style="136" customWidth="1"/>
    <col min="1798" max="1811" width="7.7109375" style="136" customWidth="1"/>
    <col min="1812" max="2045" width="9.140625" style="136"/>
    <col min="2046" max="2047" width="2.7109375" style="136" customWidth="1"/>
    <col min="2048" max="2050" width="12" style="136" customWidth="1"/>
    <col min="2051" max="2052" width="9.140625" style="136"/>
    <col min="2053" max="2053" width="0.85546875" style="136" customWidth="1"/>
    <col min="2054" max="2067" width="7.7109375" style="136" customWidth="1"/>
    <col min="2068" max="2301" width="9.140625" style="136"/>
    <col min="2302" max="2303" width="2.7109375" style="136" customWidth="1"/>
    <col min="2304" max="2306" width="12" style="136" customWidth="1"/>
    <col min="2307" max="2308" width="9.140625" style="136"/>
    <col min="2309" max="2309" width="0.85546875" style="136" customWidth="1"/>
    <col min="2310" max="2323" width="7.7109375" style="136" customWidth="1"/>
    <col min="2324" max="2557" width="9.140625" style="136"/>
    <col min="2558" max="2559" width="2.7109375" style="136" customWidth="1"/>
    <col min="2560" max="2562" width="12" style="136" customWidth="1"/>
    <col min="2563" max="2564" width="9.140625" style="136"/>
    <col min="2565" max="2565" width="0.85546875" style="136" customWidth="1"/>
    <col min="2566" max="2579" width="7.7109375" style="136" customWidth="1"/>
    <col min="2580" max="2813" width="9.140625" style="136"/>
    <col min="2814" max="2815" width="2.7109375" style="136" customWidth="1"/>
    <col min="2816" max="2818" width="12" style="136" customWidth="1"/>
    <col min="2819" max="2820" width="9.140625" style="136"/>
    <col min="2821" max="2821" width="0.85546875" style="136" customWidth="1"/>
    <col min="2822" max="2835" width="7.7109375" style="136" customWidth="1"/>
    <col min="2836" max="3069" width="9.140625" style="136"/>
    <col min="3070" max="3071" width="2.7109375" style="136" customWidth="1"/>
    <col min="3072" max="3074" width="12" style="136" customWidth="1"/>
    <col min="3075" max="3076" width="9.140625" style="136"/>
    <col min="3077" max="3077" width="0.85546875" style="136" customWidth="1"/>
    <col min="3078" max="3091" width="7.7109375" style="136" customWidth="1"/>
    <col min="3092" max="3325" width="9.140625" style="136"/>
    <col min="3326" max="3327" width="2.7109375" style="136" customWidth="1"/>
    <col min="3328" max="3330" width="12" style="136" customWidth="1"/>
    <col min="3331" max="3332" width="9.140625" style="136"/>
    <col min="3333" max="3333" width="0.85546875" style="136" customWidth="1"/>
    <col min="3334" max="3347" width="7.7109375" style="136" customWidth="1"/>
    <col min="3348" max="3581" width="9.140625" style="136"/>
    <col min="3582" max="3583" width="2.7109375" style="136" customWidth="1"/>
    <col min="3584" max="3586" width="12" style="136" customWidth="1"/>
    <col min="3587" max="3588" width="9.140625" style="136"/>
    <col min="3589" max="3589" width="0.85546875" style="136" customWidth="1"/>
    <col min="3590" max="3603" width="7.7109375" style="136" customWidth="1"/>
    <col min="3604" max="3837" width="9.140625" style="136"/>
    <col min="3838" max="3839" width="2.7109375" style="136" customWidth="1"/>
    <col min="3840" max="3842" width="12" style="136" customWidth="1"/>
    <col min="3843" max="3844" width="9.140625" style="136"/>
    <col min="3845" max="3845" width="0.85546875" style="136" customWidth="1"/>
    <col min="3846" max="3859" width="7.7109375" style="136" customWidth="1"/>
    <col min="3860" max="4093" width="9.140625" style="136"/>
    <col min="4094" max="4095" width="2.7109375" style="136" customWidth="1"/>
    <col min="4096" max="4098" width="12" style="136" customWidth="1"/>
    <col min="4099" max="4100" width="9.140625" style="136"/>
    <col min="4101" max="4101" width="0.85546875" style="136" customWidth="1"/>
    <col min="4102" max="4115" width="7.7109375" style="136" customWidth="1"/>
    <col min="4116" max="4349" width="9.140625" style="136"/>
    <col min="4350" max="4351" width="2.7109375" style="136" customWidth="1"/>
    <col min="4352" max="4354" width="12" style="136" customWidth="1"/>
    <col min="4355" max="4356" width="9.140625" style="136"/>
    <col min="4357" max="4357" width="0.85546875" style="136" customWidth="1"/>
    <col min="4358" max="4371" width="7.7109375" style="136" customWidth="1"/>
    <col min="4372" max="4605" width="9.140625" style="136"/>
    <col min="4606" max="4607" width="2.7109375" style="136" customWidth="1"/>
    <col min="4608" max="4610" width="12" style="136" customWidth="1"/>
    <col min="4611" max="4612" width="9.140625" style="136"/>
    <col min="4613" max="4613" width="0.85546875" style="136" customWidth="1"/>
    <col min="4614" max="4627" width="7.7109375" style="136" customWidth="1"/>
    <col min="4628" max="4861" width="9.140625" style="136"/>
    <col min="4862" max="4863" width="2.7109375" style="136" customWidth="1"/>
    <col min="4864" max="4866" width="12" style="136" customWidth="1"/>
    <col min="4867" max="4868" width="9.140625" style="136"/>
    <col min="4869" max="4869" width="0.85546875" style="136" customWidth="1"/>
    <col min="4870" max="4883" width="7.7109375" style="136" customWidth="1"/>
    <col min="4884" max="5117" width="9.140625" style="136"/>
    <col min="5118" max="5119" width="2.7109375" style="136" customWidth="1"/>
    <col min="5120" max="5122" width="12" style="136" customWidth="1"/>
    <col min="5123" max="5124" width="9.140625" style="136"/>
    <col min="5125" max="5125" width="0.85546875" style="136" customWidth="1"/>
    <col min="5126" max="5139" width="7.7109375" style="136" customWidth="1"/>
    <col min="5140" max="5373" width="9.140625" style="136"/>
    <col min="5374" max="5375" width="2.7109375" style="136" customWidth="1"/>
    <col min="5376" max="5378" width="12" style="136" customWidth="1"/>
    <col min="5379" max="5380" width="9.140625" style="136"/>
    <col min="5381" max="5381" width="0.85546875" style="136" customWidth="1"/>
    <col min="5382" max="5395" width="7.7109375" style="136" customWidth="1"/>
    <col min="5396" max="5629" width="9.140625" style="136"/>
    <col min="5630" max="5631" width="2.7109375" style="136" customWidth="1"/>
    <col min="5632" max="5634" width="12" style="136" customWidth="1"/>
    <col min="5635" max="5636" width="9.140625" style="136"/>
    <col min="5637" max="5637" width="0.85546875" style="136" customWidth="1"/>
    <col min="5638" max="5651" width="7.7109375" style="136" customWidth="1"/>
    <col min="5652" max="5885" width="9.140625" style="136"/>
    <col min="5886" max="5887" width="2.7109375" style="136" customWidth="1"/>
    <col min="5888" max="5890" width="12" style="136" customWidth="1"/>
    <col min="5891" max="5892" width="9.140625" style="136"/>
    <col min="5893" max="5893" width="0.85546875" style="136" customWidth="1"/>
    <col min="5894" max="5907" width="7.7109375" style="136" customWidth="1"/>
    <col min="5908" max="6141" width="9.140625" style="136"/>
    <col min="6142" max="6143" width="2.7109375" style="136" customWidth="1"/>
    <col min="6144" max="6146" width="12" style="136" customWidth="1"/>
    <col min="6147" max="6148" width="9.140625" style="136"/>
    <col min="6149" max="6149" width="0.85546875" style="136" customWidth="1"/>
    <col min="6150" max="6163" width="7.7109375" style="136" customWidth="1"/>
    <col min="6164" max="6397" width="9.140625" style="136"/>
    <col min="6398" max="6399" width="2.7109375" style="136" customWidth="1"/>
    <col min="6400" max="6402" width="12" style="136" customWidth="1"/>
    <col min="6403" max="6404" width="9.140625" style="136"/>
    <col min="6405" max="6405" width="0.85546875" style="136" customWidth="1"/>
    <col min="6406" max="6419" width="7.7109375" style="136" customWidth="1"/>
    <col min="6420" max="6653" width="9.140625" style="136"/>
    <col min="6654" max="6655" width="2.7109375" style="136" customWidth="1"/>
    <col min="6656" max="6658" width="12" style="136" customWidth="1"/>
    <col min="6659" max="6660" width="9.140625" style="136"/>
    <col min="6661" max="6661" width="0.85546875" style="136" customWidth="1"/>
    <col min="6662" max="6675" width="7.7109375" style="136" customWidth="1"/>
    <col min="6676" max="6909" width="9.140625" style="136"/>
    <col min="6910" max="6911" width="2.7109375" style="136" customWidth="1"/>
    <col min="6912" max="6914" width="12" style="136" customWidth="1"/>
    <col min="6915" max="6916" width="9.140625" style="136"/>
    <col min="6917" max="6917" width="0.85546875" style="136" customWidth="1"/>
    <col min="6918" max="6931" width="7.7109375" style="136" customWidth="1"/>
    <col min="6932" max="7165" width="9.140625" style="136"/>
    <col min="7166" max="7167" width="2.7109375" style="136" customWidth="1"/>
    <col min="7168" max="7170" width="12" style="136" customWidth="1"/>
    <col min="7171" max="7172" width="9.140625" style="136"/>
    <col min="7173" max="7173" width="0.85546875" style="136" customWidth="1"/>
    <col min="7174" max="7187" width="7.7109375" style="136" customWidth="1"/>
    <col min="7188" max="7421" width="9.140625" style="136"/>
    <col min="7422" max="7423" width="2.7109375" style="136" customWidth="1"/>
    <col min="7424" max="7426" width="12" style="136" customWidth="1"/>
    <col min="7427" max="7428" width="9.140625" style="136"/>
    <col min="7429" max="7429" width="0.85546875" style="136" customWidth="1"/>
    <col min="7430" max="7443" width="7.7109375" style="136" customWidth="1"/>
    <col min="7444" max="7677" width="9.140625" style="136"/>
    <col min="7678" max="7679" width="2.7109375" style="136" customWidth="1"/>
    <col min="7680" max="7682" width="12" style="136" customWidth="1"/>
    <col min="7683" max="7684" width="9.140625" style="136"/>
    <col min="7685" max="7685" width="0.85546875" style="136" customWidth="1"/>
    <col min="7686" max="7699" width="7.7109375" style="136" customWidth="1"/>
    <col min="7700" max="7933" width="9.140625" style="136"/>
    <col min="7934" max="7935" width="2.7109375" style="136" customWidth="1"/>
    <col min="7936" max="7938" width="12" style="136" customWidth="1"/>
    <col min="7939" max="7940" width="9.140625" style="136"/>
    <col min="7941" max="7941" width="0.85546875" style="136" customWidth="1"/>
    <col min="7942" max="7955" width="7.7109375" style="136" customWidth="1"/>
    <col min="7956" max="8189" width="9.140625" style="136"/>
    <col min="8190" max="8191" width="2.7109375" style="136" customWidth="1"/>
    <col min="8192" max="8194" width="12" style="136" customWidth="1"/>
    <col min="8195" max="8196" width="9.140625" style="136"/>
    <col min="8197" max="8197" width="0.85546875" style="136" customWidth="1"/>
    <col min="8198" max="8211" width="7.7109375" style="136" customWidth="1"/>
    <col min="8212" max="8445" width="9.140625" style="136"/>
    <col min="8446" max="8447" width="2.7109375" style="136" customWidth="1"/>
    <col min="8448" max="8450" width="12" style="136" customWidth="1"/>
    <col min="8451" max="8452" width="9.140625" style="136"/>
    <col min="8453" max="8453" width="0.85546875" style="136" customWidth="1"/>
    <col min="8454" max="8467" width="7.7109375" style="136" customWidth="1"/>
    <col min="8468" max="8701" width="9.140625" style="136"/>
    <col min="8702" max="8703" width="2.7109375" style="136" customWidth="1"/>
    <col min="8704" max="8706" width="12" style="136" customWidth="1"/>
    <col min="8707" max="8708" width="9.140625" style="136"/>
    <col min="8709" max="8709" width="0.85546875" style="136" customWidth="1"/>
    <col min="8710" max="8723" width="7.7109375" style="136" customWidth="1"/>
    <col min="8724" max="8957" width="9.140625" style="136"/>
    <col min="8958" max="8959" width="2.7109375" style="136" customWidth="1"/>
    <col min="8960" max="8962" width="12" style="136" customWidth="1"/>
    <col min="8963" max="8964" width="9.140625" style="136"/>
    <col min="8965" max="8965" width="0.85546875" style="136" customWidth="1"/>
    <col min="8966" max="8979" width="7.7109375" style="136" customWidth="1"/>
    <col min="8980" max="9213" width="9.140625" style="136"/>
    <col min="9214" max="9215" width="2.7109375" style="136" customWidth="1"/>
    <col min="9216" max="9218" width="12" style="136" customWidth="1"/>
    <col min="9219" max="9220" width="9.140625" style="136"/>
    <col min="9221" max="9221" width="0.85546875" style="136" customWidth="1"/>
    <col min="9222" max="9235" width="7.7109375" style="136" customWidth="1"/>
    <col min="9236" max="9469" width="9.140625" style="136"/>
    <col min="9470" max="9471" width="2.7109375" style="136" customWidth="1"/>
    <col min="9472" max="9474" width="12" style="136" customWidth="1"/>
    <col min="9475" max="9476" width="9.140625" style="136"/>
    <col min="9477" max="9477" width="0.85546875" style="136" customWidth="1"/>
    <col min="9478" max="9491" width="7.7109375" style="136" customWidth="1"/>
    <col min="9492" max="9725" width="9.140625" style="136"/>
    <col min="9726" max="9727" width="2.7109375" style="136" customWidth="1"/>
    <col min="9728" max="9730" width="12" style="136" customWidth="1"/>
    <col min="9731" max="9732" width="9.140625" style="136"/>
    <col min="9733" max="9733" width="0.85546875" style="136" customWidth="1"/>
    <col min="9734" max="9747" width="7.7109375" style="136" customWidth="1"/>
    <col min="9748" max="9981" width="9.140625" style="136"/>
    <col min="9982" max="9983" width="2.7109375" style="136" customWidth="1"/>
    <col min="9984" max="9986" width="12" style="136" customWidth="1"/>
    <col min="9987" max="9988" width="9.140625" style="136"/>
    <col min="9989" max="9989" width="0.85546875" style="136" customWidth="1"/>
    <col min="9990" max="10003" width="7.7109375" style="136" customWidth="1"/>
    <col min="10004" max="10237" width="9.140625" style="136"/>
    <col min="10238" max="10239" width="2.7109375" style="136" customWidth="1"/>
    <col min="10240" max="10242" width="12" style="136" customWidth="1"/>
    <col min="10243" max="10244" width="9.140625" style="136"/>
    <col min="10245" max="10245" width="0.85546875" style="136" customWidth="1"/>
    <col min="10246" max="10259" width="7.7109375" style="136" customWidth="1"/>
    <col min="10260" max="10493" width="9.140625" style="136"/>
    <col min="10494" max="10495" width="2.7109375" style="136" customWidth="1"/>
    <col min="10496" max="10498" width="12" style="136" customWidth="1"/>
    <col min="10499" max="10500" width="9.140625" style="136"/>
    <col min="10501" max="10501" width="0.85546875" style="136" customWidth="1"/>
    <col min="10502" max="10515" width="7.7109375" style="136" customWidth="1"/>
    <col min="10516" max="10749" width="9.140625" style="136"/>
    <col min="10750" max="10751" width="2.7109375" style="136" customWidth="1"/>
    <col min="10752" max="10754" width="12" style="136" customWidth="1"/>
    <col min="10755" max="10756" width="9.140625" style="136"/>
    <col min="10757" max="10757" width="0.85546875" style="136" customWidth="1"/>
    <col min="10758" max="10771" width="7.7109375" style="136" customWidth="1"/>
    <col min="10772" max="11005" width="9.140625" style="136"/>
    <col min="11006" max="11007" width="2.7109375" style="136" customWidth="1"/>
    <col min="11008" max="11010" width="12" style="136" customWidth="1"/>
    <col min="11011" max="11012" width="9.140625" style="136"/>
    <col min="11013" max="11013" width="0.85546875" style="136" customWidth="1"/>
    <col min="11014" max="11027" width="7.7109375" style="136" customWidth="1"/>
    <col min="11028" max="11261" width="9.140625" style="136"/>
    <col min="11262" max="11263" width="2.7109375" style="136" customWidth="1"/>
    <col min="11264" max="11266" width="12" style="136" customWidth="1"/>
    <col min="11267" max="11268" width="9.140625" style="136"/>
    <col min="11269" max="11269" width="0.85546875" style="136" customWidth="1"/>
    <col min="11270" max="11283" width="7.7109375" style="136" customWidth="1"/>
    <col min="11284" max="11517" width="9.140625" style="136"/>
    <col min="11518" max="11519" width="2.7109375" style="136" customWidth="1"/>
    <col min="11520" max="11522" width="12" style="136" customWidth="1"/>
    <col min="11523" max="11524" width="9.140625" style="136"/>
    <col min="11525" max="11525" width="0.85546875" style="136" customWidth="1"/>
    <col min="11526" max="11539" width="7.7109375" style="136" customWidth="1"/>
    <col min="11540" max="11773" width="9.140625" style="136"/>
    <col min="11774" max="11775" width="2.7109375" style="136" customWidth="1"/>
    <col min="11776" max="11778" width="12" style="136" customWidth="1"/>
    <col min="11779" max="11780" width="9.140625" style="136"/>
    <col min="11781" max="11781" width="0.85546875" style="136" customWidth="1"/>
    <col min="11782" max="11795" width="7.7109375" style="136" customWidth="1"/>
    <col min="11796" max="12029" width="9.140625" style="136"/>
    <col min="12030" max="12031" width="2.7109375" style="136" customWidth="1"/>
    <col min="12032" max="12034" width="12" style="136" customWidth="1"/>
    <col min="12035" max="12036" width="9.140625" style="136"/>
    <col min="12037" max="12037" width="0.85546875" style="136" customWidth="1"/>
    <col min="12038" max="12051" width="7.7109375" style="136" customWidth="1"/>
    <col min="12052" max="12285" width="9.140625" style="136"/>
    <col min="12286" max="12287" width="2.7109375" style="136" customWidth="1"/>
    <col min="12288" max="12290" width="12" style="136" customWidth="1"/>
    <col min="12291" max="12292" width="9.140625" style="136"/>
    <col min="12293" max="12293" width="0.85546875" style="136" customWidth="1"/>
    <col min="12294" max="12307" width="7.7109375" style="136" customWidth="1"/>
    <col min="12308" max="12541" width="9.140625" style="136"/>
    <col min="12542" max="12543" width="2.7109375" style="136" customWidth="1"/>
    <col min="12544" max="12546" width="12" style="136" customWidth="1"/>
    <col min="12547" max="12548" width="9.140625" style="136"/>
    <col min="12549" max="12549" width="0.85546875" style="136" customWidth="1"/>
    <col min="12550" max="12563" width="7.7109375" style="136" customWidth="1"/>
    <col min="12564" max="12797" width="9.140625" style="136"/>
    <col min="12798" max="12799" width="2.7109375" style="136" customWidth="1"/>
    <col min="12800" max="12802" width="12" style="136" customWidth="1"/>
    <col min="12803" max="12804" width="9.140625" style="136"/>
    <col min="12805" max="12805" width="0.85546875" style="136" customWidth="1"/>
    <col min="12806" max="12819" width="7.7109375" style="136" customWidth="1"/>
    <col min="12820" max="13053" width="9.140625" style="136"/>
    <col min="13054" max="13055" width="2.7109375" style="136" customWidth="1"/>
    <col min="13056" max="13058" width="12" style="136" customWidth="1"/>
    <col min="13059" max="13060" width="9.140625" style="136"/>
    <col min="13061" max="13061" width="0.85546875" style="136" customWidth="1"/>
    <col min="13062" max="13075" width="7.7109375" style="136" customWidth="1"/>
    <col min="13076" max="13309" width="9.140625" style="136"/>
    <col min="13310" max="13311" width="2.7109375" style="136" customWidth="1"/>
    <col min="13312" max="13314" width="12" style="136" customWidth="1"/>
    <col min="13315" max="13316" width="9.140625" style="136"/>
    <col min="13317" max="13317" width="0.85546875" style="136" customWidth="1"/>
    <col min="13318" max="13331" width="7.7109375" style="136" customWidth="1"/>
    <col min="13332" max="13565" width="9.140625" style="136"/>
    <col min="13566" max="13567" width="2.7109375" style="136" customWidth="1"/>
    <col min="13568" max="13570" width="12" style="136" customWidth="1"/>
    <col min="13571" max="13572" width="9.140625" style="136"/>
    <col min="13573" max="13573" width="0.85546875" style="136" customWidth="1"/>
    <col min="13574" max="13587" width="7.7109375" style="136" customWidth="1"/>
    <col min="13588" max="13821" width="9.140625" style="136"/>
    <col min="13822" max="13823" width="2.7109375" style="136" customWidth="1"/>
    <col min="13824" max="13826" width="12" style="136" customWidth="1"/>
    <col min="13827" max="13828" width="9.140625" style="136"/>
    <col min="13829" max="13829" width="0.85546875" style="136" customWidth="1"/>
    <col min="13830" max="13843" width="7.7109375" style="136" customWidth="1"/>
    <col min="13844" max="14077" width="9.140625" style="136"/>
    <col min="14078" max="14079" width="2.7109375" style="136" customWidth="1"/>
    <col min="14080" max="14082" width="12" style="136" customWidth="1"/>
    <col min="14083" max="14084" width="9.140625" style="136"/>
    <col min="14085" max="14085" width="0.85546875" style="136" customWidth="1"/>
    <col min="14086" max="14099" width="7.7109375" style="136" customWidth="1"/>
    <col min="14100" max="14333" width="9.140625" style="136"/>
    <col min="14334" max="14335" width="2.7109375" style="136" customWidth="1"/>
    <col min="14336" max="14338" width="12" style="136" customWidth="1"/>
    <col min="14339" max="14340" width="9.140625" style="136"/>
    <col min="14341" max="14341" width="0.85546875" style="136" customWidth="1"/>
    <col min="14342" max="14355" width="7.7109375" style="136" customWidth="1"/>
    <col min="14356" max="14589" width="9.140625" style="136"/>
    <col min="14590" max="14591" width="2.7109375" style="136" customWidth="1"/>
    <col min="14592" max="14594" width="12" style="136" customWidth="1"/>
    <col min="14595" max="14596" width="9.140625" style="136"/>
    <col min="14597" max="14597" width="0.85546875" style="136" customWidth="1"/>
    <col min="14598" max="14611" width="7.7109375" style="136" customWidth="1"/>
    <col min="14612" max="14845" width="9.140625" style="136"/>
    <col min="14846" max="14847" width="2.7109375" style="136" customWidth="1"/>
    <col min="14848" max="14850" width="12" style="136" customWidth="1"/>
    <col min="14851" max="14852" width="9.140625" style="136"/>
    <col min="14853" max="14853" width="0.85546875" style="136" customWidth="1"/>
    <col min="14854" max="14867" width="7.7109375" style="136" customWidth="1"/>
    <col min="14868" max="15101" width="9.140625" style="136"/>
    <col min="15102" max="15103" width="2.7109375" style="136" customWidth="1"/>
    <col min="15104" max="15106" width="12" style="136" customWidth="1"/>
    <col min="15107" max="15108" width="9.140625" style="136"/>
    <col min="15109" max="15109" width="0.85546875" style="136" customWidth="1"/>
    <col min="15110" max="15123" width="7.7109375" style="136" customWidth="1"/>
    <col min="15124" max="15357" width="9.140625" style="136"/>
    <col min="15358" max="15359" width="2.7109375" style="136" customWidth="1"/>
    <col min="15360" max="15362" width="12" style="136" customWidth="1"/>
    <col min="15363" max="15364" width="9.140625" style="136"/>
    <col min="15365" max="15365" width="0.85546875" style="136" customWidth="1"/>
    <col min="15366" max="15379" width="7.7109375" style="136" customWidth="1"/>
    <col min="15380" max="15613" width="9.140625" style="136"/>
    <col min="15614" max="15615" width="2.7109375" style="136" customWidth="1"/>
    <col min="15616" max="15618" width="12" style="136" customWidth="1"/>
    <col min="15619" max="15620" width="9.140625" style="136"/>
    <col min="15621" max="15621" width="0.85546875" style="136" customWidth="1"/>
    <col min="15622" max="15635" width="7.7109375" style="136" customWidth="1"/>
    <col min="15636" max="15869" width="9.140625" style="136"/>
    <col min="15870" max="15871" width="2.7109375" style="136" customWidth="1"/>
    <col min="15872" max="15874" width="12" style="136" customWidth="1"/>
    <col min="15875" max="15876" width="9.140625" style="136"/>
    <col min="15877" max="15877" width="0.85546875" style="136" customWidth="1"/>
    <col min="15878" max="15891" width="7.7109375" style="136" customWidth="1"/>
    <col min="15892" max="16125" width="9.140625" style="136"/>
    <col min="16126" max="16127" width="2.7109375" style="136" customWidth="1"/>
    <col min="16128" max="16130" width="12" style="136" customWidth="1"/>
    <col min="16131" max="16132" width="9.140625" style="136"/>
    <col min="16133" max="16133" width="0.85546875" style="136" customWidth="1"/>
    <col min="16134" max="16147" width="7.7109375" style="136" customWidth="1"/>
    <col min="16148" max="16384" width="9.140625" style="136"/>
  </cols>
  <sheetData>
    <row r="1" spans="1:21" ht="14.1" thickBot="1">
      <c r="A1" s="135" t="s">
        <v>150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</row>
    <row r="2" spans="1:21" ht="14.1" thickTop="1">
      <c r="A2" s="137"/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</row>
    <row r="3" spans="1:21">
      <c r="A3" s="128"/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</row>
    <row r="4" spans="1:21" ht="15.95" customHeight="1">
      <c r="A4" s="138"/>
      <c r="B4" s="133"/>
      <c r="C4" s="133"/>
      <c r="D4" s="133"/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37"/>
      <c r="P4" s="37"/>
      <c r="Q4" s="37"/>
      <c r="R4" s="37"/>
      <c r="S4" s="37"/>
      <c r="T4" s="37"/>
      <c r="U4" s="37"/>
    </row>
    <row r="5" spans="1:21" ht="15.95" customHeight="1">
      <c r="A5" s="138"/>
      <c r="B5" s="133"/>
      <c r="C5" s="139" t="s">
        <v>151</v>
      </c>
      <c r="D5" s="139"/>
      <c r="E5" s="139"/>
      <c r="F5" s="139"/>
      <c r="G5" s="139"/>
      <c r="H5" s="139"/>
      <c r="I5" s="139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37"/>
    </row>
    <row r="6" spans="1:21" ht="12" customHeight="1">
      <c r="A6" s="138"/>
      <c r="B6" s="133"/>
      <c r="C6" s="133"/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37"/>
    </row>
    <row r="7" spans="1:21" ht="20.25" customHeight="1">
      <c r="A7" s="138"/>
      <c r="B7" s="133"/>
      <c r="C7" s="140" t="s">
        <v>152</v>
      </c>
      <c r="D7" s="141"/>
      <c r="E7" s="141"/>
      <c r="F7" s="141"/>
      <c r="G7" s="141"/>
      <c r="H7" s="141"/>
      <c r="I7" s="142">
        <v>0</v>
      </c>
      <c r="J7" s="142">
        <f t="shared" ref="J7" si="0">+I7+1</f>
        <v>1</v>
      </c>
      <c r="K7" s="142">
        <f t="shared" ref="K7" si="1">+J7+1</f>
        <v>2</v>
      </c>
      <c r="L7" s="142">
        <f t="shared" ref="L7" si="2">+K7+1</f>
        <v>3</v>
      </c>
      <c r="M7" s="142">
        <f t="shared" ref="M7" si="3">+L7+1</f>
        <v>4</v>
      </c>
      <c r="N7" s="142">
        <f t="shared" ref="N7" si="4">+M7+1</f>
        <v>5</v>
      </c>
      <c r="O7" s="142">
        <f t="shared" ref="O7" si="5">+N7+1</f>
        <v>6</v>
      </c>
      <c r="P7" s="142">
        <f t="shared" ref="P7" si="6">+O7+1</f>
        <v>7</v>
      </c>
      <c r="Q7" s="142">
        <f t="shared" ref="Q7" si="7">+P7+1</f>
        <v>8</v>
      </c>
      <c r="R7" s="142">
        <f t="shared" ref="R7" si="8">+Q7+1</f>
        <v>9</v>
      </c>
      <c r="S7" s="142">
        <f t="shared" ref="S7" si="9">+R7+1</f>
        <v>10</v>
      </c>
      <c r="T7" s="142" t="s">
        <v>153</v>
      </c>
      <c r="U7" s="37"/>
    </row>
    <row r="8" spans="1:21" ht="20.25" customHeight="1">
      <c r="A8" s="138"/>
      <c r="B8" s="133"/>
      <c r="C8" s="143" t="s">
        <v>154</v>
      </c>
      <c r="D8" s="144"/>
      <c r="E8" s="145"/>
      <c r="F8" s="145"/>
      <c r="G8" s="145"/>
      <c r="H8" s="145"/>
      <c r="I8" s="251">
        <f>+'DCF input'!I22</f>
        <v>43921</v>
      </c>
      <c r="J8" s="251">
        <f>+'DCF input'!J22</f>
        <v>44286</v>
      </c>
      <c r="K8" s="251">
        <f>+'DCF input'!K22</f>
        <v>44651</v>
      </c>
      <c r="L8" s="251">
        <f>+'DCF input'!L22</f>
        <v>45016</v>
      </c>
      <c r="M8" s="251">
        <f>+'DCF input'!M22</f>
        <v>45382</v>
      </c>
      <c r="N8" s="251">
        <f>+'DCF input'!N22</f>
        <v>45747</v>
      </c>
      <c r="O8" s="251">
        <f>+'DCF input'!O22</f>
        <v>46112</v>
      </c>
      <c r="P8" s="251">
        <f>+'DCF input'!P22</f>
        <v>46477</v>
      </c>
      <c r="Q8" s="251">
        <f>+'DCF input'!Q22</f>
        <v>46843</v>
      </c>
      <c r="R8" s="251">
        <f>+'DCF input'!R22</f>
        <v>47208</v>
      </c>
      <c r="S8" s="251">
        <f>+'DCF input'!S22</f>
        <v>47573</v>
      </c>
      <c r="T8" s="145"/>
      <c r="U8" s="37"/>
    </row>
    <row r="9" spans="1:21" ht="20.25" customHeight="1">
      <c r="A9" s="138"/>
      <c r="B9" s="133"/>
      <c r="C9" s="146" t="s">
        <v>26</v>
      </c>
      <c r="D9" s="146"/>
      <c r="E9" s="147"/>
      <c r="F9" s="147"/>
      <c r="G9" s="147"/>
      <c r="H9" s="147"/>
      <c r="I9" s="187">
        <f>'DCF input'!I24</f>
        <v>1149.2312142121568</v>
      </c>
      <c r="J9" s="187">
        <f>'DCF input'!J24</f>
        <v>1255.6304578332745</v>
      </c>
      <c r="K9" s="187">
        <f>'DCF input'!K24</f>
        <v>1353.8373857301615</v>
      </c>
      <c r="L9" s="187">
        <f>'DCF input'!L24</f>
        <v>1446.9754795854415</v>
      </c>
      <c r="M9" s="187">
        <f>'DCF input'!M24</f>
        <v>1442.6203434361953</v>
      </c>
      <c r="N9" s="187">
        <f>'DCF input'!N24</f>
        <v>1471.4727503049191</v>
      </c>
      <c r="O9" s="187">
        <f ca="1">'DCF input'!O24</f>
        <v>1497.9592598104077</v>
      </c>
      <c r="P9" s="187">
        <f ca="1">'DCF input'!P24</f>
        <v>1521.9266079673744</v>
      </c>
      <c r="Q9" s="187">
        <f ca="1">'DCF input'!Q24</f>
        <v>1543.2335804789177</v>
      </c>
      <c r="R9" s="187">
        <f ca="1">'DCF input'!R24</f>
        <v>1561.7523834446647</v>
      </c>
      <c r="S9" s="187">
        <f ca="1">'DCF input'!S24</f>
        <v>1577.3699072791114</v>
      </c>
      <c r="T9" s="188"/>
      <c r="U9" s="37"/>
    </row>
    <row r="10" spans="1:21" ht="20.25" customHeight="1">
      <c r="A10" s="138"/>
      <c r="B10" s="133"/>
      <c r="C10" s="148" t="s">
        <v>64</v>
      </c>
      <c r="D10" s="148"/>
      <c r="E10" s="149"/>
      <c r="F10" s="150"/>
      <c r="G10" s="150"/>
      <c r="H10" s="150"/>
      <c r="I10" s="189"/>
      <c r="J10" s="189">
        <f t="shared" ref="J10:S10" si="10">J9/I9-1</f>
        <v>9.2582973996280238E-2</v>
      </c>
      <c r="K10" s="189">
        <f t="shared" si="10"/>
        <v>7.8213241232100827E-2</v>
      </c>
      <c r="L10" s="189">
        <f t="shared" si="10"/>
        <v>6.879562851268739E-2</v>
      </c>
      <c r="M10" s="189">
        <f t="shared" si="10"/>
        <v>-3.0098202842344657E-3</v>
      </c>
      <c r="N10" s="189">
        <f t="shared" si="10"/>
        <v>2.0000000000000018E-2</v>
      </c>
      <c r="O10" s="189">
        <f t="shared" ca="1" si="10"/>
        <v>1.8000000000000016E-2</v>
      </c>
      <c r="P10" s="189">
        <f t="shared" ca="1" si="10"/>
        <v>1.6000000000000014E-2</v>
      </c>
      <c r="Q10" s="189">
        <f t="shared" ca="1" si="10"/>
        <v>1.4000000000000012E-2</v>
      </c>
      <c r="R10" s="189">
        <f t="shared" ca="1" si="10"/>
        <v>1.2000000000000011E-2</v>
      </c>
      <c r="S10" s="189">
        <f t="shared" ca="1" si="10"/>
        <v>1.0000000000000009E-2</v>
      </c>
      <c r="T10" s="190"/>
      <c r="U10" s="37"/>
    </row>
    <row r="11" spans="1:21" ht="20.25" customHeight="1">
      <c r="A11" s="138"/>
      <c r="B11" s="133"/>
      <c r="C11" s="146" t="s">
        <v>63</v>
      </c>
      <c r="D11" s="146"/>
      <c r="E11" s="147"/>
      <c r="F11" s="147"/>
      <c r="G11" s="147"/>
      <c r="H11" s="147"/>
      <c r="I11" s="187">
        <f>'DCF input'!I27</f>
        <v>94.147209662938664</v>
      </c>
      <c r="J11" s="187">
        <f>'DCF input'!J27</f>
        <v>74.620836423784183</v>
      </c>
      <c r="K11" s="187">
        <f>'DCF input'!K27</f>
        <v>105.04401819421257</v>
      </c>
      <c r="L11" s="187">
        <f>'DCF input'!L27</f>
        <v>125.53339504552143</v>
      </c>
      <c r="M11" s="187">
        <f>'DCF input'!M27</f>
        <v>122.70308878387445</v>
      </c>
      <c r="N11" s="187">
        <f ca="1">'DCF input'!N27</f>
        <v>126.36971672086703</v>
      </c>
      <c r="O11" s="187">
        <f ca="1">'DCF input'!O27</f>
        <v>129.87876397406146</v>
      </c>
      <c r="P11" s="187">
        <f ca="1">'DCF input'!P27</f>
        <v>133.21096682750073</v>
      </c>
      <c r="Q11" s="187">
        <f ca="1">'DCF input'!Q27</f>
        <v>136.34762098975804</v>
      </c>
      <c r="R11" s="187">
        <f ca="1">'DCF input'!R27</f>
        <v>139.27075347582746</v>
      </c>
      <c r="S11" s="187">
        <f ca="1">'DCF input'!S27</f>
        <v>141.96329165512003</v>
      </c>
      <c r="T11" s="188"/>
      <c r="U11" s="37"/>
    </row>
    <row r="12" spans="1:21" ht="20.25" customHeight="1">
      <c r="A12" s="138"/>
      <c r="B12" s="133"/>
      <c r="C12" s="148" t="s">
        <v>70</v>
      </c>
      <c r="D12" s="148"/>
      <c r="E12" s="151"/>
      <c r="F12" s="151"/>
      <c r="G12" s="151"/>
      <c r="H12" s="151"/>
      <c r="I12" s="189">
        <f t="shared" ref="I12:S12" si="11">I11/I9</f>
        <v>8.1921904398916168E-2</v>
      </c>
      <c r="J12" s="189">
        <f t="shared" si="11"/>
        <v>5.9428979249635652E-2</v>
      </c>
      <c r="K12" s="189">
        <f t="shared" si="11"/>
        <v>7.7589834127353083E-2</v>
      </c>
      <c r="L12" s="189">
        <f t="shared" si="11"/>
        <v>8.6755716884357126E-2</v>
      </c>
      <c r="M12" s="189">
        <f t="shared" si="11"/>
        <v>8.5055703908629515E-2</v>
      </c>
      <c r="N12" s="189">
        <f t="shared" ca="1" si="11"/>
        <v>8.5879753257191244E-2</v>
      </c>
      <c r="O12" s="189">
        <f t="shared" ca="1" si="11"/>
        <v>8.6703802605753E-2</v>
      </c>
      <c r="P12" s="189">
        <f t="shared" ca="1" si="11"/>
        <v>8.7527851954314728E-2</v>
      </c>
      <c r="Q12" s="189">
        <f t="shared" ca="1" si="11"/>
        <v>8.8351901302876498E-2</v>
      </c>
      <c r="R12" s="189">
        <f t="shared" ca="1" si="11"/>
        <v>8.9175950651438241E-2</v>
      </c>
      <c r="S12" s="189">
        <f t="shared" ca="1" si="11"/>
        <v>0.09</v>
      </c>
      <c r="T12" s="190"/>
      <c r="U12" s="37"/>
    </row>
    <row r="13" spans="1:21" ht="20.25" customHeight="1">
      <c r="A13" s="138"/>
      <c r="B13" s="133"/>
      <c r="C13" s="148" t="s">
        <v>64</v>
      </c>
      <c r="D13" s="148"/>
      <c r="E13" s="149"/>
      <c r="F13" s="151"/>
      <c r="G13" s="151"/>
      <c r="H13" s="151"/>
      <c r="I13" s="189"/>
      <c r="J13" s="189">
        <f t="shared" ref="J13:S13" si="12">J11/I11-1</f>
        <v>-0.20740256996529016</v>
      </c>
      <c r="K13" s="189">
        <f t="shared" si="12"/>
        <v>0.40770357487887243</v>
      </c>
      <c r="L13" s="189">
        <f t="shared" si="12"/>
        <v>0.19505515119791683</v>
      </c>
      <c r="M13" s="189">
        <f t="shared" si="12"/>
        <v>-2.254624166438457E-2</v>
      </c>
      <c r="N13" s="189">
        <f t="shared" ca="1" si="12"/>
        <v>2.9882116035814477E-2</v>
      </c>
      <c r="O13" s="189">
        <f t="shared" ca="1" si="12"/>
        <v>2.7768102550592921E-2</v>
      </c>
      <c r="P13" s="189">
        <f t="shared" ca="1" si="12"/>
        <v>2.5656256276851863E-2</v>
      </c>
      <c r="Q13" s="189">
        <f t="shared" ca="1" si="12"/>
        <v>2.3546516003589035E-2</v>
      </c>
      <c r="R13" s="189">
        <f t="shared" ca="1" si="12"/>
        <v>2.1438822803435675E-2</v>
      </c>
      <c r="S13" s="189">
        <f t="shared" ca="1" si="12"/>
        <v>1.9333119927148923E-2</v>
      </c>
      <c r="T13" s="190"/>
      <c r="U13" s="37"/>
    </row>
    <row r="14" spans="1:21" ht="20.25" customHeight="1">
      <c r="A14" s="138"/>
      <c r="B14" s="133"/>
      <c r="C14" s="152" t="s">
        <v>87</v>
      </c>
      <c r="D14" s="152"/>
      <c r="E14" s="153"/>
      <c r="F14" s="153"/>
      <c r="G14" s="153"/>
      <c r="H14" s="153"/>
      <c r="I14" s="191">
        <f>'DCF input'!I31</f>
        <v>-36.129215400000028</v>
      </c>
      <c r="J14" s="191">
        <f>'DCF input'!J31</f>
        <v>-40.455293523349013</v>
      </c>
      <c r="K14" s="191">
        <f>'DCF input'!K31</f>
        <v>-47.195257615808735</v>
      </c>
      <c r="L14" s="191">
        <f>'DCF input'!L31</f>
        <v>-51.829543587564174</v>
      </c>
      <c r="M14" s="191">
        <f>'DCF input'!M31</f>
        <v>-54.799912142159201</v>
      </c>
      <c r="N14" s="191">
        <f ca="1">'DCF input'!N31</f>
        <v>-53.583260118465986</v>
      </c>
      <c r="O14" s="191">
        <f ca="1">'DCF input'!O31</f>
        <v>-52.366608094772801</v>
      </c>
      <c r="P14" s="191">
        <f ca="1">'DCF input'!P31</f>
        <v>-51.1499560710796</v>
      </c>
      <c r="Q14" s="191">
        <f ca="1">'DCF input'!Q31</f>
        <v>-49.9333040473864</v>
      </c>
      <c r="R14" s="191">
        <f ca="1">'DCF input'!R31</f>
        <v>-48.7166520236932</v>
      </c>
      <c r="S14" s="191">
        <f ca="1">'DCF input'!S31</f>
        <v>-47.5</v>
      </c>
      <c r="T14" s="192"/>
      <c r="U14" s="37"/>
    </row>
    <row r="15" spans="1:21" ht="20.25" customHeight="1">
      <c r="A15" s="138"/>
      <c r="B15" s="133"/>
      <c r="C15" s="148" t="s">
        <v>88</v>
      </c>
      <c r="D15" s="148"/>
      <c r="E15" s="151"/>
      <c r="F15" s="151"/>
      <c r="G15" s="151"/>
      <c r="H15" s="151"/>
      <c r="I15" s="189">
        <f t="shared" ref="I15:S15" si="13">-I14/I$9</f>
        <v>3.1437725457855774E-2</v>
      </c>
      <c r="J15" s="189">
        <f t="shared" si="13"/>
        <v>3.2219108154766314E-2</v>
      </c>
      <c r="K15" s="189">
        <f t="shared" si="13"/>
        <v>3.4860359237571983E-2</v>
      </c>
      <c r="L15" s="189">
        <f t="shared" si="13"/>
        <v>3.5819227290854537E-2</v>
      </c>
      <c r="M15" s="189">
        <f t="shared" si="13"/>
        <v>3.7986371391124714E-2</v>
      </c>
      <c r="N15" s="189">
        <f t="shared" ca="1" si="13"/>
        <v>3.6414714514667323E-2</v>
      </c>
      <c r="O15" s="189">
        <f t="shared" ca="1" si="13"/>
        <v>3.4958633054813976E-2</v>
      </c>
      <c r="P15" s="189">
        <f t="shared" ca="1" si="13"/>
        <v>3.360868770104064E-2</v>
      </c>
      <c r="Q15" s="189">
        <f t="shared" ca="1" si="13"/>
        <v>3.2356284025319357E-2</v>
      </c>
      <c r="R15" s="189">
        <f t="shared" ca="1" si="13"/>
        <v>3.1193582631993021E-2</v>
      </c>
      <c r="S15" s="189">
        <f t="shared" ca="1" si="13"/>
        <v>3.0113418406678784E-2</v>
      </c>
      <c r="T15" s="190"/>
      <c r="U15" s="37"/>
    </row>
    <row r="16" spans="1:21" ht="20.25" customHeight="1">
      <c r="A16" s="138"/>
      <c r="B16" s="133"/>
      <c r="C16" s="148" t="s">
        <v>89</v>
      </c>
      <c r="D16" s="148"/>
      <c r="E16" s="151"/>
      <c r="F16" s="151"/>
      <c r="G16" s="151"/>
      <c r="H16" s="151"/>
      <c r="I16" s="189"/>
      <c r="J16" s="189">
        <f>+J14/J21</f>
        <v>0.79324104947743168</v>
      </c>
      <c r="K16" s="189">
        <f>+K14/K21</f>
        <v>0.94390515231617467</v>
      </c>
      <c r="L16" s="189">
        <f t="shared" ref="L16:S16" si="14">+L14/L21</f>
        <v>1.0365908717512835</v>
      </c>
      <c r="M16" s="189">
        <f t="shared" si="14"/>
        <v>1.095998242843184</v>
      </c>
      <c r="N16" s="189">
        <f t="shared" ca="1" si="14"/>
        <v>1.0716652023693198</v>
      </c>
      <c r="O16" s="189">
        <f t="shared" ca="1" si="14"/>
        <v>1.0473321618954561</v>
      </c>
      <c r="P16" s="189">
        <f t="shared" ca="1" si="14"/>
        <v>1.0229991214215921</v>
      </c>
      <c r="Q16" s="189">
        <f t="shared" ca="1" si="14"/>
        <v>0.99866608094772802</v>
      </c>
      <c r="R16" s="189">
        <f t="shared" ca="1" si="14"/>
        <v>0.97433304047386404</v>
      </c>
      <c r="S16" s="189">
        <f t="shared" ca="1" si="14"/>
        <v>0.95</v>
      </c>
      <c r="T16" s="190"/>
      <c r="U16" s="37"/>
    </row>
    <row r="17" spans="1:21" ht="20.25" customHeight="1">
      <c r="A17" s="138"/>
      <c r="B17" s="133"/>
      <c r="C17" s="152" t="s">
        <v>71</v>
      </c>
      <c r="D17" s="152"/>
      <c r="E17" s="153"/>
      <c r="F17" s="153"/>
      <c r="G17" s="153"/>
      <c r="H17" s="153"/>
      <c r="I17" s="191">
        <f t="shared" ref="I17:S17" si="15">I11+I14</f>
        <v>58.017994262938636</v>
      </c>
      <c r="J17" s="191">
        <f t="shared" si="15"/>
        <v>34.16554290043517</v>
      </c>
      <c r="K17" s="191">
        <f t="shared" si="15"/>
        <v>57.848760578403834</v>
      </c>
      <c r="L17" s="191">
        <f t="shared" si="15"/>
        <v>73.703851457957256</v>
      </c>
      <c r="M17" s="191">
        <f t="shared" si="15"/>
        <v>67.903176641715248</v>
      </c>
      <c r="N17" s="191">
        <f t="shared" ca="1" si="15"/>
        <v>72.786456602401046</v>
      </c>
      <c r="O17" s="191">
        <f t="shared" ca="1" si="15"/>
        <v>77.512155879288656</v>
      </c>
      <c r="P17" s="191">
        <f t="shared" ca="1" si="15"/>
        <v>82.061010756421126</v>
      </c>
      <c r="Q17" s="191">
        <f t="shared" ca="1" si="15"/>
        <v>86.414316942371642</v>
      </c>
      <c r="R17" s="191">
        <f t="shared" ca="1" si="15"/>
        <v>90.554101452134262</v>
      </c>
      <c r="S17" s="191">
        <f t="shared" ca="1" si="15"/>
        <v>94.463291655120031</v>
      </c>
      <c r="T17" s="192"/>
      <c r="U17" s="37"/>
    </row>
    <row r="18" spans="1:21" ht="20.25" customHeight="1">
      <c r="A18" s="138"/>
      <c r="B18" s="133"/>
      <c r="C18" s="148" t="s">
        <v>70</v>
      </c>
      <c r="D18" s="148"/>
      <c r="E18" s="151"/>
      <c r="F18" s="151"/>
      <c r="G18" s="151"/>
      <c r="H18" s="151"/>
      <c r="I18" s="189">
        <f t="shared" ref="I18:S18" si="16">I17/I$9</f>
        <v>5.0484178941060394E-2</v>
      </c>
      <c r="J18" s="189">
        <f t="shared" si="16"/>
        <v>2.7209871094869338E-2</v>
      </c>
      <c r="K18" s="189">
        <f t="shared" si="16"/>
        <v>4.2729474889781106E-2</v>
      </c>
      <c r="L18" s="189">
        <f t="shared" si="16"/>
        <v>5.0936489593502589E-2</v>
      </c>
      <c r="M18" s="189">
        <f t="shared" si="16"/>
        <v>4.7069332517504801E-2</v>
      </c>
      <c r="N18" s="189">
        <f t="shared" ca="1" si="16"/>
        <v>4.9465038742523913E-2</v>
      </c>
      <c r="O18" s="189">
        <f t="shared" ca="1" si="16"/>
        <v>5.1745169550939017E-2</v>
      </c>
      <c r="P18" s="189">
        <f t="shared" ca="1" si="16"/>
        <v>5.3919164253274081E-2</v>
      </c>
      <c r="Q18" s="189">
        <f t="shared" ca="1" si="16"/>
        <v>5.5995617277557135E-2</v>
      </c>
      <c r="R18" s="189">
        <f t="shared" ca="1" si="16"/>
        <v>5.7982368019445209E-2</v>
      </c>
      <c r="S18" s="189">
        <f t="shared" ca="1" si="16"/>
        <v>5.988658159332122E-2</v>
      </c>
      <c r="T18" s="190"/>
      <c r="U18" s="37"/>
    </row>
    <row r="19" spans="1:21" ht="20.25" customHeight="1">
      <c r="A19" s="138"/>
      <c r="B19" s="133"/>
      <c r="C19" s="152" t="s">
        <v>155</v>
      </c>
      <c r="D19" s="152"/>
      <c r="E19" s="153"/>
      <c r="F19" s="153"/>
      <c r="G19" s="153"/>
      <c r="H19" s="153"/>
      <c r="I19" s="191"/>
      <c r="J19" s="191">
        <f>-J20*J17</f>
        <v>-6.4914531510826823</v>
      </c>
      <c r="K19" s="191">
        <f t="shared" ref="K19:S19" si="17">-K20*K17</f>
        <v>-9.8342892983286525</v>
      </c>
      <c r="L19" s="191">
        <f t="shared" si="17"/>
        <v>-12.529654747852735</v>
      </c>
      <c r="M19" s="191">
        <f t="shared" si="17"/>
        <v>-11.543540029091593</v>
      </c>
      <c r="N19" s="191">
        <f t="shared" ca="1" si="17"/>
        <v>-12.373697622408178</v>
      </c>
      <c r="O19" s="191">
        <f t="shared" ca="1" si="17"/>
        <v>-13.177066499479073</v>
      </c>
      <c r="P19" s="191">
        <f t="shared" ca="1" si="17"/>
        <v>-13.950371828591592</v>
      </c>
      <c r="Q19" s="191">
        <f t="shared" ca="1" si="17"/>
        <v>-14.69043388020318</v>
      </c>
      <c r="R19" s="191">
        <f t="shared" ca="1" si="17"/>
        <v>-15.394197246862825</v>
      </c>
      <c r="S19" s="191">
        <f t="shared" ca="1" si="17"/>
        <v>-16.058759581370406</v>
      </c>
      <c r="T19" s="192"/>
      <c r="U19" s="37"/>
    </row>
    <row r="20" spans="1:21" ht="20.25" customHeight="1">
      <c r="A20" s="138"/>
      <c r="B20" s="133"/>
      <c r="C20" s="148" t="s">
        <v>72</v>
      </c>
      <c r="D20" s="148"/>
      <c r="E20" s="151"/>
      <c r="F20" s="151"/>
      <c r="G20" s="151"/>
      <c r="H20" s="151"/>
      <c r="I20" s="189"/>
      <c r="J20" s="189">
        <f>'DCF input'!J40</f>
        <v>0.19</v>
      </c>
      <c r="K20" s="189">
        <f>'DCF input'!K40</f>
        <v>0.17</v>
      </c>
      <c r="L20" s="189">
        <f>'DCF input'!L40</f>
        <v>0.17</v>
      </c>
      <c r="M20" s="189">
        <f>'DCF input'!M40</f>
        <v>0.17</v>
      </c>
      <c r="N20" s="189">
        <f>'DCF input'!N40</f>
        <v>0.17</v>
      </c>
      <c r="O20" s="189">
        <f>'DCF input'!O40</f>
        <v>0.17</v>
      </c>
      <c r="P20" s="189">
        <f>'DCF input'!P40</f>
        <v>0.17</v>
      </c>
      <c r="Q20" s="189">
        <f>'DCF input'!Q40</f>
        <v>0.17</v>
      </c>
      <c r="R20" s="189">
        <f>'DCF input'!R40</f>
        <v>0.17</v>
      </c>
      <c r="S20" s="189">
        <f>'DCF input'!S40</f>
        <v>0.17</v>
      </c>
      <c r="T20" s="190"/>
      <c r="U20" s="37"/>
    </row>
    <row r="21" spans="1:21" ht="20.25" customHeight="1">
      <c r="A21" s="138"/>
      <c r="B21" s="133"/>
      <c r="C21" s="152" t="s">
        <v>42</v>
      </c>
      <c r="D21" s="152"/>
      <c r="E21" s="153"/>
      <c r="F21" s="153"/>
      <c r="G21" s="153"/>
      <c r="H21" s="153"/>
      <c r="I21" s="191"/>
      <c r="J21" s="191">
        <f>'DCF input'!J48</f>
        <v>-51</v>
      </c>
      <c r="K21" s="191">
        <f>'DCF input'!K48</f>
        <v>-50</v>
      </c>
      <c r="L21" s="191">
        <f>'DCF input'!L48</f>
        <v>-50</v>
      </c>
      <c r="M21" s="191">
        <f>'DCF input'!M48</f>
        <v>-50</v>
      </c>
      <c r="N21" s="191">
        <f>'DCF input'!N48</f>
        <v>-50</v>
      </c>
      <c r="O21" s="191">
        <f>'DCF input'!O48</f>
        <v>-50</v>
      </c>
      <c r="P21" s="191">
        <f>'DCF input'!P48</f>
        <v>-50</v>
      </c>
      <c r="Q21" s="191">
        <f>'DCF input'!Q48</f>
        <v>-50</v>
      </c>
      <c r="R21" s="191">
        <f>'DCF input'!R48</f>
        <v>-50</v>
      </c>
      <c r="S21" s="191">
        <f>'DCF input'!S48</f>
        <v>-50</v>
      </c>
      <c r="T21" s="192"/>
      <c r="U21" s="37"/>
    </row>
    <row r="22" spans="1:21" ht="20.25" customHeight="1">
      <c r="A22" s="138"/>
      <c r="B22" s="133"/>
      <c r="C22" s="148" t="s">
        <v>88</v>
      </c>
      <c r="D22" s="148"/>
      <c r="E22" s="151"/>
      <c r="F22" s="151"/>
      <c r="G22" s="151"/>
      <c r="H22" s="151"/>
      <c r="I22" s="189"/>
      <c r="J22" s="189">
        <f t="shared" ref="J22" si="18">-J21/J$9</f>
        <v>4.0617045948380379E-2</v>
      </c>
      <c r="K22" s="189">
        <f t="shared" ref="K22:S22" si="19">-K21/K$9</f>
        <v>3.6932057370415751E-2</v>
      </c>
      <c r="L22" s="189">
        <f t="shared" si="19"/>
        <v>3.4554835728332456E-2</v>
      </c>
      <c r="M22" s="189">
        <f t="shared" si="19"/>
        <v>3.4659153551726836E-2</v>
      </c>
      <c r="N22" s="189">
        <f t="shared" si="19"/>
        <v>3.3979562305614552E-2</v>
      </c>
      <c r="O22" s="189">
        <f t="shared" ca="1" si="19"/>
        <v>3.3378744897460261E-2</v>
      </c>
      <c r="P22" s="189">
        <f t="shared" ca="1" si="19"/>
        <v>3.2853095371516004E-2</v>
      </c>
      <c r="Q22" s="189">
        <f t="shared" ca="1" si="19"/>
        <v>3.239950233877318E-2</v>
      </c>
      <c r="R22" s="189">
        <f t="shared" ca="1" si="19"/>
        <v>3.2015318516574284E-2</v>
      </c>
      <c r="S22" s="189">
        <f t="shared" ca="1" si="19"/>
        <v>3.1698335164925033E-2</v>
      </c>
      <c r="T22" s="190"/>
      <c r="U22" s="37"/>
    </row>
    <row r="23" spans="1:21" ht="20.25" customHeight="1">
      <c r="A23" s="138"/>
      <c r="B23" s="133"/>
      <c r="C23" s="152" t="s">
        <v>91</v>
      </c>
      <c r="D23" s="152"/>
      <c r="E23" s="153"/>
      <c r="F23" s="153"/>
      <c r="G23" s="153"/>
      <c r="H23" s="153"/>
      <c r="I23" s="191"/>
      <c r="J23" s="191">
        <f>'DCF input'!J52</f>
        <v>16.111954440903407</v>
      </c>
      <c r="K23" s="191">
        <f>'DCF input'!K52</f>
        <v>15.168892666804709</v>
      </c>
      <c r="L23" s="191">
        <f>'DCF input'!L52</f>
        <v>11.110216900668604</v>
      </c>
      <c r="M23" s="191">
        <f>'DCF input'!M52</f>
        <v>3.9548595532390358</v>
      </c>
      <c r="N23" s="191">
        <f>'DCF input'!N52</f>
        <v>0</v>
      </c>
      <c r="O23" s="191">
        <f ca="1">'DCF input'!O52</f>
        <v>0</v>
      </c>
      <c r="P23" s="191">
        <f ca="1">'DCF input'!P52</f>
        <v>0</v>
      </c>
      <c r="Q23" s="191">
        <f ca="1">'DCF input'!Q52</f>
        <v>0</v>
      </c>
      <c r="R23" s="191">
        <f ca="1">'DCF input'!R52</f>
        <v>0</v>
      </c>
      <c r="S23" s="191">
        <f ca="1">'DCF input'!S52</f>
        <v>0</v>
      </c>
      <c r="T23" s="192"/>
      <c r="U23" s="37"/>
    </row>
    <row r="24" spans="1:21" ht="20.25" customHeight="1">
      <c r="A24" s="138"/>
      <c r="B24" s="133"/>
      <c r="C24" s="152" t="s">
        <v>82</v>
      </c>
      <c r="D24" s="152"/>
      <c r="E24" s="153"/>
      <c r="F24" s="153"/>
      <c r="G24" s="153"/>
      <c r="H24" s="153"/>
      <c r="I24" s="191"/>
      <c r="J24" s="191">
        <f>'DCF input'!J55</f>
        <v>0</v>
      </c>
      <c r="K24" s="191">
        <f>'DCF input'!K55</f>
        <v>-5</v>
      </c>
      <c r="L24" s="191">
        <f>'DCF input'!L55</f>
        <v>-5</v>
      </c>
      <c r="M24" s="191">
        <f>'DCF input'!M55</f>
        <v>-5</v>
      </c>
      <c r="N24" s="191">
        <f>'DCF input'!N55</f>
        <v>-5</v>
      </c>
      <c r="O24" s="191">
        <f>'DCF input'!O55</f>
        <v>-5</v>
      </c>
      <c r="P24" s="191">
        <f>'DCF input'!P55</f>
        <v>-5</v>
      </c>
      <c r="Q24" s="191">
        <f>'DCF input'!Q55</f>
        <v>-5</v>
      </c>
      <c r="R24" s="191">
        <f>'DCF input'!R55</f>
        <v>-5</v>
      </c>
      <c r="S24" s="191">
        <f>'DCF input'!S55</f>
        <v>-5</v>
      </c>
      <c r="T24" s="192"/>
      <c r="U24" s="37"/>
    </row>
    <row r="25" spans="1:21" ht="20.25" customHeight="1">
      <c r="A25" s="138"/>
      <c r="B25" s="133"/>
      <c r="C25" s="148" t="s">
        <v>88</v>
      </c>
      <c r="D25" s="152"/>
      <c r="E25" s="153"/>
      <c r="F25" s="153"/>
      <c r="G25" s="153"/>
      <c r="H25" s="153"/>
      <c r="I25" s="191"/>
      <c r="J25" s="189">
        <f t="shared" ref="J25:S25" si="20">-J24/J$9</f>
        <v>0</v>
      </c>
      <c r="K25" s="189">
        <f t="shared" si="20"/>
        <v>3.6932057370415751E-3</v>
      </c>
      <c r="L25" s="189">
        <f t="shared" si="20"/>
        <v>3.4554835728332453E-3</v>
      </c>
      <c r="M25" s="189">
        <f t="shared" si="20"/>
        <v>3.4659153551726838E-3</v>
      </c>
      <c r="N25" s="189">
        <f t="shared" si="20"/>
        <v>3.3979562305614551E-3</v>
      </c>
      <c r="O25" s="189">
        <f t="shared" ca="1" si="20"/>
        <v>3.3378744897460265E-3</v>
      </c>
      <c r="P25" s="189">
        <f t="shared" ca="1" si="20"/>
        <v>3.2853095371516007E-3</v>
      </c>
      <c r="Q25" s="189">
        <f t="shared" ca="1" si="20"/>
        <v>3.2399502338773178E-3</v>
      </c>
      <c r="R25" s="189">
        <f t="shared" ca="1" si="20"/>
        <v>3.2015318516574287E-3</v>
      </c>
      <c r="S25" s="189">
        <f t="shared" ca="1" si="20"/>
        <v>3.1698335164925037E-3</v>
      </c>
      <c r="T25" s="192"/>
      <c r="U25" s="37"/>
    </row>
    <row r="26" spans="1:21" ht="20.25" customHeight="1">
      <c r="A26" s="138"/>
      <c r="B26" s="133"/>
      <c r="C26" s="152" t="s">
        <v>84</v>
      </c>
      <c r="D26" s="152"/>
      <c r="E26" s="153"/>
      <c r="F26" s="153"/>
      <c r="G26" s="153"/>
      <c r="H26" s="153"/>
      <c r="I26" s="191"/>
      <c r="J26" s="191">
        <f>'DCF input'!J58</f>
        <v>-18.004468664734777</v>
      </c>
      <c r="K26" s="191">
        <f>'DCF input'!K58</f>
        <v>-6.7527180429793674</v>
      </c>
      <c r="L26" s="191">
        <f>'DCF input'!L58</f>
        <v>25.138454026318882</v>
      </c>
      <c r="M26" s="191">
        <f>'DCF input'!M58</f>
        <v>-4.8650405710493061</v>
      </c>
      <c r="N26" s="191">
        <f>'DCF input'!N58</f>
        <v>0</v>
      </c>
      <c r="O26" s="191">
        <f>'DCF input'!O58</f>
        <v>0</v>
      </c>
      <c r="P26" s="191">
        <f>'DCF input'!P58</f>
        <v>0</v>
      </c>
      <c r="Q26" s="191">
        <f>'DCF input'!Q58</f>
        <v>0</v>
      </c>
      <c r="R26" s="191">
        <f>'DCF input'!R58</f>
        <v>0</v>
      </c>
      <c r="S26" s="191">
        <f>'DCF input'!S58</f>
        <v>0</v>
      </c>
      <c r="T26" s="192"/>
      <c r="U26" s="37"/>
    </row>
    <row r="27" spans="1:21" ht="20.25" customHeight="1">
      <c r="A27" s="138"/>
      <c r="B27" s="133"/>
      <c r="C27" s="148" t="s">
        <v>88</v>
      </c>
      <c r="D27" s="152"/>
      <c r="E27" s="153"/>
      <c r="F27" s="153"/>
      <c r="G27" s="153"/>
      <c r="H27" s="153"/>
      <c r="I27" s="191"/>
      <c r="J27" s="189">
        <f t="shared" ref="J27:S27" si="21">-J26/J$9</f>
        <v>1.433898688297465E-2</v>
      </c>
      <c r="K27" s="189">
        <f t="shared" si="21"/>
        <v>4.9878354033911108E-3</v>
      </c>
      <c r="L27" s="189">
        <f t="shared" si="21"/>
        <v>-1.737310298687373E-2</v>
      </c>
      <c r="M27" s="189">
        <f t="shared" si="21"/>
        <v>3.3723637637475745E-3</v>
      </c>
      <c r="N27" s="189">
        <f t="shared" si="21"/>
        <v>0</v>
      </c>
      <c r="O27" s="189">
        <f t="shared" ca="1" si="21"/>
        <v>0</v>
      </c>
      <c r="P27" s="189">
        <f t="shared" ca="1" si="21"/>
        <v>0</v>
      </c>
      <c r="Q27" s="189">
        <f t="shared" ca="1" si="21"/>
        <v>0</v>
      </c>
      <c r="R27" s="189">
        <f t="shared" ca="1" si="21"/>
        <v>0</v>
      </c>
      <c r="S27" s="189">
        <f t="shared" ca="1" si="21"/>
        <v>0</v>
      </c>
      <c r="T27" s="192"/>
      <c r="U27" s="37"/>
    </row>
    <row r="28" spans="1:21" ht="20.25" customHeight="1">
      <c r="A28" s="138"/>
      <c r="B28" s="133"/>
      <c r="C28" s="146" t="s">
        <v>156</v>
      </c>
      <c r="D28" s="146"/>
      <c r="E28" s="147"/>
      <c r="F28" s="147"/>
      <c r="G28" s="147"/>
      <c r="H28" s="147"/>
      <c r="I28" s="187"/>
      <c r="J28" s="187">
        <f>J17+J19-J14+J21+J23+J24+J26</f>
        <v>15.23686904887013</v>
      </c>
      <c r="K28" s="187">
        <f t="shared" ref="K28:S28" si="22">K17+K19-K14+K21+K23+K24+K26</f>
        <v>48.625903519709269</v>
      </c>
      <c r="L28" s="187">
        <f t="shared" si="22"/>
        <v>94.252411224656186</v>
      </c>
      <c r="M28" s="187">
        <f t="shared" si="22"/>
        <v>55.249367736972587</v>
      </c>
      <c r="N28" s="187">
        <f t="shared" ca="1" si="22"/>
        <v>58.996019098458845</v>
      </c>
      <c r="O28" s="187">
        <f t="shared" ca="1" si="22"/>
        <v>61.701697474582389</v>
      </c>
      <c r="P28" s="187">
        <f t="shared" ca="1" si="22"/>
        <v>64.260594998909141</v>
      </c>
      <c r="Q28" s="187">
        <f t="shared" ca="1" si="22"/>
        <v>66.657187109554854</v>
      </c>
      <c r="R28" s="187">
        <f t="shared" ca="1" si="22"/>
        <v>68.876556228964631</v>
      </c>
      <c r="S28" s="187">
        <f t="shared" ca="1" si="22"/>
        <v>70.904532073749621</v>
      </c>
      <c r="T28" s="187">
        <f ca="1">S28*(1+'DCF input'!F9)/('DCF input'!F11-'DCF input'!F9)</f>
        <v>890.73818417647954</v>
      </c>
      <c r="U28" s="37"/>
    </row>
    <row r="29" spans="1:21" ht="20.25" customHeight="1">
      <c r="A29" s="138"/>
      <c r="B29" s="133"/>
      <c r="C29" s="133" t="s">
        <v>157</v>
      </c>
      <c r="D29" s="152"/>
      <c r="E29" s="153"/>
      <c r="F29" s="153"/>
      <c r="G29" s="153"/>
      <c r="H29" s="153"/>
      <c r="I29" s="191"/>
      <c r="J29" s="191">
        <f t="shared" ref="J29:S29" si="23">J7</f>
        <v>1</v>
      </c>
      <c r="K29" s="191">
        <f t="shared" si="23"/>
        <v>2</v>
      </c>
      <c r="L29" s="191">
        <f t="shared" si="23"/>
        <v>3</v>
      </c>
      <c r="M29" s="191">
        <f t="shared" si="23"/>
        <v>4</v>
      </c>
      <c r="N29" s="191">
        <f t="shared" si="23"/>
        <v>5</v>
      </c>
      <c r="O29" s="191">
        <f t="shared" si="23"/>
        <v>6</v>
      </c>
      <c r="P29" s="191">
        <f t="shared" si="23"/>
        <v>7</v>
      </c>
      <c r="Q29" s="191">
        <f t="shared" si="23"/>
        <v>8</v>
      </c>
      <c r="R29" s="191">
        <f t="shared" si="23"/>
        <v>9</v>
      </c>
      <c r="S29" s="191">
        <f t="shared" si="23"/>
        <v>10</v>
      </c>
      <c r="T29" s="193"/>
      <c r="U29" s="37"/>
    </row>
    <row r="30" spans="1:21" ht="20.25" customHeight="1">
      <c r="A30" s="138"/>
      <c r="B30" s="133"/>
      <c r="C30" s="133" t="s">
        <v>158</v>
      </c>
      <c r="D30" s="152"/>
      <c r="E30" s="153"/>
      <c r="F30" s="153"/>
      <c r="G30" s="153"/>
      <c r="H30" s="153"/>
      <c r="I30" s="194"/>
      <c r="J30" s="195">
        <f>'DCF input'!J67</f>
        <v>0.92165898617511521</v>
      </c>
      <c r="K30" s="195">
        <f>'DCF input'!K67</f>
        <v>0.84945528679734128</v>
      </c>
      <c r="L30" s="195">
        <f>'DCF input'!L67</f>
        <v>0.78290809843072917</v>
      </c>
      <c r="M30" s="195">
        <f>'DCF input'!M67</f>
        <v>0.72157428426795334</v>
      </c>
      <c r="N30" s="195">
        <f>'DCF input'!N67</f>
        <v>0.66504542328843619</v>
      </c>
      <c r="O30" s="195">
        <f>'DCF input'!O67</f>
        <v>0.6129450905884205</v>
      </c>
      <c r="P30" s="195">
        <f>'DCF input'!P67</f>
        <v>0.56492635077273778</v>
      </c>
      <c r="Q30" s="195">
        <f>'DCF input'!Q67</f>
        <v>0.52066944771680901</v>
      </c>
      <c r="R30" s="195">
        <f>'DCF input'!R67</f>
        <v>0.4798796753150314</v>
      </c>
      <c r="S30" s="195">
        <f>'DCF input'!S67</f>
        <v>0.44228541503689528</v>
      </c>
      <c r="T30" s="191"/>
      <c r="U30" s="37"/>
    </row>
    <row r="31" spans="1:21" ht="20.25" customHeight="1">
      <c r="A31" s="138"/>
      <c r="B31" s="133"/>
      <c r="C31" s="154" t="s">
        <v>159</v>
      </c>
      <c r="D31" s="154"/>
      <c r="E31" s="155"/>
      <c r="F31" s="155"/>
      <c r="G31" s="155"/>
      <c r="H31" s="155"/>
      <c r="I31" s="196"/>
      <c r="J31" s="196">
        <f t="shared" ref="J31" si="24">J30*J28</f>
        <v>14.043197280064636</v>
      </c>
      <c r="K31" s="196">
        <f t="shared" ref="K31:S31" si="25">K30*K28</f>
        <v>41.305530820114484</v>
      </c>
      <c r="L31" s="196">
        <f t="shared" si="25"/>
        <v>73.79097604440669</v>
      </c>
      <c r="M31" s="196">
        <f t="shared" si="25"/>
        <v>39.86652298106295</v>
      </c>
      <c r="N31" s="196">
        <f t="shared" ca="1" si="25"/>
        <v>39.235032493667227</v>
      </c>
      <c r="O31" s="196">
        <f t="shared" ca="1" si="25"/>
        <v>37.81975254801722</v>
      </c>
      <c r="P31" s="196">
        <f t="shared" ca="1" si="25"/>
        <v>36.302503431218582</v>
      </c>
      <c r="Q31" s="196">
        <f t="shared" ca="1" si="25"/>
        <v>34.706360798687925</v>
      </c>
      <c r="R31" s="196">
        <f t="shared" ca="1" si="25"/>
        <v>33.052459439973049</v>
      </c>
      <c r="S31" s="196">
        <f t="shared" ca="1" si="25"/>
        <v>31.360040396235206</v>
      </c>
      <c r="T31" s="196">
        <f ca="1">T28*S30</f>
        <v>393.96050747770471</v>
      </c>
      <c r="U31" s="37"/>
    </row>
    <row r="32" spans="1:21" ht="20.25" customHeight="1">
      <c r="A32" s="138"/>
      <c r="B32" s="133"/>
      <c r="C32" s="133"/>
      <c r="D32" s="133"/>
      <c r="E32" s="133"/>
      <c r="F32" s="133"/>
      <c r="G32" s="133"/>
      <c r="H32" s="133"/>
      <c r="I32" s="133"/>
      <c r="J32" s="133"/>
      <c r="K32" s="133"/>
      <c r="L32" s="133"/>
      <c r="M32" s="133"/>
      <c r="N32" s="37"/>
      <c r="O32" s="133"/>
      <c r="P32" s="133"/>
      <c r="Q32" s="133"/>
      <c r="R32" s="133"/>
      <c r="S32" s="37"/>
      <c r="T32" s="37"/>
      <c r="U32" s="37"/>
    </row>
    <row r="33" spans="1:22" ht="20.25" customHeight="1">
      <c r="A33" s="138"/>
      <c r="B33" s="133"/>
      <c r="C33" s="170" t="s">
        <v>160</v>
      </c>
      <c r="D33" s="171"/>
      <c r="E33" s="171"/>
      <c r="F33" s="171"/>
      <c r="G33" s="171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69"/>
      <c r="U33" s="37"/>
    </row>
    <row r="34" spans="1:22" ht="20.25" customHeight="1">
      <c r="A34" s="138"/>
      <c r="B34" s="133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37"/>
      <c r="P34" s="37"/>
      <c r="Q34" s="37"/>
      <c r="R34" s="37"/>
      <c r="S34" s="37"/>
      <c r="T34" s="37"/>
      <c r="U34" s="37"/>
    </row>
    <row r="35" spans="1:22" ht="20.25" customHeight="1">
      <c r="A35" s="138"/>
      <c r="B35" s="133"/>
      <c r="C35" s="355" t="str">
        <f>"Value Based on "&amp;TEXT(K40,"#0.0%")&amp;" WACC &amp; "&amp;TEXT(N37,"#0.0%")&amp;" TGR"</f>
        <v>Value Based on 09% WACC &amp; 01% TGR</v>
      </c>
      <c r="D35" s="355"/>
      <c r="E35" s="355"/>
      <c r="F35" s="156" t="s">
        <v>161</v>
      </c>
      <c r="G35" s="156" t="s">
        <v>162</v>
      </c>
      <c r="H35" s="133"/>
      <c r="I35" s="37"/>
      <c r="J35" s="165" t="s">
        <v>163</v>
      </c>
      <c r="K35" s="166"/>
      <c r="L35" s="167"/>
      <c r="M35" s="168"/>
      <c r="N35" s="168"/>
      <c r="O35" s="168"/>
      <c r="P35" s="168"/>
      <c r="Q35" s="157"/>
      <c r="R35" s="157"/>
      <c r="S35" s="157"/>
      <c r="T35" s="37"/>
      <c r="U35" s="37"/>
    </row>
    <row r="36" spans="1:22" ht="20.25" customHeight="1">
      <c r="A36" s="138"/>
      <c r="B36" s="133"/>
      <c r="C36" s="356"/>
      <c r="D36" s="356"/>
      <c r="E36" s="356"/>
      <c r="F36" s="250" t="s">
        <v>121</v>
      </c>
      <c r="G36" s="145" t="s">
        <v>164</v>
      </c>
      <c r="H36" s="133"/>
      <c r="I36" s="37"/>
      <c r="J36" s="141"/>
      <c r="K36" s="156"/>
      <c r="L36" s="359" t="s">
        <v>165</v>
      </c>
      <c r="M36" s="359"/>
      <c r="N36" s="359"/>
      <c r="O36" s="359"/>
      <c r="P36" s="359"/>
      <c r="Q36" s="158"/>
      <c r="R36" s="158"/>
      <c r="S36" s="158"/>
      <c r="T36" s="37"/>
      <c r="U36" s="37"/>
    </row>
    <row r="37" spans="1:22" ht="20.25" customHeight="1">
      <c r="A37" s="138"/>
      <c r="B37" s="133"/>
      <c r="C37" s="205" t="s">
        <v>166</v>
      </c>
      <c r="D37" s="159"/>
      <c r="E37" s="159"/>
      <c r="F37" s="197">
        <f ca="1">SUM(J31:S31)</f>
        <v>381.48237623344795</v>
      </c>
      <c r="G37" s="198">
        <f ca="1">F37/F$39</f>
        <v>0.49195419062682066</v>
      </c>
      <c r="H37" s="133"/>
      <c r="I37" s="37"/>
      <c r="J37" s="357" t="s">
        <v>140</v>
      </c>
      <c r="K37" s="208"/>
      <c r="L37" s="209">
        <f>'DCF input'!F103</f>
        <v>0</v>
      </c>
      <c r="M37" s="209">
        <f>'DCF input'!G103</f>
        <v>2.5000000000000001E-3</v>
      </c>
      <c r="N37" s="209">
        <f>'DCF input'!H103</f>
        <v>5.0000000000000001E-3</v>
      </c>
      <c r="O37" s="209">
        <f>'DCF input'!I103</f>
        <v>7.4999999999999997E-3</v>
      </c>
      <c r="P37" s="209">
        <f>'DCF input'!J103</f>
        <v>0.01</v>
      </c>
      <c r="Q37" s="160"/>
      <c r="R37" s="160"/>
      <c r="S37" s="160"/>
      <c r="T37" s="37"/>
      <c r="U37" s="37"/>
    </row>
    <row r="38" spans="1:22" ht="20.25" customHeight="1">
      <c r="A38" s="138"/>
      <c r="B38" s="133"/>
      <c r="C38" s="205" t="s">
        <v>124</v>
      </c>
      <c r="D38" s="159"/>
      <c r="E38" s="159"/>
      <c r="F38" s="197">
        <f ca="1">T31</f>
        <v>393.96050747770471</v>
      </c>
      <c r="G38" s="198">
        <f ca="1">F38/F$39</f>
        <v>0.50804580937317922</v>
      </c>
      <c r="H38" s="133"/>
      <c r="I38" s="37"/>
      <c r="J38" s="357"/>
      <c r="K38" s="210">
        <f>'DCF input'!E95</f>
        <v>7.4999999999999997E-2</v>
      </c>
      <c r="L38" s="211" t="str">
        <f>CONCATENATE(ROUND('DCF input'!F95,)," / ",ROUND('DCF input'!F104,0),"c")</f>
        <v>860 / 389c</v>
      </c>
      <c r="M38" s="212" t="str">
        <f>CONCATENATE(ROUND('DCF input'!G95,)," / ",ROUND('DCF input'!G104,0),"c")</f>
        <v>877 / 398c</v>
      </c>
      <c r="N38" s="212" t="str">
        <f>CONCATENATE(ROUND('DCF input'!H95,)," / ",ROUND('DCF input'!H104,0),"c")</f>
        <v>895 / 407c</v>
      </c>
      <c r="O38" s="212" t="str">
        <f>CONCATENATE(ROUND('DCF input'!I95,)," / ",ROUND('DCF input'!I104,0),"c")</f>
        <v>914 / 417c</v>
      </c>
      <c r="P38" s="212" t="str">
        <f>CONCATENATE(ROUND('DCF input'!J95,)," / ",ROUND('DCF input'!J104,0),"c")</f>
        <v>936 / 428c</v>
      </c>
      <c r="Q38" s="161"/>
      <c r="R38" s="161"/>
      <c r="S38" s="161"/>
      <c r="T38" s="37"/>
      <c r="U38" s="37"/>
    </row>
    <row r="39" spans="1:22" ht="20.25" customHeight="1">
      <c r="A39" s="138"/>
      <c r="B39" s="133"/>
      <c r="C39" s="206" t="s">
        <v>167</v>
      </c>
      <c r="D39" s="162"/>
      <c r="E39" s="162"/>
      <c r="F39" s="199">
        <f ca="1">(F38+F37)</f>
        <v>775.44288371115272</v>
      </c>
      <c r="G39" s="200">
        <f ca="1">F39/F$39</f>
        <v>1</v>
      </c>
      <c r="H39" s="133"/>
      <c r="I39" s="37"/>
      <c r="J39" s="357"/>
      <c r="K39" s="210">
        <f>'DCF input'!E96</f>
        <v>0.08</v>
      </c>
      <c r="L39" s="212" t="str">
        <f>CONCATENATE(ROUND('DCF input'!F96,)," / ",ROUND('DCF input'!F105,0),"c")</f>
        <v>802 / 360c</v>
      </c>
      <c r="M39" s="213" t="str">
        <f>CONCATENATE(ROUND('DCF input'!G96,)," / ",ROUND('DCF input'!G105,0),"c")</f>
        <v>816 / 367c</v>
      </c>
      <c r="N39" s="213" t="str">
        <f>CONCATENATE(ROUND('DCF input'!H96,)," / ",ROUND('DCF input'!H105,0),"c")</f>
        <v>831 / 375c</v>
      </c>
      <c r="O39" s="213" t="str">
        <f>CONCATENATE(ROUND('DCF input'!I96,)," / ",ROUND('DCF input'!I105,0),"c")</f>
        <v>847 / 383c</v>
      </c>
      <c r="P39" s="212" t="str">
        <f>CONCATENATE(ROUND('DCF input'!J96,)," / ",ROUND('DCF input'!J105,0),"c")</f>
        <v>865 / 392c</v>
      </c>
      <c r="Q39" s="161"/>
      <c r="R39" s="161"/>
      <c r="S39" s="161"/>
      <c r="T39" s="37"/>
      <c r="U39" s="37"/>
    </row>
    <row r="40" spans="1:22" ht="20.25" customHeight="1">
      <c r="A40" s="138"/>
      <c r="B40" s="133"/>
      <c r="C40" s="205" t="s">
        <v>126</v>
      </c>
      <c r="D40" s="159"/>
      <c r="E40" s="159"/>
      <c r="F40" s="201">
        <f>+'DCF input'!H78</f>
        <v>-84.616813539584982</v>
      </c>
      <c r="G40" s="202"/>
      <c r="H40" s="129"/>
      <c r="I40" s="37"/>
      <c r="J40" s="357"/>
      <c r="K40" s="210">
        <f>'DCF input'!E97</f>
        <v>8.5000000000000006E-2</v>
      </c>
      <c r="L40" s="212" t="str">
        <f>CONCATENATE(ROUND('DCF input'!F97,)," / ",ROUND('DCF input'!F106,0),"c")</f>
        <v>750 / 335c</v>
      </c>
      <c r="M40" s="213" t="str">
        <f>CONCATENATE(ROUND('DCF input'!G97,)," / ",ROUND('DCF input'!G106,0),"c")</f>
        <v>763 / 341c</v>
      </c>
      <c r="N40" s="214" t="str">
        <f>CONCATENATE(ROUND('DCF input'!H97,)," / ",ROUND('DCF input'!H106,0),"c")</f>
        <v>775 / 347c</v>
      </c>
      <c r="O40" s="213" t="str">
        <f>CONCATENATE(ROUND('DCF input'!I97,)," / ",ROUND('DCF input'!I106,0),"c")</f>
        <v>789 / 354c</v>
      </c>
      <c r="P40" s="212" t="str">
        <f>CONCATENATE(ROUND('DCF input'!J97,)," / ",ROUND('DCF input'!J106,0),"c")</f>
        <v>804 / 361c</v>
      </c>
      <c r="Q40" s="161"/>
      <c r="R40" s="163"/>
      <c r="S40" s="161"/>
      <c r="T40" s="37"/>
      <c r="U40" s="37"/>
    </row>
    <row r="41" spans="1:22" ht="20.25" customHeight="1">
      <c r="A41" s="138"/>
      <c r="B41" s="133"/>
      <c r="C41" s="206" t="s">
        <v>168</v>
      </c>
      <c r="D41" s="162"/>
      <c r="E41" s="162"/>
      <c r="F41" s="199">
        <f ca="1">+F39+F40</f>
        <v>690.82607017156772</v>
      </c>
      <c r="G41" s="200"/>
      <c r="H41" s="133"/>
      <c r="I41" s="37"/>
      <c r="J41" s="357"/>
      <c r="K41" s="210">
        <f>'DCF input'!E98</f>
        <v>9.0000000000000011E-2</v>
      </c>
      <c r="L41" s="212" t="str">
        <f>CONCATENATE(ROUND('DCF input'!F98,)," / ",ROUND('DCF input'!F107,0),"c")</f>
        <v>705 / 312c</v>
      </c>
      <c r="M41" s="213" t="str">
        <f>CONCATENATE(ROUND('DCF input'!G98,)," / ",ROUND('DCF input'!G107,0),"c")</f>
        <v>715 / 317c</v>
      </c>
      <c r="N41" s="213" t="str">
        <f>CONCATENATE(ROUND('DCF input'!H98,)," / ",ROUND('DCF input'!H107,0),"c")</f>
        <v>726 / 322c</v>
      </c>
      <c r="O41" s="213" t="str">
        <f>CONCATENATE(ROUND('DCF input'!I98,)," / ",ROUND('DCF input'!I107,0),"c")</f>
        <v>738 / 328c</v>
      </c>
      <c r="P41" s="212" t="str">
        <f>CONCATENATE(ROUND('DCF input'!J98,)," / ",ROUND('DCF input'!J107,0),"c")</f>
        <v>750 / 335c</v>
      </c>
      <c r="Q41" s="161"/>
      <c r="R41" s="161"/>
      <c r="S41" s="161"/>
      <c r="T41" s="37"/>
      <c r="U41" s="37"/>
    </row>
    <row r="42" spans="1:22" ht="20.25" customHeight="1">
      <c r="A42" s="138"/>
      <c r="B42" s="133"/>
      <c r="C42" s="205" t="s">
        <v>169</v>
      </c>
      <c r="D42" s="159"/>
      <c r="E42" s="159"/>
      <c r="F42" s="201">
        <f ca="1">+F41/Assumptions!D17*100</f>
        <v>347.14877898068733</v>
      </c>
      <c r="G42" s="203"/>
      <c r="H42" s="133"/>
      <c r="I42" s="37"/>
      <c r="J42" s="358"/>
      <c r="K42" s="215">
        <f>'DCF input'!E99</f>
        <v>9.5000000000000015E-2</v>
      </c>
      <c r="L42" s="216" t="str">
        <f>CONCATENATE(ROUND('DCF input'!F99,)," / ",ROUND('DCF input'!F108,0),"c")</f>
        <v>664 / 291c</v>
      </c>
      <c r="M42" s="216" t="str">
        <f>CONCATENATE(ROUND('DCF input'!G99,)," / ",ROUND('DCF input'!G108,0),"c")</f>
        <v>673 / 296c</v>
      </c>
      <c r="N42" s="216" t="str">
        <f>CONCATENATE(ROUND('DCF input'!H99,)," / ",ROUND('DCF input'!H108,0),"c")</f>
        <v>683 / 301c</v>
      </c>
      <c r="O42" s="216" t="str">
        <f>CONCATENATE(ROUND('DCF input'!I99,)," / ",ROUND('DCF input'!I108,0),"c")</f>
        <v>693 / 306c</v>
      </c>
      <c r="P42" s="216" t="str">
        <f>CONCATENATE(ROUND('DCF input'!J99,)," / ",ROUND('DCF input'!J108,0),"c")</f>
        <v>703 / 311c</v>
      </c>
      <c r="Q42" s="161"/>
      <c r="R42" s="161"/>
      <c r="S42" s="161"/>
      <c r="T42" s="37"/>
      <c r="U42" s="37"/>
    </row>
    <row r="43" spans="1:22" ht="20.25" customHeight="1">
      <c r="B43" s="37"/>
      <c r="C43" s="207" t="s">
        <v>129</v>
      </c>
      <c r="D43" s="159"/>
      <c r="E43" s="159"/>
      <c r="F43" s="204">
        <f ca="1">+F42/Assumptions!D16-1</f>
        <v>1.1039319938223473</v>
      </c>
      <c r="G43" s="203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</row>
    <row r="44" spans="1:22" ht="15.95" customHeight="1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164"/>
    </row>
  </sheetData>
  <mergeCells count="3">
    <mergeCell ref="C35:E36"/>
    <mergeCell ref="J37:J42"/>
    <mergeCell ref="L36:P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JPMorgan Chase &amp; Co.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 J</dc:creator>
  <cp:keywords/>
  <dc:description/>
  <cp:lastModifiedBy/>
  <cp:revision/>
  <dcterms:created xsi:type="dcterms:W3CDTF">2023-11-06T09:50:44Z</dcterms:created>
  <dcterms:modified xsi:type="dcterms:W3CDTF">2023-11-07T09:02:41Z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  <property fmtid="{D5CDD505-2E9C-101B-9397-08002B2CF9AE}" pid="3" name="PitchProPlusUniqueWorkbookId">
    <vt:lpwstr>b0967e03-7035-4363-8f0e-435491059870</vt:lpwstr>
  </property>
  <property fmtid="{D5CDD505-2E9C-101B-9397-08002B2CF9AE}" pid="4" name="HiddenData">
    <vt:lpwstr>Hidden Sheets: __FDSCACHE__,__FDS_SIDEBAR__
</vt:lpwstr>
  </property>
  <property fmtid="{D5CDD505-2E9C-101B-9397-08002B2CF9AE}" pid="5" name="FormulaData">
    <vt:lpwstr>Formula Contents:
Sheet Name: DCF output: S7 (...)</vt:lpwstr>
  </property>
</Properties>
</file>