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\Documents\XRD\IAA-MIN-DATA\"/>
    </mc:Choice>
  </mc:AlternateContent>
  <xr:revisionPtr revIDLastSave="0" documentId="13_ncr:1_{9D6A4A36-40C5-4F6F-B609-D1790A3B6FCB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R45" i="1" l="1"/>
  <c r="R44" i="1"/>
  <c r="R43" i="1"/>
  <c r="R42" i="1"/>
  <c r="T42" i="1" s="1"/>
  <c r="J42" i="1"/>
  <c r="R41" i="1"/>
  <c r="P41" i="1"/>
  <c r="P40" i="1"/>
  <c r="R39" i="1"/>
  <c r="P39" i="1"/>
  <c r="R38" i="1"/>
  <c r="T38" i="1" s="1"/>
  <c r="P38" i="1"/>
  <c r="R37" i="1"/>
  <c r="T37" i="1" s="1"/>
  <c r="P37" i="1"/>
  <c r="R36" i="1"/>
  <c r="T36" i="1" s="1"/>
  <c r="P36" i="1"/>
  <c r="R35" i="1"/>
  <c r="P35" i="1"/>
  <c r="R34" i="1"/>
  <c r="P34" i="1"/>
  <c r="R33" i="1"/>
  <c r="P33" i="1"/>
  <c r="R32" i="1"/>
  <c r="P32" i="1"/>
  <c r="L32" i="1"/>
  <c r="R31" i="1"/>
  <c r="P31" i="1"/>
  <c r="M31" i="1"/>
  <c r="R30" i="1"/>
  <c r="P30" i="1"/>
  <c r="R29" i="1"/>
  <c r="P29" i="1"/>
  <c r="R28" i="1"/>
  <c r="P28" i="1"/>
  <c r="R27" i="1"/>
  <c r="P27" i="1"/>
  <c r="R26" i="1"/>
  <c r="P26" i="1"/>
  <c r="R25" i="1"/>
  <c r="P25" i="1"/>
  <c r="R24" i="1"/>
  <c r="R23" i="1"/>
  <c r="P23" i="1"/>
  <c r="R22" i="1"/>
  <c r="P22" i="1"/>
  <c r="R21" i="1"/>
  <c r="P21" i="1"/>
  <c r="R19" i="1"/>
  <c r="P19" i="1"/>
  <c r="R18" i="1"/>
  <c r="P18" i="1"/>
</calcChain>
</file>

<file path=xl/sharedStrings.xml><?xml version="1.0" encoding="utf-8"?>
<sst xmlns="http://schemas.openxmlformats.org/spreadsheetml/2006/main" count="532" uniqueCount="267">
  <si>
    <t>Sample/ 
purpose of experiment</t>
  </si>
  <si>
    <t xml:space="preserve">Mg_Source </t>
  </si>
  <si>
    <t>T/°C</t>
  </si>
  <si>
    <t>NH3</t>
  </si>
  <si>
    <t>Main_Phases</t>
  </si>
  <si>
    <t>CO2 (pumped in)</t>
  </si>
  <si>
    <t>CO2 / pressure</t>
  </si>
  <si>
    <t>Pump-Impeller (rpm)</t>
  </si>
  <si>
    <t>SN pH</t>
  </si>
  <si>
    <t xml:space="preserve">Mass of product </t>
  </si>
  <si>
    <t>Water/Supernatant(SN)</t>
  </si>
  <si>
    <t>kWh</t>
  </si>
  <si>
    <t xml:space="preserve">kWh kettle </t>
  </si>
  <si>
    <t>Runtime</t>
  </si>
  <si>
    <t>Theoretical Yield 4 NESQ (g)</t>
  </si>
  <si>
    <t>Actual yield %</t>
  </si>
  <si>
    <t>XRD Dir</t>
  </si>
  <si>
    <t>CO2 captured  (assuming NESQ)/g</t>
  </si>
  <si>
    <t>CO2 pumped in/g</t>
  </si>
  <si>
    <t>CO2 conversion %</t>
  </si>
  <si>
    <t xml:space="preserve">NH3 – CO2 timing </t>
  </si>
  <si>
    <t xml:space="preserve">1403/ </t>
  </si>
  <si>
    <r>
      <rPr>
        <sz val="10"/>
        <rFont val="Arial"/>
        <family val="2"/>
        <charset val="1"/>
      </rPr>
      <t>MgCl</t>
    </r>
    <r>
      <rPr>
        <vertAlign val="subscript"/>
        <sz val="10"/>
        <rFont val="Arial"/>
        <family val="2"/>
        <charset val="1"/>
      </rPr>
      <t>2</t>
    </r>
  </si>
  <si>
    <t>375ml</t>
  </si>
  <si>
    <t>Nesq + Artinite</t>
  </si>
  <si>
    <t>Minimum</t>
  </si>
  <si>
    <t>600P 400I</t>
  </si>
  <si>
    <t>-</t>
  </si>
  <si>
    <t xml:space="preserve">8L fresh </t>
  </si>
  <si>
    <t xml:space="preserve">2hrs </t>
  </si>
  <si>
    <t>1104g</t>
  </si>
  <si>
    <t>XRD-1403-1403-o</t>
  </si>
  <si>
    <t>NH3 @ T=0 CO2 @ T= 0</t>
  </si>
  <si>
    <t>0904</t>
  </si>
  <si>
    <t xml:space="preserve">200ml </t>
  </si>
  <si>
    <t xml:space="preserve">Nesquehonite </t>
  </si>
  <si>
    <t>minimum</t>
  </si>
  <si>
    <t>XRD-1403-O-1104</t>
  </si>
  <si>
    <t xml:space="preserve">1104-SN/ </t>
  </si>
  <si>
    <t>Supernatant   pH: 9.6</t>
  </si>
  <si>
    <t xml:space="preserve">1104-BSN/ </t>
  </si>
  <si>
    <t>Bis-supernatant  PH: 9.6</t>
  </si>
  <si>
    <t>1604</t>
  </si>
  <si>
    <t>400ml</t>
  </si>
  <si>
    <t>Tris-supernatant   PH: 9.6</t>
  </si>
  <si>
    <t>2204</t>
  </si>
  <si>
    <t>870ML</t>
  </si>
  <si>
    <t>&gt; min(clogging)</t>
  </si>
  <si>
    <t>Supernatant PH: 9.7</t>
  </si>
  <si>
    <t>2204-2204-o</t>
  </si>
  <si>
    <t>NH3 @ T=0 &amp; 30 mins. CO2 @ T= 0</t>
  </si>
  <si>
    <t>3004</t>
  </si>
  <si>
    <t>600ml</t>
  </si>
  <si>
    <t xml:space="preserve">600P 600I for 30mins. 600P 200I for remainder </t>
  </si>
  <si>
    <t>0305</t>
  </si>
  <si>
    <t xml:space="preserve">200ml  </t>
  </si>
  <si>
    <t>0304-0705</t>
  </si>
  <si>
    <t xml:space="preserve">NH3 @ T = 1hr  CO2 @ T= 0 </t>
  </si>
  <si>
    <t>0305-SN</t>
  </si>
  <si>
    <t>0ml</t>
  </si>
  <si>
    <t>800P 400I</t>
  </si>
  <si>
    <t>Supernatant pH 9.5</t>
  </si>
  <si>
    <t xml:space="preserve">CO2 @ T= 0 </t>
  </si>
  <si>
    <t>0305-SN2</t>
  </si>
  <si>
    <t>50ML</t>
  </si>
  <si>
    <t>Supernatant pH 9.7</t>
  </si>
  <si>
    <t xml:space="preserve">NH3 @ T = 0305 + 45mins CO2 @ T= 0 </t>
  </si>
  <si>
    <t>0805</t>
  </si>
  <si>
    <t>&gt; min(no clogging)</t>
  </si>
  <si>
    <t>10L 0305 supernatants</t>
  </si>
  <si>
    <t xml:space="preserve">NH3 @ T = 0,70 &amp; 80 mins  CO2 @ T= 0 </t>
  </si>
  <si>
    <t>2905</t>
  </si>
  <si>
    <t>Nesquehonite + acetamido complex</t>
  </si>
  <si>
    <t>&gt;min (clogging threshold hit at 38mins)</t>
  </si>
  <si>
    <t xml:space="preserve">624P 518I </t>
  </si>
  <si>
    <t xml:space="preserve">0805 supernatant </t>
  </si>
  <si>
    <t xml:space="preserve">NH3 @ T = 10 mins  CO2 @ T= 0 </t>
  </si>
  <si>
    <t>0705</t>
  </si>
  <si>
    <t>MgOAc</t>
  </si>
  <si>
    <t>237ml</t>
  </si>
  <si>
    <t>&gt;min (no clogging)</t>
  </si>
  <si>
    <t xml:space="preserve">5L fresh </t>
  </si>
  <si>
    <t>626.4g</t>
  </si>
  <si>
    <t xml:space="preserve">NH3 @ T = 4mins, 22mins &amp; 42mins  CO2 @ T= 0 </t>
  </si>
  <si>
    <t>MgCIT</t>
  </si>
  <si>
    <t xml:space="preserve">650P 452I </t>
  </si>
  <si>
    <t>1106g</t>
  </si>
  <si>
    <r>
      <rPr>
        <sz val="10"/>
        <rFont val="Arial"/>
        <family val="2"/>
        <charset val="1"/>
      </rPr>
      <t>NH</t>
    </r>
    <r>
      <rPr>
        <vertAlign val="subscript"/>
        <sz val="10"/>
        <rFont val="Arial"/>
        <family val="2"/>
        <charset val="1"/>
      </rPr>
      <t xml:space="preserve">3 </t>
    </r>
    <r>
      <rPr>
        <sz val="10"/>
        <rFont val="Arial"/>
        <family val="2"/>
        <charset val="1"/>
      </rPr>
      <t>@ T =0, CO</t>
    </r>
    <r>
      <rPr>
        <vertAlign val="sub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>@ T=0mins</t>
    </r>
  </si>
  <si>
    <t xml:space="preserve">MgSO4 </t>
  </si>
  <si>
    <t>Nesq + unreacted mgso4</t>
  </si>
  <si>
    <t>554g</t>
  </si>
  <si>
    <t>NH3 @ T =26, CO2 @ T=0mins</t>
  </si>
  <si>
    <t>R-2407</t>
  </si>
  <si>
    <t>MgSO4</t>
  </si>
  <si>
    <t>1hr 55mins</t>
  </si>
  <si>
    <t>1108g</t>
  </si>
  <si>
    <t>1106-SN-0608</t>
  </si>
  <si>
    <t xml:space="preserve">NH3 @ T = 0, 20mins  CO2 @ T= 0 </t>
  </si>
  <si>
    <t>R-2507</t>
  </si>
  <si>
    <t>MgCl2 + MgCIT</t>
  </si>
  <si>
    <t>42 mins</t>
  </si>
  <si>
    <t>1610g</t>
  </si>
  <si>
    <t xml:space="preserve">NH3 @ T = 0, 40mins   CO2 @ T= 0 </t>
  </si>
  <si>
    <t>R-3007</t>
  </si>
  <si>
    <t>MgCl2</t>
  </si>
  <si>
    <t>0P 0I</t>
  </si>
  <si>
    <t xml:space="preserve">pH not high enough to crash products out of solution (small amount of product was isolated for XRD later) </t>
  </si>
  <si>
    <t>3hrs 12 mins</t>
  </si>
  <si>
    <t xml:space="preserve">NH3 @ T = 0 CO2 @ T= 0 </t>
  </si>
  <si>
    <t>R-3107</t>
  </si>
  <si>
    <t xml:space="preserve">Nesq + Artinite </t>
  </si>
  <si>
    <t>&gt;min (clogged @ t = 85 mins)</t>
  </si>
  <si>
    <t>Supernatant from 3007</t>
  </si>
  <si>
    <t>1 hrs 25 mins</t>
  </si>
  <si>
    <t xml:space="preserve">Supernatant run </t>
  </si>
  <si>
    <t>G1-1508</t>
  </si>
  <si>
    <t xml:space="preserve">NH3 @ T = 0   CO2 @ T= 0 </t>
  </si>
  <si>
    <t>R-0608</t>
  </si>
  <si>
    <t xml:space="preserve">SN 3107 + 4L fresh </t>
  </si>
  <si>
    <t>1hr 35 mins</t>
  </si>
  <si>
    <t>2500g</t>
  </si>
  <si>
    <t xml:space="preserve">NH3 @ T = 0,  CO2 @ T= 0 </t>
  </si>
  <si>
    <t>R-1508</t>
  </si>
  <si>
    <t>900P 400I</t>
  </si>
  <si>
    <t>SN 0608</t>
  </si>
  <si>
    <t>2hrs 21min</t>
  </si>
  <si>
    <t>295g</t>
  </si>
  <si>
    <t xml:space="preserve">NH3 @ T = 11mins,  CO2 @ T= 0 </t>
  </si>
  <si>
    <t>R-0810</t>
  </si>
  <si>
    <t xml:space="preserve">MgCl2 </t>
  </si>
  <si>
    <t>1.96L (pls check)</t>
  </si>
  <si>
    <t>10Kpa</t>
  </si>
  <si>
    <t>800P 0I</t>
  </si>
  <si>
    <t xml:space="preserve">1 hr 25 mins </t>
  </si>
  <si>
    <t>XRD-0810</t>
  </si>
  <si>
    <t>NH3 @ T =0, CO2 @ T=7 mins</t>
  </si>
  <si>
    <t>R-1510</t>
  </si>
  <si>
    <t xml:space="preserve">600ml </t>
  </si>
  <si>
    <t>10.0Kpa</t>
  </si>
  <si>
    <t>600P 0I</t>
  </si>
  <si>
    <t>2hrs 14 mins</t>
  </si>
  <si>
    <t>1510-1710</t>
  </si>
  <si>
    <t>NH3 @ T =0, CO2 @ T=0 mins</t>
  </si>
  <si>
    <t>R-1610</t>
  </si>
  <si>
    <t xml:space="preserve">MgCIT </t>
  </si>
  <si>
    <t>800ml</t>
  </si>
  <si>
    <t xml:space="preserve">Nesq + MgCIT </t>
  </si>
  <si>
    <t>1000P 0I</t>
  </si>
  <si>
    <t>2hrs 41mins</t>
  </si>
  <si>
    <t>962.2g</t>
  </si>
  <si>
    <t>NH3 @ T =0,30 CO2 @ T=0 mins</t>
  </si>
  <si>
    <t>R-1710</t>
  </si>
  <si>
    <t>Nesq + Hydromagnesite (amorphous)</t>
  </si>
  <si>
    <t>9.5Kpa</t>
  </si>
  <si>
    <t xml:space="preserve">1hr 36mins </t>
  </si>
  <si>
    <t>R-2810</t>
  </si>
  <si>
    <t>11.3Kpa</t>
  </si>
  <si>
    <t>0P 0I (600p for 10 mins)</t>
  </si>
  <si>
    <t xml:space="preserve">1hr 12mins </t>
  </si>
  <si>
    <t>1099g</t>
  </si>
  <si>
    <t>2810-3010</t>
  </si>
  <si>
    <t>R-3010</t>
  </si>
  <si>
    <t>9.8kPa</t>
  </si>
  <si>
    <t>1000P for 6mins followed by 667P 0I</t>
  </si>
  <si>
    <t>2hrs 32 mins</t>
  </si>
  <si>
    <t>NH3 @ T =0mins CO2 @ T=0 mins</t>
  </si>
  <si>
    <t>R-0111</t>
  </si>
  <si>
    <t>13.7 → 3.8 Kpa</t>
  </si>
  <si>
    <t>1147P 0I</t>
  </si>
  <si>
    <t>SN 3010</t>
  </si>
  <si>
    <t>1hr 34 mins</t>
  </si>
  <si>
    <t>3010-1710-2</t>
  </si>
  <si>
    <t>R-0611</t>
  </si>
  <si>
    <t>15.8 → 6.9</t>
  </si>
  <si>
    <t>700P for 30 mins 0I</t>
  </si>
  <si>
    <t xml:space="preserve">2hrs 6 mins </t>
  </si>
  <si>
    <t>0611-40</t>
  </si>
  <si>
    <t>NH3 @ T =6mins CO2 @ T=0 mins</t>
  </si>
  <si>
    <t>R-0711</t>
  </si>
  <si>
    <t>SN-MgSO4</t>
  </si>
  <si>
    <t>550ml</t>
  </si>
  <si>
    <t>15.5 → 4.44</t>
  </si>
  <si>
    <t>965P 0I</t>
  </si>
  <si>
    <t>SN 0611</t>
  </si>
  <si>
    <t xml:space="preserve">1 hr 39 mins </t>
  </si>
  <si>
    <t>0711-3b</t>
  </si>
  <si>
    <t>NH3 @ T =3mins CO2 @ T=0 mins</t>
  </si>
  <si>
    <t>R-1211</t>
  </si>
  <si>
    <t>Nesq + Hydromagnesite (semi amorphous)</t>
  </si>
  <si>
    <t>10kPa → 9.8 CO2 ran out halfway!</t>
  </si>
  <si>
    <t xml:space="preserve">8L HOT </t>
  </si>
  <si>
    <t xml:space="preserve">1hr 38 mins </t>
  </si>
  <si>
    <t>R-0705-SN</t>
  </si>
  <si>
    <t>SN-MgSO4 + MgOAc</t>
  </si>
  <si>
    <t xml:space="preserve">1.3L/min </t>
  </si>
  <si>
    <t>SN 0705</t>
  </si>
  <si>
    <t>1hr 4mins</t>
  </si>
  <si>
    <t>646g</t>
  </si>
  <si>
    <t>NH3 @ T =7mins CO2 @ T=0 mins</t>
  </si>
  <si>
    <t xml:space="preserve">R-1211-SN-Spontaneous </t>
  </si>
  <si>
    <t>SN-MgOAc + MgSO4</t>
  </si>
  <si>
    <t xml:space="preserve">Hydromagnesite </t>
  </si>
  <si>
    <t>SN 1211</t>
  </si>
  <si>
    <t>0611-sn-2402-sn</t>
  </si>
  <si>
    <t>None</t>
  </si>
  <si>
    <t>R-0611-SN</t>
  </si>
  <si>
    <t>300ml</t>
  </si>
  <si>
    <t>Nesq + Hydromagnesite</t>
  </si>
  <si>
    <t xml:space="preserve">1.6l/MIN </t>
  </si>
  <si>
    <t xml:space="preserve">1000P 600I </t>
  </si>
  <si>
    <t>SN 0711</t>
  </si>
  <si>
    <t xml:space="preserve">1hr 11 mins </t>
  </si>
  <si>
    <t>R-2402</t>
  </si>
  <si>
    <t>350ml</t>
  </si>
  <si>
    <t>1400P 600I</t>
  </si>
  <si>
    <t xml:space="preserve">1hr 39 mins </t>
  </si>
  <si>
    <t>1162g</t>
  </si>
  <si>
    <t>NH3 @ T =15mins CO2 @ T=0 mins</t>
  </si>
  <si>
    <t>R1610-SN</t>
  </si>
  <si>
    <t>SN-MgCIT</t>
  </si>
  <si>
    <t>Ammonium magnesium carbonate hydrate</t>
  </si>
  <si>
    <t>SN1610</t>
  </si>
  <si>
    <t xml:space="preserve">1hr </t>
  </si>
  <si>
    <t xml:space="preserve">3010-SN </t>
  </si>
  <si>
    <t xml:space="preserve">Hydromagnesite + Lansfordite </t>
  </si>
  <si>
    <t xml:space="preserve">2 weeks </t>
  </si>
  <si>
    <t>NH3 @ T =0</t>
  </si>
  <si>
    <t>Rig-0503</t>
  </si>
  <si>
    <t>80ml</t>
  </si>
  <si>
    <t xml:space="preserve">2L/min </t>
  </si>
  <si>
    <t xml:space="preserve">Rig Pump </t>
  </si>
  <si>
    <t>Trapped in AMC</t>
  </si>
  <si>
    <t xml:space="preserve">800ml fresh </t>
  </si>
  <si>
    <t>3hrs 2 mins</t>
  </si>
  <si>
    <t>210g</t>
  </si>
  <si>
    <t>NH3 @ T =60mins CO2 @ T=0 mins</t>
  </si>
  <si>
    <t>R-1203</t>
  </si>
  <si>
    <t xml:space="preserve">2.8L/min </t>
  </si>
  <si>
    <t xml:space="preserve">995P 291I </t>
  </si>
  <si>
    <t>32g</t>
  </si>
  <si>
    <t xml:space="preserve">4L fresh </t>
  </si>
  <si>
    <t xml:space="preserve">2hrs 10 mins </t>
  </si>
  <si>
    <t>320g</t>
  </si>
  <si>
    <t xml:space="preserve">pending </t>
  </si>
  <si>
    <t>NH3 @ T =18,mins CO2 @ T=0 mins</t>
  </si>
  <si>
    <t>R-3103</t>
  </si>
  <si>
    <t xml:space="preserve">550ml </t>
  </si>
  <si>
    <t xml:space="preserve">2.2L/min </t>
  </si>
  <si>
    <t xml:space="preserve">900P 400I </t>
  </si>
  <si>
    <t>NH3 @ T =7,30mins CO2 @ T=0 mins</t>
  </si>
  <si>
    <t>R-0104</t>
  </si>
  <si>
    <t xml:space="preserve">3l/min </t>
  </si>
  <si>
    <t>R-1504</t>
  </si>
  <si>
    <t>500ml</t>
  </si>
  <si>
    <t>2.04L/min</t>
  </si>
  <si>
    <t xml:space="preserve">900P 238I </t>
  </si>
  <si>
    <t>2hrs 2 mins</t>
  </si>
  <si>
    <t>NH3 @ T =4 mins CO2 @ T=0 mins</t>
  </si>
  <si>
    <t>R-22042025</t>
  </si>
  <si>
    <t xml:space="preserve">Nesq + MgSO4 + Unknown </t>
  </si>
  <si>
    <t>2.4L/min</t>
  </si>
  <si>
    <t>1200P 330I</t>
  </si>
  <si>
    <t>512g (wet)</t>
  </si>
  <si>
    <t xml:space="preserve">2hrs 40mins </t>
  </si>
  <si>
    <t>NH3 @ T =2 mins CO2 @ T=0 mins</t>
  </si>
  <si>
    <t>Ammonium magnesium sulfate hydrate + Nesq</t>
  </si>
  <si>
    <t xml:space="preserve">Nesq + hydromagnesite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</si>
</sst>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vertAlign val="subscript"/>
      <sz val="10"/>
      <name val="Arial"/>
      <family val="2"/>
      <charset val="1"/>
    </font>
    <font>
      <b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2" fontId="0" fillId="0" borderId="1" xfId="0" applyNumberFormat="1" applyBorder="1"/>
    <xf numFmtId="1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4" borderId="1" xfId="0" applyFill="1" applyBorder="1"/>
    <xf numFmtId="2" fontId="0" fillId="4" borderId="1" xfId="0" applyNumberFormat="1" applyFill="1" applyBorder="1"/>
    <xf numFmtId="0" fontId="0" fillId="5" borderId="0" xfId="0" applyFill="1"/>
    <xf numFmtId="0" fontId="0" fillId="5" borderId="1" xfId="0" applyFill="1" applyBorder="1"/>
    <xf numFmtId="0" fontId="3" fillId="5" borderId="0" xfId="0" applyFont="1" applyFill="1"/>
    <xf numFmtId="2" fontId="0" fillId="5" borderId="1" xfId="0" applyNumberFormat="1" applyFill="1" applyBorder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2" fontId="0" fillId="6" borderId="1" xfId="0" applyNumberFormat="1" applyFill="1" applyBorder="1"/>
    <xf numFmtId="0" fontId="0" fillId="7" borderId="0" xfId="0" applyFill="1"/>
    <xf numFmtId="0" fontId="3" fillId="7" borderId="0" xfId="0" applyFont="1" applyFill="1"/>
    <xf numFmtId="0" fontId="0" fillId="7" borderId="1" xfId="0" applyFill="1" applyBorder="1"/>
    <xf numFmtId="2" fontId="0" fillId="7" borderId="1" xfId="0" applyNumberFormat="1" applyFill="1" applyBorder="1"/>
    <xf numFmtId="1" fontId="0" fillId="6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4" zoomScale="95" zoomScaleNormal="95" workbookViewId="0">
      <selection activeCell="D38" sqref="D38"/>
    </sheetView>
  </sheetViews>
  <sheetFormatPr defaultColWidth="11.85546875" defaultRowHeight="12.75" x14ac:dyDescent="0.2"/>
  <cols>
    <col min="1" max="1" width="26" customWidth="1"/>
    <col min="2" max="2" width="22.28515625" customWidth="1"/>
    <col min="4" max="4" width="48.28515625" customWidth="1"/>
    <col min="5" max="5" width="19" customWidth="1"/>
    <col min="6" max="7" width="52.85546875" customWidth="1"/>
    <col min="8" max="8" width="19.140625" customWidth="1"/>
    <col min="9" max="9" width="31.5703125" customWidth="1"/>
    <col min="11" max="11" width="23.28515625" customWidth="1"/>
    <col min="15" max="15" width="27.7109375" customWidth="1"/>
    <col min="16" max="16" width="16.7109375" customWidth="1"/>
    <col min="18" max="18" width="32.5703125" customWidth="1"/>
    <col min="19" max="19" width="18.140625" customWidth="1"/>
    <col min="20" max="20" width="17.28515625" customWidth="1"/>
    <col min="21" max="21" width="41.140625" customWidth="1"/>
  </cols>
  <sheetData>
    <row r="1" spans="1:21" ht="25.5" x14ac:dyDescent="0.2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spans="1:21" ht="15.75" x14ac:dyDescent="0.3">
      <c r="A2" s="3" t="s">
        <v>21</v>
      </c>
      <c r="B2" s="4" t="s">
        <v>22</v>
      </c>
      <c r="C2">
        <v>23</v>
      </c>
      <c r="D2" s="5" t="s">
        <v>24</v>
      </c>
      <c r="E2" s="5" t="s">
        <v>25</v>
      </c>
      <c r="F2" s="5"/>
      <c r="G2" s="5" t="s">
        <v>26</v>
      </c>
      <c r="H2" s="5" t="s">
        <v>27</v>
      </c>
      <c r="I2" s="5" t="s">
        <v>23</v>
      </c>
      <c r="J2" s="5"/>
      <c r="K2" s="5" t="s">
        <v>28</v>
      </c>
      <c r="L2" s="5"/>
      <c r="M2" s="5"/>
      <c r="N2" t="s">
        <v>29</v>
      </c>
      <c r="O2" t="s">
        <v>30</v>
      </c>
      <c r="P2" s="5"/>
      <c r="Q2" t="s">
        <v>31</v>
      </c>
      <c r="U2" s="5" t="s">
        <v>32</v>
      </c>
    </row>
    <row r="3" spans="1:21" ht="15.75" x14ac:dyDescent="0.3">
      <c r="A3" s="3" t="s">
        <v>33</v>
      </c>
      <c r="B3" s="4" t="s">
        <v>22</v>
      </c>
      <c r="C3">
        <v>23</v>
      </c>
      <c r="D3" s="5" t="s">
        <v>35</v>
      </c>
      <c r="E3" s="5" t="s">
        <v>36</v>
      </c>
      <c r="F3" s="5"/>
      <c r="G3" s="5" t="s">
        <v>26</v>
      </c>
      <c r="H3" s="5" t="s">
        <v>27</v>
      </c>
      <c r="I3" s="5" t="s">
        <v>34</v>
      </c>
      <c r="J3" s="5"/>
      <c r="K3" s="5" t="s">
        <v>28</v>
      </c>
      <c r="L3" s="5"/>
      <c r="M3" s="5"/>
      <c r="N3" s="5" t="s">
        <v>29</v>
      </c>
      <c r="O3" s="5" t="s">
        <v>30</v>
      </c>
      <c r="P3" s="5"/>
      <c r="Q3" t="s">
        <v>37</v>
      </c>
      <c r="U3" s="5" t="s">
        <v>32</v>
      </c>
    </row>
    <row r="4" spans="1:21" ht="15.75" x14ac:dyDescent="0.3">
      <c r="A4" s="3">
        <v>-1104</v>
      </c>
      <c r="B4" s="4" t="s">
        <v>22</v>
      </c>
      <c r="C4">
        <v>23</v>
      </c>
      <c r="D4" s="5" t="s">
        <v>35</v>
      </c>
      <c r="E4" s="5" t="s">
        <v>36</v>
      </c>
      <c r="F4" s="5"/>
      <c r="G4" s="5" t="s">
        <v>26</v>
      </c>
      <c r="H4" s="5">
        <v>8.1199999999999992</v>
      </c>
      <c r="I4" s="5" t="s">
        <v>34</v>
      </c>
      <c r="J4" s="5"/>
      <c r="K4" s="5" t="s">
        <v>28</v>
      </c>
      <c r="L4" s="5"/>
      <c r="M4" s="5"/>
      <c r="N4" s="5" t="s">
        <v>29</v>
      </c>
      <c r="O4" s="5" t="s">
        <v>30</v>
      </c>
      <c r="P4" s="5"/>
      <c r="Q4" t="s">
        <v>37</v>
      </c>
      <c r="U4" s="5" t="s">
        <v>32</v>
      </c>
    </row>
    <row r="5" spans="1:21" ht="15.75" x14ac:dyDescent="0.3">
      <c r="A5" s="6" t="s">
        <v>38</v>
      </c>
      <c r="B5" s="7" t="s">
        <v>22</v>
      </c>
      <c r="C5">
        <v>23</v>
      </c>
      <c r="D5" s="5" t="s">
        <v>35</v>
      </c>
      <c r="E5" s="8" t="s">
        <v>36</v>
      </c>
      <c r="F5" s="8"/>
      <c r="G5" s="8" t="s">
        <v>26</v>
      </c>
      <c r="H5" s="8">
        <v>8.4</v>
      </c>
      <c r="I5" s="8" t="s">
        <v>34</v>
      </c>
      <c r="J5" s="8"/>
      <c r="K5" s="8" t="s">
        <v>39</v>
      </c>
      <c r="L5" s="5"/>
      <c r="M5" s="5"/>
      <c r="N5" s="5" t="s">
        <v>29</v>
      </c>
      <c r="O5" s="5" t="s">
        <v>30</v>
      </c>
      <c r="P5" s="5"/>
      <c r="Q5" t="s">
        <v>27</v>
      </c>
      <c r="U5" s="8" t="s">
        <v>32</v>
      </c>
    </row>
    <row r="6" spans="1:21" ht="15.75" x14ac:dyDescent="0.3">
      <c r="A6" s="6" t="s">
        <v>40</v>
      </c>
      <c r="B6" s="7" t="s">
        <v>22</v>
      </c>
      <c r="C6">
        <v>23</v>
      </c>
      <c r="D6" s="5" t="s">
        <v>35</v>
      </c>
      <c r="E6" s="8" t="s">
        <v>36</v>
      </c>
      <c r="F6" s="8"/>
      <c r="G6" s="8" t="s">
        <v>26</v>
      </c>
      <c r="H6" s="8">
        <v>8.4</v>
      </c>
      <c r="I6" s="8" t="s">
        <v>34</v>
      </c>
      <c r="J6" s="8"/>
      <c r="K6" s="8" t="s">
        <v>41</v>
      </c>
      <c r="L6" s="5"/>
      <c r="M6" s="5"/>
      <c r="N6" s="5" t="s">
        <v>29</v>
      </c>
      <c r="O6" s="5" t="s">
        <v>30</v>
      </c>
      <c r="P6" s="5"/>
      <c r="Q6" t="s">
        <v>27</v>
      </c>
      <c r="U6" s="8" t="s">
        <v>32</v>
      </c>
    </row>
    <row r="7" spans="1:21" ht="15.75" x14ac:dyDescent="0.3">
      <c r="A7" s="3" t="s">
        <v>42</v>
      </c>
      <c r="B7" s="4" t="s">
        <v>22</v>
      </c>
      <c r="C7">
        <v>23</v>
      </c>
      <c r="D7" s="5" t="s">
        <v>35</v>
      </c>
      <c r="E7" s="5" t="s">
        <v>36</v>
      </c>
      <c r="F7" s="5"/>
      <c r="G7" s="5" t="s">
        <v>26</v>
      </c>
      <c r="H7" s="5">
        <v>8.14</v>
      </c>
      <c r="I7" s="5" t="s">
        <v>43</v>
      </c>
      <c r="J7" s="5"/>
      <c r="K7" s="5" t="s">
        <v>44</v>
      </c>
      <c r="L7" s="5"/>
      <c r="M7" s="5"/>
      <c r="N7" s="5" t="s">
        <v>29</v>
      </c>
      <c r="O7" s="5" t="s">
        <v>30</v>
      </c>
      <c r="P7" s="5"/>
      <c r="Q7" t="s">
        <v>27</v>
      </c>
      <c r="U7" s="5" t="s">
        <v>32</v>
      </c>
    </row>
    <row r="8" spans="1:21" ht="29.85" customHeight="1" x14ac:dyDescent="0.3">
      <c r="A8" s="3" t="s">
        <v>45</v>
      </c>
      <c r="B8" s="4" t="s">
        <v>22</v>
      </c>
      <c r="C8">
        <v>23</v>
      </c>
      <c r="D8" s="5" t="s">
        <v>35</v>
      </c>
      <c r="E8" s="5" t="s">
        <v>47</v>
      </c>
      <c r="F8" s="5"/>
      <c r="G8" s="5" t="s">
        <v>26</v>
      </c>
      <c r="H8" s="5">
        <v>8.7100000000000009</v>
      </c>
      <c r="I8" s="5" t="s">
        <v>46</v>
      </c>
      <c r="J8" s="5"/>
      <c r="K8" s="5" t="s">
        <v>48</v>
      </c>
      <c r="L8" s="5"/>
      <c r="M8" s="5"/>
      <c r="N8" s="5" t="s">
        <v>29</v>
      </c>
      <c r="O8" s="5" t="s">
        <v>30</v>
      </c>
      <c r="P8" s="5"/>
      <c r="Q8" t="s">
        <v>49</v>
      </c>
      <c r="U8" s="3" t="s">
        <v>50</v>
      </c>
    </row>
    <row r="9" spans="1:21" ht="15.75" x14ac:dyDescent="0.3">
      <c r="A9" s="3" t="s">
        <v>51</v>
      </c>
      <c r="B9" s="4" t="s">
        <v>22</v>
      </c>
      <c r="C9">
        <v>23</v>
      </c>
      <c r="D9" s="5" t="s">
        <v>35</v>
      </c>
      <c r="E9" s="5" t="s">
        <v>47</v>
      </c>
      <c r="F9" s="5"/>
      <c r="G9" s="5" t="s">
        <v>53</v>
      </c>
      <c r="H9" s="5">
        <v>9.6</v>
      </c>
      <c r="I9" s="5" t="s">
        <v>52</v>
      </c>
      <c r="J9" s="5"/>
      <c r="K9" s="5" t="s">
        <v>28</v>
      </c>
      <c r="L9" s="5"/>
      <c r="M9" s="5"/>
      <c r="N9" s="5" t="s">
        <v>29</v>
      </c>
      <c r="O9" s="5" t="s">
        <v>30</v>
      </c>
      <c r="P9" s="5"/>
      <c r="Q9" t="s">
        <v>27</v>
      </c>
      <c r="U9" s="5" t="s">
        <v>32</v>
      </c>
    </row>
    <row r="10" spans="1:21" ht="15.75" x14ac:dyDescent="0.3">
      <c r="A10" s="6" t="s">
        <v>54</v>
      </c>
      <c r="B10" s="7" t="s">
        <v>22</v>
      </c>
      <c r="C10">
        <v>23</v>
      </c>
      <c r="D10" s="5" t="s">
        <v>35</v>
      </c>
      <c r="E10" s="8" t="s">
        <v>47</v>
      </c>
      <c r="F10" s="8"/>
      <c r="G10" s="8" t="s">
        <v>26</v>
      </c>
      <c r="H10" s="8">
        <v>9.48</v>
      </c>
      <c r="I10" s="8" t="s">
        <v>55</v>
      </c>
      <c r="J10" s="8"/>
      <c r="K10" s="8" t="s">
        <v>28</v>
      </c>
      <c r="L10" s="5"/>
      <c r="M10" s="5"/>
      <c r="N10" s="5" t="s">
        <v>29</v>
      </c>
      <c r="O10" s="5" t="s">
        <v>30</v>
      </c>
      <c r="P10" s="5"/>
      <c r="Q10" t="s">
        <v>56</v>
      </c>
      <c r="U10" s="8" t="s">
        <v>57</v>
      </c>
    </row>
    <row r="11" spans="1:21" ht="15.75" x14ac:dyDescent="0.3">
      <c r="A11" s="6" t="s">
        <v>58</v>
      </c>
      <c r="B11" s="7" t="s">
        <v>22</v>
      </c>
      <c r="C11">
        <v>23</v>
      </c>
      <c r="D11" s="5" t="s">
        <v>35</v>
      </c>
      <c r="E11" s="8" t="s">
        <v>47</v>
      </c>
      <c r="F11" s="8"/>
      <c r="G11" s="8" t="s">
        <v>60</v>
      </c>
      <c r="H11" s="8">
        <v>9.48</v>
      </c>
      <c r="I11" s="8" t="s">
        <v>59</v>
      </c>
      <c r="J11" s="8"/>
      <c r="K11" s="8" t="s">
        <v>61</v>
      </c>
      <c r="L11" s="5"/>
      <c r="M11" s="5"/>
      <c r="N11" s="5" t="s">
        <v>29</v>
      </c>
      <c r="O11" s="5" t="s">
        <v>30</v>
      </c>
      <c r="P11" s="5"/>
      <c r="Q11" t="s">
        <v>56</v>
      </c>
      <c r="U11" s="8" t="s">
        <v>62</v>
      </c>
    </row>
    <row r="12" spans="1:21" ht="15.75" x14ac:dyDescent="0.3">
      <c r="A12" s="6" t="s">
        <v>63</v>
      </c>
      <c r="B12" s="7" t="s">
        <v>22</v>
      </c>
      <c r="C12">
        <v>23</v>
      </c>
      <c r="D12" s="5" t="s">
        <v>35</v>
      </c>
      <c r="E12" s="8" t="s">
        <v>47</v>
      </c>
      <c r="F12" s="8"/>
      <c r="G12" s="8" t="s">
        <v>60</v>
      </c>
      <c r="H12" s="8">
        <v>9.48</v>
      </c>
      <c r="I12" s="8" t="s">
        <v>64</v>
      </c>
      <c r="J12" s="8"/>
      <c r="K12" s="8" t="s">
        <v>65</v>
      </c>
      <c r="L12" s="5"/>
      <c r="M12" s="5"/>
      <c r="N12" s="5" t="s">
        <v>29</v>
      </c>
      <c r="O12" s="5" t="s">
        <v>30</v>
      </c>
      <c r="P12" s="5"/>
      <c r="Q12" t="s">
        <v>56</v>
      </c>
      <c r="U12" s="8" t="s">
        <v>66</v>
      </c>
    </row>
    <row r="13" spans="1:21" ht="15.75" x14ac:dyDescent="0.3">
      <c r="A13" s="3" t="s">
        <v>67</v>
      </c>
      <c r="B13" s="4" t="s">
        <v>22</v>
      </c>
      <c r="C13">
        <v>23</v>
      </c>
      <c r="D13" s="5" t="s">
        <v>35</v>
      </c>
      <c r="E13" s="5" t="s">
        <v>68</v>
      </c>
      <c r="F13" s="5"/>
      <c r="G13" s="5" t="s">
        <v>26</v>
      </c>
      <c r="H13" s="5">
        <v>7.24</v>
      </c>
      <c r="I13" s="5" t="s">
        <v>34</v>
      </c>
      <c r="J13" s="5"/>
      <c r="K13" s="5" t="s">
        <v>69</v>
      </c>
      <c r="L13" s="5"/>
      <c r="M13" s="5"/>
      <c r="N13" s="5" t="s">
        <v>29</v>
      </c>
      <c r="O13" s="5" t="s">
        <v>30</v>
      </c>
      <c r="P13" s="5"/>
      <c r="U13" s="5" t="s">
        <v>70</v>
      </c>
    </row>
    <row r="14" spans="1:21" ht="15.75" x14ac:dyDescent="0.3">
      <c r="A14" s="3" t="s">
        <v>71</v>
      </c>
      <c r="B14" s="4" t="s">
        <v>22</v>
      </c>
      <c r="C14">
        <v>23</v>
      </c>
      <c r="D14" s="5" t="s">
        <v>72</v>
      </c>
      <c r="E14" s="5" t="s">
        <v>73</v>
      </c>
      <c r="F14" s="5"/>
      <c r="G14" s="5" t="s">
        <v>74</v>
      </c>
      <c r="H14" s="5">
        <v>7.25</v>
      </c>
      <c r="I14" s="5" t="s">
        <v>34</v>
      </c>
      <c r="J14" s="5"/>
      <c r="K14" s="5" t="s">
        <v>75</v>
      </c>
      <c r="L14" s="5"/>
      <c r="M14" s="5"/>
      <c r="N14" s="5" t="s">
        <v>29</v>
      </c>
      <c r="O14" s="5" t="s">
        <v>30</v>
      </c>
      <c r="P14" s="5"/>
      <c r="U14" s="5" t="s">
        <v>76</v>
      </c>
    </row>
    <row r="15" spans="1:21" x14ac:dyDescent="0.2">
      <c r="A15" s="3" t="s">
        <v>77</v>
      </c>
      <c r="B15" s="5" t="s">
        <v>78</v>
      </c>
      <c r="C15" s="5">
        <v>23</v>
      </c>
      <c r="D15" s="5" t="s">
        <v>35</v>
      </c>
      <c r="E15" s="5" t="s">
        <v>80</v>
      </c>
      <c r="F15" s="5"/>
      <c r="G15" s="5" t="s">
        <v>26</v>
      </c>
      <c r="H15" s="5">
        <v>9.5</v>
      </c>
      <c r="I15" s="5" t="s">
        <v>79</v>
      </c>
      <c r="J15" s="5"/>
      <c r="K15" s="5" t="s">
        <v>81</v>
      </c>
      <c r="L15" s="5"/>
      <c r="M15" s="5"/>
      <c r="N15" s="5" t="s">
        <v>29</v>
      </c>
      <c r="O15" s="5" t="s">
        <v>82</v>
      </c>
      <c r="P15" s="5"/>
      <c r="Q15" t="s">
        <v>56</v>
      </c>
      <c r="U15" s="5" t="s">
        <v>83</v>
      </c>
    </row>
    <row r="16" spans="1:21" ht="15.75" x14ac:dyDescent="0.3">
      <c r="A16" s="9">
        <v>1006</v>
      </c>
      <c r="B16" s="5" t="s">
        <v>84</v>
      </c>
      <c r="C16" s="5">
        <v>23</v>
      </c>
      <c r="D16" s="5" t="s">
        <v>84</v>
      </c>
      <c r="E16" s="5" t="s">
        <v>80</v>
      </c>
      <c r="F16" s="5"/>
      <c r="G16" s="5" t="s">
        <v>85</v>
      </c>
      <c r="H16" s="5">
        <v>7.7</v>
      </c>
      <c r="I16" s="5" t="s">
        <v>34</v>
      </c>
      <c r="J16" s="5"/>
      <c r="K16" s="5" t="s">
        <v>28</v>
      </c>
      <c r="L16" s="5"/>
      <c r="M16" s="5"/>
      <c r="N16" s="5" t="s">
        <v>29</v>
      </c>
      <c r="O16" s="5" t="s">
        <v>86</v>
      </c>
      <c r="P16" s="5"/>
      <c r="Q16">
        <v>1006</v>
      </c>
      <c r="U16" s="5" t="s">
        <v>87</v>
      </c>
    </row>
    <row r="17" spans="1:21" x14ac:dyDescent="0.2">
      <c r="A17" s="9">
        <v>1106</v>
      </c>
      <c r="B17" s="5" t="s">
        <v>88</v>
      </c>
      <c r="C17" s="5">
        <v>18</v>
      </c>
      <c r="D17" s="5" t="s">
        <v>89</v>
      </c>
      <c r="E17" s="5" t="s">
        <v>80</v>
      </c>
      <c r="F17" s="5"/>
      <c r="G17" s="5" t="s">
        <v>26</v>
      </c>
      <c r="H17" s="5">
        <v>7.77</v>
      </c>
      <c r="I17" s="5" t="s">
        <v>34</v>
      </c>
      <c r="J17" s="5"/>
      <c r="K17" s="5" t="s">
        <v>28</v>
      </c>
      <c r="L17" s="5">
        <v>0.106</v>
      </c>
      <c r="M17" s="5"/>
      <c r="N17" s="5" t="s">
        <v>29</v>
      </c>
      <c r="O17" s="5" t="s">
        <v>90</v>
      </c>
      <c r="P17" s="5"/>
      <c r="Q17">
        <v>1106</v>
      </c>
      <c r="U17" s="5" t="s">
        <v>91</v>
      </c>
    </row>
    <row r="18" spans="1:21" x14ac:dyDescent="0.2">
      <c r="A18" t="s">
        <v>92</v>
      </c>
      <c r="B18" t="s">
        <v>93</v>
      </c>
      <c r="C18">
        <v>23</v>
      </c>
      <c r="D18" t="s">
        <v>89</v>
      </c>
      <c r="E18" s="5" t="s">
        <v>80</v>
      </c>
      <c r="G18" t="s">
        <v>26</v>
      </c>
      <c r="H18">
        <v>7.82</v>
      </c>
      <c r="I18" t="s">
        <v>43</v>
      </c>
      <c r="J18" s="10">
        <v>1015.1</v>
      </c>
      <c r="K18" t="s">
        <v>28</v>
      </c>
      <c r="L18">
        <v>8.7999999999999995E-2</v>
      </c>
      <c r="M18" t="s">
        <v>27</v>
      </c>
      <c r="N18" s="5" t="s">
        <v>94</v>
      </c>
      <c r="O18" s="5" t="s">
        <v>95</v>
      </c>
      <c r="P18" s="11">
        <f>(1015.1/1108)*100</f>
        <v>91.615523465703973</v>
      </c>
      <c r="Q18" t="s">
        <v>96</v>
      </c>
      <c r="R18" s="12">
        <f>J18*0.32</f>
        <v>324.83199999999999</v>
      </c>
      <c r="U18" s="5" t="s">
        <v>97</v>
      </c>
    </row>
    <row r="19" spans="1:21" x14ac:dyDescent="0.2">
      <c r="A19" t="s">
        <v>98</v>
      </c>
      <c r="B19" t="s">
        <v>99</v>
      </c>
      <c r="C19">
        <v>24.8</v>
      </c>
      <c r="D19" t="s">
        <v>84</v>
      </c>
      <c r="E19" s="5" t="s">
        <v>80</v>
      </c>
      <c r="G19" t="s">
        <v>26</v>
      </c>
      <c r="H19">
        <v>7.5</v>
      </c>
      <c r="I19" t="s">
        <v>43</v>
      </c>
      <c r="J19" s="10">
        <v>1184.4000000000001</v>
      </c>
      <c r="K19" t="s">
        <v>28</v>
      </c>
      <c r="L19">
        <v>7.1999999999999995E-2</v>
      </c>
      <c r="M19" t="s">
        <v>27</v>
      </c>
      <c r="N19" s="5" t="s">
        <v>100</v>
      </c>
      <c r="O19" s="5" t="s">
        <v>101</v>
      </c>
      <c r="P19" s="11">
        <f>(1184.4/1610)*100</f>
        <v>73.565217391304344</v>
      </c>
      <c r="Q19" t="s">
        <v>96</v>
      </c>
      <c r="R19" s="12">
        <f>J19*0.32</f>
        <v>379.00800000000004</v>
      </c>
      <c r="U19" s="5" t="s">
        <v>102</v>
      </c>
    </row>
    <row r="20" spans="1:21" x14ac:dyDescent="0.2">
      <c r="A20" t="s">
        <v>103</v>
      </c>
      <c r="B20" t="s">
        <v>104</v>
      </c>
      <c r="C20">
        <v>23.2</v>
      </c>
      <c r="D20" t="s">
        <v>27</v>
      </c>
      <c r="E20" s="5" t="s">
        <v>80</v>
      </c>
      <c r="G20" t="s">
        <v>105</v>
      </c>
      <c r="H20">
        <v>7.12</v>
      </c>
      <c r="I20" t="s">
        <v>34</v>
      </c>
      <c r="J20" s="10" t="s">
        <v>106</v>
      </c>
      <c r="K20" t="s">
        <v>28</v>
      </c>
      <c r="L20" t="s">
        <v>27</v>
      </c>
      <c r="M20" t="s">
        <v>27</v>
      </c>
      <c r="N20" s="5" t="s">
        <v>107</v>
      </c>
      <c r="O20" s="5" t="s">
        <v>30</v>
      </c>
      <c r="P20" s="11">
        <v>0</v>
      </c>
      <c r="Q20" t="s">
        <v>96</v>
      </c>
      <c r="R20" s="12" t="s">
        <v>27</v>
      </c>
      <c r="U20" s="5" t="s">
        <v>108</v>
      </c>
    </row>
    <row r="21" spans="1:21" x14ac:dyDescent="0.2">
      <c r="A21" t="s">
        <v>109</v>
      </c>
      <c r="B21" t="s">
        <v>104</v>
      </c>
      <c r="C21">
        <v>21</v>
      </c>
      <c r="D21" t="s">
        <v>110</v>
      </c>
      <c r="E21" s="5" t="s">
        <v>111</v>
      </c>
      <c r="G21" t="s">
        <v>26</v>
      </c>
      <c r="H21">
        <v>7.75</v>
      </c>
      <c r="I21" t="s">
        <v>43</v>
      </c>
      <c r="J21" s="10">
        <v>2542.3000000000002</v>
      </c>
      <c r="K21" t="s">
        <v>112</v>
      </c>
      <c r="L21">
        <v>5.8999999999999997E-2</v>
      </c>
      <c r="M21" t="s">
        <v>27</v>
      </c>
      <c r="N21" s="5" t="s">
        <v>113</v>
      </c>
      <c r="O21" s="5" t="s">
        <v>114</v>
      </c>
      <c r="P21" s="11">
        <f>(2542.3/1104)*100</f>
        <v>230.28079710144928</v>
      </c>
      <c r="Q21" t="s">
        <v>115</v>
      </c>
      <c r="R21" s="12">
        <f t="shared" ref="R21:R39" si="0">J21*0.32</f>
        <v>813.53600000000006</v>
      </c>
      <c r="U21" s="5" t="s">
        <v>116</v>
      </c>
    </row>
    <row r="22" spans="1:21" x14ac:dyDescent="0.2">
      <c r="A22" t="s">
        <v>117</v>
      </c>
      <c r="B22" t="s">
        <v>104</v>
      </c>
      <c r="C22">
        <v>26.3</v>
      </c>
      <c r="D22" s="5" t="s">
        <v>35</v>
      </c>
      <c r="E22" s="5" t="s">
        <v>80</v>
      </c>
      <c r="G22" t="s">
        <v>26</v>
      </c>
      <c r="H22">
        <v>8.5</v>
      </c>
      <c r="I22" t="s">
        <v>43</v>
      </c>
      <c r="J22" s="10">
        <v>295</v>
      </c>
      <c r="K22" t="s">
        <v>118</v>
      </c>
      <c r="L22">
        <v>3.4000000000000002E-2</v>
      </c>
      <c r="M22" t="s">
        <v>27</v>
      </c>
      <c r="N22" s="5" t="s">
        <v>119</v>
      </c>
      <c r="O22" s="5" t="s">
        <v>120</v>
      </c>
      <c r="P22" s="11">
        <f>(295/2500)*100</f>
        <v>11.799999999999999</v>
      </c>
      <c r="Q22" t="s">
        <v>115</v>
      </c>
      <c r="R22" s="12">
        <f t="shared" si="0"/>
        <v>94.4</v>
      </c>
      <c r="U22" s="5" t="s">
        <v>121</v>
      </c>
    </row>
    <row r="23" spans="1:21" x14ac:dyDescent="0.2">
      <c r="A23" t="s">
        <v>122</v>
      </c>
      <c r="B23" t="s">
        <v>104</v>
      </c>
      <c r="C23">
        <v>20.2</v>
      </c>
      <c r="D23" s="5" t="s">
        <v>35</v>
      </c>
      <c r="E23" s="5" t="s">
        <v>80</v>
      </c>
      <c r="G23" t="s">
        <v>123</v>
      </c>
      <c r="H23">
        <v>7.6</v>
      </c>
      <c r="I23" t="s">
        <v>34</v>
      </c>
      <c r="J23" s="10">
        <v>429.7</v>
      </c>
      <c r="K23" t="s">
        <v>124</v>
      </c>
      <c r="L23">
        <v>5.6000000000000001E-2</v>
      </c>
      <c r="M23" t="s">
        <v>27</v>
      </c>
      <c r="N23" s="5" t="s">
        <v>125</v>
      </c>
      <c r="O23" s="5" t="s">
        <v>126</v>
      </c>
      <c r="P23" s="11">
        <f>(439.7/295)*100</f>
        <v>149.0508474576271</v>
      </c>
      <c r="Q23" t="s">
        <v>115</v>
      </c>
      <c r="R23" s="12">
        <f t="shared" si="0"/>
        <v>137.50399999999999</v>
      </c>
      <c r="U23" s="5" t="s">
        <v>127</v>
      </c>
    </row>
    <row r="24" spans="1:21" x14ac:dyDescent="0.2">
      <c r="A24" t="s">
        <v>128</v>
      </c>
      <c r="B24" t="s">
        <v>129</v>
      </c>
      <c r="C24">
        <v>23.1</v>
      </c>
      <c r="D24" t="s">
        <v>35</v>
      </c>
      <c r="E24" t="s">
        <v>130</v>
      </c>
      <c r="F24" t="s">
        <v>131</v>
      </c>
      <c r="G24" t="s">
        <v>132</v>
      </c>
      <c r="H24">
        <v>8.31</v>
      </c>
      <c r="I24" t="s">
        <v>52</v>
      </c>
      <c r="J24" s="10"/>
      <c r="K24" t="s">
        <v>28</v>
      </c>
      <c r="L24">
        <v>2.7E-2</v>
      </c>
      <c r="M24" t="s">
        <v>27</v>
      </c>
      <c r="N24" s="5" t="s">
        <v>133</v>
      </c>
      <c r="O24" s="5" t="s">
        <v>30</v>
      </c>
      <c r="P24" s="11">
        <v>0</v>
      </c>
      <c r="Q24" t="s">
        <v>134</v>
      </c>
      <c r="R24" s="12">
        <f t="shared" si="0"/>
        <v>0</v>
      </c>
      <c r="U24" s="5" t="s">
        <v>135</v>
      </c>
    </row>
    <row r="25" spans="1:21" x14ac:dyDescent="0.2">
      <c r="A25" t="s">
        <v>136</v>
      </c>
      <c r="B25" t="s">
        <v>129</v>
      </c>
      <c r="C25">
        <v>38.4</v>
      </c>
      <c r="D25" s="5" t="s">
        <v>35</v>
      </c>
      <c r="F25" t="s">
        <v>138</v>
      </c>
      <c r="G25" t="s">
        <v>139</v>
      </c>
      <c r="H25">
        <v>7.33</v>
      </c>
      <c r="I25" t="s">
        <v>137</v>
      </c>
      <c r="J25" s="10">
        <v>295.2</v>
      </c>
      <c r="K25" t="s">
        <v>28</v>
      </c>
      <c r="L25">
        <v>4.2999999999999997E-2</v>
      </c>
      <c r="M25">
        <v>0.46300000000000002</v>
      </c>
      <c r="N25" s="5" t="s">
        <v>140</v>
      </c>
      <c r="O25" s="5" t="s">
        <v>30</v>
      </c>
      <c r="P25" s="11">
        <f>(295.2/1104)*100</f>
        <v>26.739130434782609</v>
      </c>
      <c r="Q25" t="s">
        <v>141</v>
      </c>
      <c r="R25" s="12">
        <f t="shared" si="0"/>
        <v>94.463999999999999</v>
      </c>
      <c r="U25" s="5" t="s">
        <v>142</v>
      </c>
    </row>
    <row r="26" spans="1:21" s="13" customFormat="1" x14ac:dyDescent="0.2">
      <c r="A26" s="13" t="s">
        <v>143</v>
      </c>
      <c r="B26" s="13" t="s">
        <v>144</v>
      </c>
      <c r="C26" s="13">
        <v>40</v>
      </c>
      <c r="D26" s="13" t="s">
        <v>146</v>
      </c>
      <c r="F26" s="13" t="s">
        <v>131</v>
      </c>
      <c r="G26" s="13" t="s">
        <v>147</v>
      </c>
      <c r="H26" s="13">
        <v>7.8</v>
      </c>
      <c r="I26" s="13" t="s">
        <v>145</v>
      </c>
      <c r="J26" s="14">
        <v>230.9</v>
      </c>
      <c r="K26" s="13" t="s">
        <v>28</v>
      </c>
      <c r="L26" s="13">
        <v>0.32300000000000001</v>
      </c>
      <c r="M26" s="13">
        <v>0.92100000000000004</v>
      </c>
      <c r="N26" s="15" t="s">
        <v>148</v>
      </c>
      <c r="O26" s="15" t="s">
        <v>149</v>
      </c>
      <c r="P26" s="16">
        <f>(230.9/962.2)*100</f>
        <v>23.997090002078568</v>
      </c>
      <c r="Q26" t="s">
        <v>141</v>
      </c>
      <c r="R26" s="12">
        <f t="shared" si="0"/>
        <v>73.888000000000005</v>
      </c>
      <c r="U26" s="15" t="s">
        <v>150</v>
      </c>
    </row>
    <row r="27" spans="1:21" x14ac:dyDescent="0.2">
      <c r="A27" t="s">
        <v>151</v>
      </c>
      <c r="B27" t="s">
        <v>88</v>
      </c>
      <c r="C27">
        <v>38.700000000000003</v>
      </c>
      <c r="D27" t="s">
        <v>152</v>
      </c>
      <c r="F27" t="s">
        <v>153</v>
      </c>
      <c r="G27" t="s">
        <v>105</v>
      </c>
      <c r="H27">
        <v>7.22</v>
      </c>
      <c r="I27" t="s">
        <v>52</v>
      </c>
      <c r="J27" s="10">
        <v>580</v>
      </c>
      <c r="K27" t="s">
        <v>28</v>
      </c>
      <c r="L27">
        <v>0</v>
      </c>
      <c r="M27">
        <v>1.534</v>
      </c>
      <c r="N27" s="5" t="s">
        <v>154</v>
      </c>
      <c r="O27" s="5" t="s">
        <v>95</v>
      </c>
      <c r="P27" s="11">
        <f>(580/1108)*100</f>
        <v>52.346570397111911</v>
      </c>
      <c r="Q27" t="s">
        <v>141</v>
      </c>
      <c r="R27" s="12">
        <f t="shared" si="0"/>
        <v>185.6</v>
      </c>
      <c r="U27" s="5" t="s">
        <v>142</v>
      </c>
    </row>
    <row r="28" spans="1:21" x14ac:dyDescent="0.2">
      <c r="A28" t="s">
        <v>155</v>
      </c>
      <c r="B28" t="s">
        <v>78</v>
      </c>
      <c r="C28">
        <v>40</v>
      </c>
      <c r="D28" s="5" t="s">
        <v>35</v>
      </c>
      <c r="F28" t="s">
        <v>156</v>
      </c>
      <c r="G28" t="s">
        <v>157</v>
      </c>
      <c r="I28" t="s">
        <v>52</v>
      </c>
      <c r="J28" s="10">
        <v>487.3</v>
      </c>
      <c r="K28" t="s">
        <v>28</v>
      </c>
      <c r="L28">
        <v>4.7E-2</v>
      </c>
      <c r="M28">
        <v>1.2809999999999999</v>
      </c>
      <c r="N28" s="5" t="s">
        <v>158</v>
      </c>
      <c r="O28" s="5" t="s">
        <v>159</v>
      </c>
      <c r="P28" s="11">
        <f>(487.3/1099)*100</f>
        <v>44.340309372156504</v>
      </c>
      <c r="Q28" t="s">
        <v>160</v>
      </c>
      <c r="R28" s="12">
        <f t="shared" si="0"/>
        <v>155.93600000000001</v>
      </c>
      <c r="U28" s="5" t="s">
        <v>142</v>
      </c>
    </row>
    <row r="29" spans="1:21" s="17" customFormat="1" x14ac:dyDescent="0.2">
      <c r="A29" s="17" t="s">
        <v>161</v>
      </c>
      <c r="B29" s="17" t="s">
        <v>88</v>
      </c>
      <c r="C29" s="17">
        <v>21.4</v>
      </c>
      <c r="D29" s="17" t="s">
        <v>266</v>
      </c>
      <c r="E29" s="18" t="s">
        <v>80</v>
      </c>
      <c r="F29" s="17" t="s">
        <v>162</v>
      </c>
      <c r="G29" s="17" t="s">
        <v>163</v>
      </c>
      <c r="H29" s="17">
        <v>7.84</v>
      </c>
      <c r="I29" s="17" t="s">
        <v>43</v>
      </c>
      <c r="J29" s="19">
        <v>509.5</v>
      </c>
      <c r="K29" s="17" t="s">
        <v>28</v>
      </c>
      <c r="L29" s="17">
        <v>8.5000000000000006E-2</v>
      </c>
      <c r="M29" s="17" t="s">
        <v>27</v>
      </c>
      <c r="N29" s="18" t="s">
        <v>164</v>
      </c>
      <c r="O29" s="18" t="s">
        <v>95</v>
      </c>
      <c r="P29" s="20">
        <f>(509.5/1108)*100</f>
        <v>45.983754512635379</v>
      </c>
      <c r="Q29" t="s">
        <v>160</v>
      </c>
      <c r="R29" s="12">
        <f t="shared" si="0"/>
        <v>163.04</v>
      </c>
      <c r="U29" s="18" t="s">
        <v>165</v>
      </c>
    </row>
    <row r="30" spans="1:21" x14ac:dyDescent="0.2">
      <c r="A30" t="s">
        <v>166</v>
      </c>
      <c r="B30" t="s">
        <v>93</v>
      </c>
      <c r="C30">
        <v>19.2</v>
      </c>
      <c r="D30" t="s">
        <v>27</v>
      </c>
      <c r="F30" t="s">
        <v>167</v>
      </c>
      <c r="G30" t="s">
        <v>168</v>
      </c>
      <c r="H30">
        <v>9.6</v>
      </c>
      <c r="I30" t="s">
        <v>43</v>
      </c>
      <c r="J30" s="10">
        <v>2065</v>
      </c>
      <c r="K30" t="s">
        <v>169</v>
      </c>
      <c r="L30">
        <v>0.11600000000000001</v>
      </c>
      <c r="M30" t="s">
        <v>27</v>
      </c>
      <c r="N30" s="5" t="s">
        <v>170</v>
      </c>
      <c r="O30" s="5" t="s">
        <v>114</v>
      </c>
      <c r="P30" s="11">
        <f>(2065/1108)*100</f>
        <v>186.37184115523468</v>
      </c>
      <c r="Q30" t="s">
        <v>171</v>
      </c>
      <c r="R30" s="12">
        <f t="shared" si="0"/>
        <v>660.80000000000007</v>
      </c>
      <c r="U30" s="5" t="s">
        <v>165</v>
      </c>
    </row>
    <row r="31" spans="1:21" s="21" customFormat="1" x14ac:dyDescent="0.2">
      <c r="A31" s="21" t="s">
        <v>172</v>
      </c>
      <c r="B31" s="21" t="s">
        <v>93</v>
      </c>
      <c r="C31" s="21">
        <v>40</v>
      </c>
      <c r="D31" s="5" t="s">
        <v>35</v>
      </c>
      <c r="F31" s="21" t="s">
        <v>173</v>
      </c>
      <c r="G31" s="21" t="s">
        <v>174</v>
      </c>
      <c r="H31" s="21">
        <v>7.82</v>
      </c>
      <c r="I31" s="21" t="s">
        <v>52</v>
      </c>
      <c r="J31" s="22">
        <v>977</v>
      </c>
      <c r="K31" s="21" t="s">
        <v>28</v>
      </c>
      <c r="L31" s="21">
        <v>5.0000000000000001E-3</v>
      </c>
      <c r="M31" s="21">
        <f>2.821-2.195</f>
        <v>0.62600000000000033</v>
      </c>
      <c r="N31" s="23" t="s">
        <v>175</v>
      </c>
      <c r="O31" s="23" t="s">
        <v>95</v>
      </c>
      <c r="P31" s="24">
        <f>(977/1108)*100</f>
        <v>88.176895306859208</v>
      </c>
      <c r="Q31" t="s">
        <v>176</v>
      </c>
      <c r="R31" s="12">
        <f t="shared" si="0"/>
        <v>312.64</v>
      </c>
      <c r="U31" s="23" t="s">
        <v>177</v>
      </c>
    </row>
    <row r="32" spans="1:21" x14ac:dyDescent="0.2">
      <c r="A32" t="s">
        <v>178</v>
      </c>
      <c r="B32" t="s">
        <v>179</v>
      </c>
      <c r="C32">
        <v>25</v>
      </c>
      <c r="D32" s="5" t="s">
        <v>35</v>
      </c>
      <c r="F32" t="s">
        <v>181</v>
      </c>
      <c r="G32" t="s">
        <v>182</v>
      </c>
      <c r="H32">
        <v>9.02</v>
      </c>
      <c r="I32" t="s">
        <v>180</v>
      </c>
      <c r="J32" s="10">
        <v>2950</v>
      </c>
      <c r="K32" t="s">
        <v>183</v>
      </c>
      <c r="L32">
        <f>0.801-0.699</f>
        <v>0.10200000000000009</v>
      </c>
      <c r="M32" t="s">
        <v>27</v>
      </c>
      <c r="N32" s="5" t="s">
        <v>184</v>
      </c>
      <c r="O32" s="5" t="s">
        <v>114</v>
      </c>
      <c r="P32" s="11">
        <f>(2950/1108)*100</f>
        <v>266.24548736462094</v>
      </c>
      <c r="Q32" t="s">
        <v>185</v>
      </c>
      <c r="R32" s="12">
        <f t="shared" si="0"/>
        <v>944</v>
      </c>
      <c r="U32" s="5" t="s">
        <v>186</v>
      </c>
    </row>
    <row r="33" spans="1:21" s="25" customFormat="1" x14ac:dyDescent="0.2">
      <c r="A33" s="25" t="s">
        <v>187</v>
      </c>
      <c r="B33" s="25" t="s">
        <v>93</v>
      </c>
      <c r="C33" s="25">
        <v>45</v>
      </c>
      <c r="D33" s="25" t="s">
        <v>188</v>
      </c>
      <c r="F33" s="25" t="s">
        <v>189</v>
      </c>
      <c r="G33" s="25" t="s">
        <v>105</v>
      </c>
      <c r="H33" s="25">
        <v>7.82</v>
      </c>
      <c r="I33" s="25" t="s">
        <v>52</v>
      </c>
      <c r="J33" s="26">
        <v>670.4</v>
      </c>
      <c r="K33" s="25" t="s">
        <v>190</v>
      </c>
      <c r="L33" s="25" t="s">
        <v>27</v>
      </c>
      <c r="M33" s="25">
        <v>1</v>
      </c>
      <c r="N33" s="27" t="s">
        <v>191</v>
      </c>
      <c r="O33" s="27" t="s">
        <v>95</v>
      </c>
      <c r="P33" s="28">
        <f>(670.4/1108)*100</f>
        <v>60.505415162454867</v>
      </c>
      <c r="Q33">
        <v>1211</v>
      </c>
      <c r="R33" s="12">
        <f t="shared" si="0"/>
        <v>214.52799999999999</v>
      </c>
      <c r="U33" s="27" t="s">
        <v>186</v>
      </c>
    </row>
    <row r="34" spans="1:21" x14ac:dyDescent="0.2">
      <c r="A34" t="s">
        <v>192</v>
      </c>
      <c r="B34" t="s">
        <v>193</v>
      </c>
      <c r="C34">
        <v>24.3</v>
      </c>
      <c r="D34" t="s">
        <v>27</v>
      </c>
      <c r="E34" t="s">
        <v>194</v>
      </c>
      <c r="F34" t="s">
        <v>27</v>
      </c>
      <c r="G34" t="s">
        <v>105</v>
      </c>
      <c r="H34">
        <v>7.6</v>
      </c>
      <c r="I34" t="s">
        <v>43</v>
      </c>
      <c r="J34" s="10">
        <v>97.7</v>
      </c>
      <c r="K34" t="s">
        <v>195</v>
      </c>
      <c r="L34">
        <v>0</v>
      </c>
      <c r="M34">
        <v>0</v>
      </c>
      <c r="N34" s="5" t="s">
        <v>196</v>
      </c>
      <c r="O34" s="5" t="s">
        <v>197</v>
      </c>
      <c r="P34" s="11">
        <f>(97.7/646)*100</f>
        <v>15.123839009287925</v>
      </c>
      <c r="Q34" t="s">
        <v>27</v>
      </c>
      <c r="R34" s="12">
        <f t="shared" si="0"/>
        <v>31.264000000000003</v>
      </c>
      <c r="U34" s="5" t="s">
        <v>198</v>
      </c>
    </row>
    <row r="35" spans="1:21" s="25" customFormat="1" x14ac:dyDescent="0.2">
      <c r="A35" s="25" t="s">
        <v>199</v>
      </c>
      <c r="B35" s="25" t="s">
        <v>200</v>
      </c>
      <c r="C35" s="25">
        <v>25</v>
      </c>
      <c r="D35" s="25" t="s">
        <v>201</v>
      </c>
      <c r="E35" s="25">
        <v>0</v>
      </c>
      <c r="F35" s="25" t="s">
        <v>27</v>
      </c>
      <c r="G35" s="25" t="s">
        <v>27</v>
      </c>
      <c r="H35" s="25">
        <v>7.2</v>
      </c>
      <c r="I35" s="25" t="s">
        <v>59</v>
      </c>
      <c r="J35" s="26">
        <v>30</v>
      </c>
      <c r="K35" s="25" t="s">
        <v>202</v>
      </c>
      <c r="L35" s="25">
        <v>0</v>
      </c>
      <c r="M35" s="25">
        <v>0</v>
      </c>
      <c r="N35" s="27">
        <v>0</v>
      </c>
      <c r="O35" s="27" t="s">
        <v>114</v>
      </c>
      <c r="P35" s="28">
        <f>(30/1108)*100</f>
        <v>2.7075812274368229</v>
      </c>
      <c r="Q35" t="s">
        <v>203</v>
      </c>
      <c r="R35" s="12">
        <f t="shared" si="0"/>
        <v>9.6</v>
      </c>
      <c r="U35" s="25" t="s">
        <v>204</v>
      </c>
    </row>
    <row r="36" spans="1:21" s="21" customFormat="1" x14ac:dyDescent="0.2">
      <c r="A36" s="21" t="s">
        <v>205</v>
      </c>
      <c r="B36" s="25" t="s">
        <v>200</v>
      </c>
      <c r="C36" s="21">
        <v>25</v>
      </c>
      <c r="D36" s="21" t="s">
        <v>207</v>
      </c>
      <c r="E36" s="21" t="s">
        <v>208</v>
      </c>
      <c r="G36" s="21" t="s">
        <v>209</v>
      </c>
      <c r="H36" s="21">
        <v>8.1999999999999993</v>
      </c>
      <c r="I36" s="21" t="s">
        <v>206</v>
      </c>
      <c r="J36" s="22">
        <v>42</v>
      </c>
      <c r="K36" s="21" t="s">
        <v>210</v>
      </c>
      <c r="L36" s="21">
        <v>5.0999999999999997E-2</v>
      </c>
      <c r="M36" s="21">
        <v>0</v>
      </c>
      <c r="N36" s="23" t="s">
        <v>211</v>
      </c>
      <c r="O36" s="23" t="s">
        <v>114</v>
      </c>
      <c r="P36" s="24">
        <f>(42/1108)*100</f>
        <v>3.790613718411552</v>
      </c>
      <c r="Q36" t="s">
        <v>203</v>
      </c>
      <c r="R36" s="12">
        <f t="shared" si="0"/>
        <v>13.44</v>
      </c>
      <c r="S36" s="21">
        <v>376.32</v>
      </c>
      <c r="T36" s="29">
        <f>(R36/S36)*100</f>
        <v>3.5714285714285712</v>
      </c>
      <c r="U36" s="23" t="s">
        <v>186</v>
      </c>
    </row>
    <row r="37" spans="1:21" x14ac:dyDescent="0.2">
      <c r="A37" t="s">
        <v>212</v>
      </c>
      <c r="B37" s="25" t="s">
        <v>200</v>
      </c>
      <c r="C37">
        <v>25</v>
      </c>
      <c r="D37" t="s">
        <v>265</v>
      </c>
      <c r="E37" t="s">
        <v>208</v>
      </c>
      <c r="F37" t="s">
        <v>27</v>
      </c>
      <c r="G37" t="s">
        <v>214</v>
      </c>
      <c r="H37">
        <v>7.93</v>
      </c>
      <c r="I37" t="s">
        <v>213</v>
      </c>
      <c r="J37" s="10">
        <v>1184</v>
      </c>
      <c r="K37" t="s">
        <v>202</v>
      </c>
      <c r="L37">
        <v>0.08</v>
      </c>
      <c r="M37">
        <v>0</v>
      </c>
      <c r="N37" s="5" t="s">
        <v>215</v>
      </c>
      <c r="O37" s="5" t="s">
        <v>216</v>
      </c>
      <c r="P37" s="11">
        <f>(1184/1162)*100</f>
        <v>101.89328743545612</v>
      </c>
      <c r="Q37" t="s">
        <v>203</v>
      </c>
      <c r="R37" s="12">
        <f t="shared" si="0"/>
        <v>378.88</v>
      </c>
      <c r="S37">
        <v>376.32</v>
      </c>
      <c r="T37" s="29">
        <f>(R37/S37)*100</f>
        <v>100.68027210884354</v>
      </c>
      <c r="U37" s="5" t="s">
        <v>217</v>
      </c>
    </row>
    <row r="38" spans="1:21" s="13" customFormat="1" x14ac:dyDescent="0.2">
      <c r="A38" s="13" t="s">
        <v>218</v>
      </c>
      <c r="B38" s="13" t="s">
        <v>219</v>
      </c>
      <c r="C38" s="13">
        <v>25</v>
      </c>
      <c r="D38" s="13" t="s">
        <v>220</v>
      </c>
      <c r="E38" s="13" t="s">
        <v>194</v>
      </c>
      <c r="F38" s="13" t="s">
        <v>27</v>
      </c>
      <c r="G38" s="13" t="s">
        <v>209</v>
      </c>
      <c r="H38" s="13" t="s">
        <v>27</v>
      </c>
      <c r="I38" s="13" t="s">
        <v>59</v>
      </c>
      <c r="J38" s="14">
        <v>91</v>
      </c>
      <c r="K38" s="13" t="s">
        <v>221</v>
      </c>
      <c r="L38" s="13">
        <v>6.3E-2</v>
      </c>
      <c r="M38" s="13">
        <v>0</v>
      </c>
      <c r="N38" s="15" t="s">
        <v>222</v>
      </c>
      <c r="O38" s="15" t="s">
        <v>114</v>
      </c>
      <c r="P38" s="16">
        <f>(91/962.2)*100</f>
        <v>9.4574932446476812</v>
      </c>
      <c r="Q38" t="s">
        <v>203</v>
      </c>
      <c r="R38" s="12">
        <f t="shared" si="0"/>
        <v>29.12</v>
      </c>
      <c r="S38" s="13">
        <v>305.76</v>
      </c>
      <c r="T38" s="29">
        <f>(R38/S38)*100</f>
        <v>9.5238095238095255</v>
      </c>
      <c r="U38" s="15" t="s">
        <v>217</v>
      </c>
    </row>
    <row r="39" spans="1:21" s="17" customFormat="1" x14ac:dyDescent="0.2">
      <c r="A39" s="17" t="s">
        <v>223</v>
      </c>
      <c r="B39" s="17" t="s">
        <v>179</v>
      </c>
      <c r="C39" s="17">
        <v>25</v>
      </c>
      <c r="D39" s="17" t="s">
        <v>224</v>
      </c>
      <c r="E39" s="17">
        <v>0</v>
      </c>
      <c r="G39" s="17" t="s">
        <v>105</v>
      </c>
      <c r="H39" s="17" t="s">
        <v>27</v>
      </c>
      <c r="I39" s="17" t="s">
        <v>52</v>
      </c>
      <c r="J39" s="19">
        <v>56.2</v>
      </c>
      <c r="K39" s="17" t="s">
        <v>169</v>
      </c>
      <c r="L39" s="17">
        <v>0</v>
      </c>
      <c r="M39" s="17">
        <v>0</v>
      </c>
      <c r="N39" s="18" t="s">
        <v>225</v>
      </c>
      <c r="O39" s="18" t="s">
        <v>114</v>
      </c>
      <c r="P39" s="20">
        <f>(56.2/1108)*100</f>
        <v>5.0722021660649821</v>
      </c>
      <c r="Q39" t="s">
        <v>203</v>
      </c>
      <c r="R39" s="12">
        <f t="shared" si="0"/>
        <v>17.984000000000002</v>
      </c>
      <c r="U39" s="18" t="s">
        <v>226</v>
      </c>
    </row>
    <row r="40" spans="1:21" x14ac:dyDescent="0.2">
      <c r="A40" t="s">
        <v>227</v>
      </c>
      <c r="B40" t="s">
        <v>84</v>
      </c>
      <c r="C40">
        <v>25</v>
      </c>
      <c r="D40" t="s">
        <v>27</v>
      </c>
      <c r="E40" t="s">
        <v>229</v>
      </c>
      <c r="F40" t="s">
        <v>27</v>
      </c>
      <c r="G40" t="s">
        <v>230</v>
      </c>
      <c r="H40" t="s">
        <v>27</v>
      </c>
      <c r="I40" t="s">
        <v>228</v>
      </c>
      <c r="J40" t="s">
        <v>231</v>
      </c>
      <c r="K40" t="s">
        <v>232</v>
      </c>
      <c r="L40" t="s">
        <v>27</v>
      </c>
      <c r="M40">
        <v>0</v>
      </c>
      <c r="N40" s="5" t="s">
        <v>233</v>
      </c>
      <c r="O40" s="5" t="s">
        <v>234</v>
      </c>
      <c r="P40" s="11">
        <f>(295/2500)*100</f>
        <v>11.799999999999999</v>
      </c>
      <c r="Q40" t="s">
        <v>203</v>
      </c>
      <c r="R40" s="12" t="s">
        <v>27</v>
      </c>
      <c r="S40">
        <v>470.4</v>
      </c>
      <c r="U40" s="5" t="s">
        <v>235</v>
      </c>
    </row>
    <row r="41" spans="1:21" x14ac:dyDescent="0.2">
      <c r="A41" t="s">
        <v>236</v>
      </c>
      <c r="B41" t="s">
        <v>84</v>
      </c>
      <c r="C41">
        <v>22</v>
      </c>
      <c r="D41" s="5" t="s">
        <v>35</v>
      </c>
      <c r="E41" t="s">
        <v>237</v>
      </c>
      <c r="F41" t="s">
        <v>27</v>
      </c>
      <c r="G41" t="s">
        <v>238</v>
      </c>
      <c r="I41" t="s">
        <v>206</v>
      </c>
      <c r="J41" t="s">
        <v>239</v>
      </c>
      <c r="K41" t="s">
        <v>240</v>
      </c>
      <c r="L41">
        <v>0.14199999999999999</v>
      </c>
      <c r="M41">
        <v>0</v>
      </c>
      <c r="N41" t="s">
        <v>241</v>
      </c>
      <c r="O41" t="s">
        <v>242</v>
      </c>
      <c r="P41">
        <f>32/320*100</f>
        <v>10</v>
      </c>
      <c r="Q41" t="s">
        <v>243</v>
      </c>
      <c r="R41">
        <f>32*0.32</f>
        <v>10.24</v>
      </c>
      <c r="S41">
        <v>715</v>
      </c>
      <c r="T41">
        <v>1.43</v>
      </c>
      <c r="U41" s="5" t="s">
        <v>244</v>
      </c>
    </row>
    <row r="42" spans="1:21" x14ac:dyDescent="0.2">
      <c r="A42" t="s">
        <v>245</v>
      </c>
      <c r="B42" t="s">
        <v>93</v>
      </c>
      <c r="C42">
        <v>22</v>
      </c>
      <c r="D42" s="5" t="s">
        <v>35</v>
      </c>
      <c r="E42" t="s">
        <v>247</v>
      </c>
      <c r="F42" t="s">
        <v>27</v>
      </c>
      <c r="G42" t="s">
        <v>248</v>
      </c>
      <c r="H42" t="s">
        <v>27</v>
      </c>
      <c r="I42" t="s">
        <v>246</v>
      </c>
      <c r="J42">
        <f>130+42+62</f>
        <v>234</v>
      </c>
      <c r="K42" t="s">
        <v>28</v>
      </c>
      <c r="L42">
        <v>0.06</v>
      </c>
      <c r="M42">
        <v>0</v>
      </c>
      <c r="N42" t="s">
        <v>222</v>
      </c>
      <c r="O42" t="s">
        <v>95</v>
      </c>
      <c r="P42">
        <v>21.2</v>
      </c>
      <c r="Q42" t="s">
        <v>243</v>
      </c>
      <c r="R42">
        <f>234*0.32</f>
        <v>74.88</v>
      </c>
      <c r="S42">
        <v>259.5</v>
      </c>
      <c r="T42" s="12">
        <f>R42/S42*100</f>
        <v>28.855491329479765</v>
      </c>
      <c r="U42" s="5" t="s">
        <v>249</v>
      </c>
    </row>
    <row r="43" spans="1:21" x14ac:dyDescent="0.2">
      <c r="A43" t="s">
        <v>250</v>
      </c>
      <c r="B43" t="s">
        <v>129</v>
      </c>
      <c r="C43">
        <v>23</v>
      </c>
      <c r="D43" s="5" t="s">
        <v>35</v>
      </c>
      <c r="E43" t="s">
        <v>251</v>
      </c>
      <c r="F43" t="s">
        <v>27</v>
      </c>
      <c r="G43" t="s">
        <v>248</v>
      </c>
      <c r="H43" t="s">
        <v>27</v>
      </c>
      <c r="I43" t="s">
        <v>180</v>
      </c>
      <c r="J43">
        <v>590</v>
      </c>
      <c r="K43" t="s">
        <v>28</v>
      </c>
      <c r="L43">
        <v>8.1000000000000003E-2</v>
      </c>
      <c r="M43">
        <v>0</v>
      </c>
      <c r="N43" t="s">
        <v>222</v>
      </c>
      <c r="O43" t="s">
        <v>30</v>
      </c>
      <c r="P43">
        <v>53.4</v>
      </c>
      <c r="Q43" t="s">
        <v>243</v>
      </c>
      <c r="R43">
        <f>590*0.32</f>
        <v>188.8</v>
      </c>
      <c r="S43">
        <v>353</v>
      </c>
      <c r="T43">
        <v>53.5</v>
      </c>
      <c r="U43" s="5" t="s">
        <v>249</v>
      </c>
    </row>
    <row r="44" spans="1:21" x14ac:dyDescent="0.2">
      <c r="A44" t="s">
        <v>252</v>
      </c>
      <c r="B44" t="s">
        <v>129</v>
      </c>
      <c r="C44">
        <v>3</v>
      </c>
      <c r="D44" s="5" t="s">
        <v>35</v>
      </c>
      <c r="E44" t="s">
        <v>254</v>
      </c>
      <c r="F44" t="s">
        <v>27</v>
      </c>
      <c r="G44" t="s">
        <v>255</v>
      </c>
      <c r="H44">
        <v>9.09</v>
      </c>
      <c r="I44" t="s">
        <v>253</v>
      </c>
      <c r="J44">
        <v>524</v>
      </c>
      <c r="K44" t="s">
        <v>28</v>
      </c>
      <c r="L44">
        <v>0.14699999999999999</v>
      </c>
      <c r="M44">
        <v>0</v>
      </c>
      <c r="N44" t="s">
        <v>256</v>
      </c>
      <c r="O44" t="s">
        <v>30</v>
      </c>
      <c r="P44">
        <v>47.4</v>
      </c>
      <c r="Q44" t="s">
        <v>243</v>
      </c>
      <c r="R44">
        <f>524*0.32</f>
        <v>167.68</v>
      </c>
      <c r="S44">
        <v>487.8</v>
      </c>
      <c r="T44">
        <v>34.4</v>
      </c>
      <c r="U44" s="5" t="s">
        <v>257</v>
      </c>
    </row>
    <row r="45" spans="1:21" x14ac:dyDescent="0.2">
      <c r="A45" t="s">
        <v>258</v>
      </c>
      <c r="B45" t="s">
        <v>88</v>
      </c>
      <c r="C45">
        <v>21.2</v>
      </c>
      <c r="D45" t="s">
        <v>259</v>
      </c>
      <c r="E45" t="s">
        <v>260</v>
      </c>
      <c r="F45" t="s">
        <v>27</v>
      </c>
      <c r="G45" t="s">
        <v>261</v>
      </c>
      <c r="H45">
        <v>9.01</v>
      </c>
      <c r="I45" t="s">
        <v>253</v>
      </c>
      <c r="J45" t="s">
        <v>262</v>
      </c>
      <c r="K45" t="s">
        <v>28</v>
      </c>
      <c r="L45">
        <v>9.3299999999999994E-2</v>
      </c>
      <c r="M45">
        <v>0</v>
      </c>
      <c r="N45" t="s">
        <v>263</v>
      </c>
      <c r="O45" t="s">
        <v>95</v>
      </c>
      <c r="P45">
        <v>46.2</v>
      </c>
      <c r="Q45" t="s">
        <v>243</v>
      </c>
      <c r="R45">
        <f>512*0.32</f>
        <v>163.84</v>
      </c>
      <c r="S45" s="30">
        <v>754.3</v>
      </c>
      <c r="T45">
        <v>21.7</v>
      </c>
      <c r="U45" s="5" t="s">
        <v>264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 Salha</cp:lastModifiedBy>
  <cp:revision>60</cp:revision>
  <dcterms:created xsi:type="dcterms:W3CDTF">2024-05-02T12:47:29Z</dcterms:created>
  <dcterms:modified xsi:type="dcterms:W3CDTF">2025-05-01T16:26:42Z</dcterms:modified>
  <dc:language>en-GB</dc:language>
</cp:coreProperties>
</file>