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4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liha\Desktop\TA fiber\"/>
    </mc:Choice>
  </mc:AlternateContent>
  <xr:revisionPtr revIDLastSave="0" documentId="13_ncr:1_{EC0F6A35-3AFA-4E00-B537-F1EB47E84762}" xr6:coauthVersionLast="47" xr6:coauthVersionMax="47" xr10:uidLastSave="{00000000-0000-0000-0000-000000000000}"/>
  <bookViews>
    <workbookView xWindow="-108" yWindow="-108" windowWidth="23256" windowHeight="12576" activeTab="2" xr2:uid="{93FD3DDE-507B-496E-BE94-65965EE48FB7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4" l="1"/>
  <c r="P13" i="3"/>
  <c r="N13" i="3"/>
  <c r="M13" i="3"/>
  <c r="O13" i="3" s="1"/>
  <c r="J15" i="3"/>
  <c r="I15" i="3"/>
  <c r="J14" i="3"/>
  <c r="I14" i="3"/>
  <c r="J13" i="3"/>
  <c r="I13" i="3"/>
  <c r="C13" i="3"/>
  <c r="B13" i="3"/>
  <c r="E13" i="3" s="1"/>
  <c r="C16" i="5"/>
  <c r="C15" i="5"/>
  <c r="B16" i="5"/>
  <c r="B15" i="5"/>
  <c r="B14" i="5"/>
  <c r="B13" i="5"/>
  <c r="R8" i="5"/>
  <c r="R6" i="5"/>
  <c r="L8" i="5"/>
  <c r="L6" i="5"/>
  <c r="H16" i="5"/>
  <c r="H15" i="5"/>
  <c r="J15" i="5" s="1"/>
  <c r="L15" i="5" s="1"/>
  <c r="H14" i="5"/>
  <c r="K14" i="5" s="1"/>
  <c r="H13" i="5"/>
  <c r="H12" i="5"/>
  <c r="K12" i="5" s="1"/>
  <c r="C14" i="5"/>
  <c r="E12" i="5"/>
  <c r="C12" i="5"/>
  <c r="B12" i="5"/>
  <c r="Q7" i="5"/>
  <c r="Q8" i="5"/>
  <c r="Q9" i="5"/>
  <c r="Q10" i="5"/>
  <c r="Q15" i="5"/>
  <c r="Q16" i="5"/>
  <c r="Q6" i="5"/>
  <c r="P7" i="5"/>
  <c r="R7" i="5" s="1"/>
  <c r="P8" i="5"/>
  <c r="P9" i="5"/>
  <c r="R9" i="5" s="1"/>
  <c r="P10" i="5"/>
  <c r="R10" i="5" s="1"/>
  <c r="P14" i="5"/>
  <c r="R14" i="5" s="1"/>
  <c r="P6" i="5"/>
  <c r="K7" i="5"/>
  <c r="K8" i="5"/>
  <c r="K9" i="5"/>
  <c r="K10" i="5"/>
  <c r="K13" i="5"/>
  <c r="K15" i="5"/>
  <c r="K6" i="5"/>
  <c r="J7" i="5"/>
  <c r="L7" i="5" s="1"/>
  <c r="J8" i="5"/>
  <c r="J9" i="5"/>
  <c r="L9" i="5" s="1"/>
  <c r="J10" i="5"/>
  <c r="L10" i="5" s="1"/>
  <c r="J14" i="5"/>
  <c r="L14" i="5" s="1"/>
  <c r="J6" i="5"/>
  <c r="C11" i="5"/>
  <c r="B11" i="5"/>
  <c r="O16" i="5"/>
  <c r="O15" i="5"/>
  <c r="N16" i="5"/>
  <c r="P16" i="5" s="1"/>
  <c r="R16" i="5" s="1"/>
  <c r="N15" i="5"/>
  <c r="P15" i="5" s="1"/>
  <c r="R15" i="5" s="1"/>
  <c r="O14" i="5"/>
  <c r="N14" i="5"/>
  <c r="Q14" i="5" s="1"/>
  <c r="O13" i="5"/>
  <c r="P13" i="5" s="1"/>
  <c r="R13" i="5" s="1"/>
  <c r="N12" i="5"/>
  <c r="P12" i="5" s="1"/>
  <c r="R12" i="5" s="1"/>
  <c r="N13" i="5"/>
  <c r="O12" i="5"/>
  <c r="O11" i="5"/>
  <c r="N11" i="5"/>
  <c r="P11" i="5" s="1"/>
  <c r="R11" i="5" s="1"/>
  <c r="I15" i="5"/>
  <c r="I16" i="5"/>
  <c r="K16" i="5" s="1"/>
  <c r="I14" i="5"/>
  <c r="I13" i="5"/>
  <c r="I12" i="5"/>
  <c r="I11" i="5"/>
  <c r="H11" i="5"/>
  <c r="K11" i="5" s="1"/>
  <c r="F10" i="5"/>
  <c r="F6" i="5"/>
  <c r="E6" i="5"/>
  <c r="E7" i="5"/>
  <c r="E8" i="5"/>
  <c r="E9" i="5"/>
  <c r="E14" i="5"/>
  <c r="E5" i="5"/>
  <c r="D7" i="5"/>
  <c r="F7" i="5" s="1"/>
  <c r="D8" i="5"/>
  <c r="F8" i="5" s="1"/>
  <c r="D9" i="5"/>
  <c r="F9" i="5" s="1"/>
  <c r="D10" i="5"/>
  <c r="D15" i="5"/>
  <c r="F15" i="5" s="1"/>
  <c r="D6" i="5"/>
  <c r="C13" i="5"/>
  <c r="B14" i="4"/>
  <c r="D14" i="4" s="1"/>
  <c r="F14" i="4" s="1"/>
  <c r="J14" i="4"/>
  <c r="I14" i="4"/>
  <c r="L14" i="4" s="1"/>
  <c r="C14" i="4"/>
  <c r="C13" i="4"/>
  <c r="E14" i="4"/>
  <c r="J12" i="4"/>
  <c r="J13" i="4"/>
  <c r="I12" i="4"/>
  <c r="L12" i="4" s="1"/>
  <c r="I13" i="4"/>
  <c r="L13" i="4" s="1"/>
  <c r="J11" i="4"/>
  <c r="I11" i="4"/>
  <c r="B13" i="4"/>
  <c r="K13" i="4"/>
  <c r="M13" i="4" s="1"/>
  <c r="C12" i="4"/>
  <c r="B12" i="4"/>
  <c r="J10" i="4"/>
  <c r="J9" i="4"/>
  <c r="J8" i="4"/>
  <c r="J7" i="4"/>
  <c r="J6" i="4"/>
  <c r="I10" i="4"/>
  <c r="K10" i="4" s="1"/>
  <c r="M10" i="4" s="1"/>
  <c r="I9" i="4"/>
  <c r="K9" i="4" s="1"/>
  <c r="M9" i="4" s="1"/>
  <c r="I8" i="4"/>
  <c r="I7" i="4"/>
  <c r="K7" i="4" s="1"/>
  <c r="M7" i="4" s="1"/>
  <c r="I6" i="4"/>
  <c r="K6" i="4" s="1"/>
  <c r="M6" i="4" s="1"/>
  <c r="B11" i="4"/>
  <c r="C11" i="4"/>
  <c r="C10" i="4"/>
  <c r="D10" i="4" s="1"/>
  <c r="F10" i="4" s="1"/>
  <c r="C9" i="4"/>
  <c r="C8" i="4"/>
  <c r="D8" i="4" s="1"/>
  <c r="F8" i="4" s="1"/>
  <c r="C7" i="4"/>
  <c r="C6" i="4"/>
  <c r="B10" i="4"/>
  <c r="B9" i="4"/>
  <c r="D9" i="4" s="1"/>
  <c r="F9" i="4" s="1"/>
  <c r="B8" i="4"/>
  <c r="B7" i="4"/>
  <c r="B6" i="4"/>
  <c r="D6" i="4" s="1"/>
  <c r="F6" i="4" s="1"/>
  <c r="Q3" i="4"/>
  <c r="P3" i="4"/>
  <c r="R3" i="4" s="1"/>
  <c r="E4" i="4"/>
  <c r="D7" i="4"/>
  <c r="F7" i="4" s="1"/>
  <c r="D4" i="4"/>
  <c r="I4" i="4"/>
  <c r="J4" i="4"/>
  <c r="J5" i="4"/>
  <c r="I5" i="4"/>
  <c r="C5" i="4"/>
  <c r="E5" i="4" s="1"/>
  <c r="B5" i="4"/>
  <c r="C4" i="4"/>
  <c r="B4" i="4"/>
  <c r="L7" i="4"/>
  <c r="L9" i="4"/>
  <c r="L10" i="4"/>
  <c r="L3" i="4"/>
  <c r="K3" i="4"/>
  <c r="U30" i="2"/>
  <c r="U29" i="2" s="1"/>
  <c r="U28" i="2" s="1"/>
  <c r="U27" i="2" s="1"/>
  <c r="U31" i="2"/>
  <c r="T28" i="2"/>
  <c r="T29" i="2"/>
  <c r="T30" i="2"/>
  <c r="T31" i="2"/>
  <c r="T27" i="2"/>
  <c r="M30" i="2"/>
  <c r="M29" i="2"/>
  <c r="M28" i="2"/>
  <c r="N28" i="2" s="1"/>
  <c r="N27" i="2" s="1"/>
  <c r="N26" i="2" s="1"/>
  <c r="M27" i="2"/>
  <c r="M26" i="2"/>
  <c r="J12" i="5" l="1"/>
  <c r="L12" i="5" s="1"/>
  <c r="Q11" i="5"/>
  <c r="K8" i="4"/>
  <c r="M8" i="4" s="1"/>
  <c r="Q13" i="5"/>
  <c r="Q12" i="5"/>
  <c r="J11" i="5"/>
  <c r="L11" i="5" s="1"/>
  <c r="K12" i="4"/>
  <c r="M12" i="4" s="1"/>
  <c r="D5" i="4"/>
  <c r="F5" i="4" s="1"/>
  <c r="J13" i="5"/>
  <c r="L13" i="5" s="1"/>
  <c r="D13" i="3"/>
  <c r="J16" i="5"/>
  <c r="L16" i="5" s="1"/>
  <c r="E15" i="5"/>
  <c r="D14" i="5"/>
  <c r="F14" i="5" s="1"/>
  <c r="D13" i="5"/>
  <c r="F13" i="5" s="1"/>
  <c r="E11" i="5"/>
  <c r="E10" i="5"/>
  <c r="D11" i="5"/>
  <c r="F11" i="5" s="1"/>
  <c r="D16" i="5"/>
  <c r="F16" i="5" s="1"/>
  <c r="E13" i="5"/>
  <c r="D12" i="5"/>
  <c r="F12" i="5" s="1"/>
  <c r="E13" i="4"/>
  <c r="K14" i="4"/>
  <c r="M14" i="4" s="1"/>
  <c r="D13" i="4"/>
  <c r="F13" i="4" s="1"/>
  <c r="D12" i="4"/>
  <c r="F12" i="4" s="1"/>
  <c r="E12" i="4"/>
  <c r="L8" i="4"/>
  <c r="L6" i="4"/>
  <c r="E10" i="4"/>
  <c r="E7" i="4"/>
  <c r="E9" i="4"/>
  <c r="E8" i="4"/>
  <c r="E6" i="4"/>
  <c r="E11" i="4"/>
  <c r="D11" i="4"/>
  <c r="F11" i="4" s="1"/>
  <c r="K11" i="4"/>
  <c r="M11" i="4" s="1"/>
  <c r="L11" i="4"/>
  <c r="L4" i="4"/>
  <c r="K4" i="4"/>
  <c r="M4" i="4" s="1"/>
  <c r="L5" i="4"/>
  <c r="K5" i="4"/>
  <c r="M5" i="4" s="1"/>
  <c r="G3" i="3"/>
  <c r="AG11" i="3" l="1"/>
  <c r="AF11" i="3"/>
  <c r="AI11" i="3" s="1"/>
  <c r="X11" i="3"/>
  <c r="W11" i="3"/>
  <c r="Z11" i="3" s="1"/>
  <c r="M9" i="3"/>
  <c r="L9" i="3"/>
  <c r="N9" i="3" s="1"/>
  <c r="E9" i="3"/>
  <c r="F9" i="3" s="1"/>
  <c r="AL3" i="3"/>
  <c r="AM3" i="3" s="1"/>
  <c r="AK3" i="3"/>
  <c r="AB3" i="3"/>
  <c r="AA3" i="3"/>
  <c r="R3" i="3"/>
  <c r="Q3" i="3"/>
  <c r="H3" i="3"/>
  <c r="AH4" i="3"/>
  <c r="AG4" i="3"/>
  <c r="AH3" i="3"/>
  <c r="AG3" i="3"/>
  <c r="AH5" i="3"/>
  <c r="AG5" i="3"/>
  <c r="X5" i="3"/>
  <c r="W5" i="3"/>
  <c r="X3" i="3"/>
  <c r="W3" i="3"/>
  <c r="X4" i="3"/>
  <c r="W4" i="3"/>
  <c r="N5" i="3"/>
  <c r="M5" i="3"/>
  <c r="N4" i="3"/>
  <c r="M4" i="3"/>
  <c r="N3" i="3"/>
  <c r="M3" i="3"/>
  <c r="B10" i="3"/>
  <c r="D5" i="3"/>
  <c r="C5" i="3"/>
  <c r="D4" i="3"/>
  <c r="C4" i="3"/>
  <c r="D3" i="3"/>
  <c r="C3" i="3"/>
  <c r="G9" i="3" l="1"/>
  <c r="Y11" i="3"/>
  <c r="O9" i="3"/>
  <c r="AH11" i="3"/>
  <c r="AC3" i="3"/>
  <c r="AN3" i="3"/>
  <c r="AD3" i="3"/>
  <c r="T3" i="3"/>
  <c r="J3" i="3"/>
  <c r="S3" i="3"/>
  <c r="I3" i="3"/>
  <c r="AH10" i="2"/>
  <c r="AI15" i="2"/>
  <c r="AJ20" i="2"/>
  <c r="V6" i="2"/>
  <c r="V13" i="2"/>
  <c r="V14" i="2"/>
  <c r="V20" i="2"/>
  <c r="W20" i="2"/>
  <c r="W22" i="2"/>
  <c r="U20" i="2"/>
  <c r="Y20" i="2" s="1"/>
  <c r="U4" i="2"/>
  <c r="I5" i="2"/>
  <c r="AE4" i="2"/>
  <c r="AH4" i="2" s="1"/>
  <c r="AG21" i="2"/>
  <c r="AJ21" i="2" s="1"/>
  <c r="AF21" i="2"/>
  <c r="AI21" i="2" s="1"/>
  <c r="AE21" i="2"/>
  <c r="AH21" i="2" s="1"/>
  <c r="AG20" i="2"/>
  <c r="AF20" i="2"/>
  <c r="AI20" i="2" s="1"/>
  <c r="AE20" i="2"/>
  <c r="AH20" i="2" s="1"/>
  <c r="AG19" i="2"/>
  <c r="AJ19" i="2" s="1"/>
  <c r="AF19" i="2"/>
  <c r="AI19" i="2" s="1"/>
  <c r="AE19" i="2"/>
  <c r="AH19" i="2" s="1"/>
  <c r="AG18" i="2"/>
  <c r="AJ18" i="2" s="1"/>
  <c r="AF18" i="2"/>
  <c r="AI18" i="2" s="1"/>
  <c r="AE18" i="2"/>
  <c r="AH18" i="2" s="1"/>
  <c r="AG17" i="2"/>
  <c r="AJ17" i="2" s="1"/>
  <c r="AF17" i="2"/>
  <c r="AI17" i="2" s="1"/>
  <c r="AE17" i="2"/>
  <c r="AH17" i="2" s="1"/>
  <c r="AG16" i="2"/>
  <c r="AJ16" i="2" s="1"/>
  <c r="AF16" i="2"/>
  <c r="AI16" i="2" s="1"/>
  <c r="AE16" i="2"/>
  <c r="AH16" i="2" s="1"/>
  <c r="AG15" i="2"/>
  <c r="AJ15" i="2" s="1"/>
  <c r="AF15" i="2"/>
  <c r="AE15" i="2"/>
  <c r="AH15" i="2" s="1"/>
  <c r="AG14" i="2"/>
  <c r="AJ14" i="2" s="1"/>
  <c r="AF14" i="2"/>
  <c r="AI14" i="2" s="1"/>
  <c r="AE14" i="2"/>
  <c r="AH14" i="2" s="1"/>
  <c r="AG13" i="2"/>
  <c r="AJ13" i="2" s="1"/>
  <c r="AF13" i="2"/>
  <c r="AI13" i="2" s="1"/>
  <c r="AE13" i="2"/>
  <c r="AH13" i="2" s="1"/>
  <c r="AG12" i="2"/>
  <c r="AJ12" i="2" s="1"/>
  <c r="AF12" i="2"/>
  <c r="AI12" i="2" s="1"/>
  <c r="AE12" i="2"/>
  <c r="AH12" i="2" s="1"/>
  <c r="AG11" i="2"/>
  <c r="AJ11" i="2" s="1"/>
  <c r="AF11" i="2"/>
  <c r="AI11" i="2" s="1"/>
  <c r="AE11" i="2"/>
  <c r="AH11" i="2" s="1"/>
  <c r="AG10" i="2"/>
  <c r="AJ10" i="2" s="1"/>
  <c r="AF10" i="2"/>
  <c r="AI10" i="2" s="1"/>
  <c r="AE10" i="2"/>
  <c r="AG9" i="2"/>
  <c r="AJ9" i="2" s="1"/>
  <c r="AF9" i="2"/>
  <c r="AI9" i="2" s="1"/>
  <c r="AE9" i="2"/>
  <c r="AH9" i="2" s="1"/>
  <c r="AG8" i="2"/>
  <c r="AJ8" i="2" s="1"/>
  <c r="AF8" i="2"/>
  <c r="AI8" i="2" s="1"/>
  <c r="AE8" i="2"/>
  <c r="AH8" i="2" s="1"/>
  <c r="AG7" i="2"/>
  <c r="AJ7" i="2" s="1"/>
  <c r="AF7" i="2"/>
  <c r="AI7" i="2" s="1"/>
  <c r="AE7" i="2"/>
  <c r="AH7" i="2" s="1"/>
  <c r="AG6" i="2"/>
  <c r="AJ6" i="2" s="1"/>
  <c r="AF6" i="2"/>
  <c r="AI6" i="2" s="1"/>
  <c r="AE6" i="2"/>
  <c r="AH6" i="2" s="1"/>
  <c r="AG5" i="2"/>
  <c r="AJ5" i="2" s="1"/>
  <c r="AF5" i="2"/>
  <c r="AI5" i="2" s="1"/>
  <c r="AE5" i="2"/>
  <c r="AH5" i="2" s="1"/>
  <c r="AG4" i="2"/>
  <c r="AJ4" i="2" s="1"/>
  <c r="AF4" i="2"/>
  <c r="AI4" i="2" s="1"/>
  <c r="T22" i="2"/>
  <c r="S22" i="2"/>
  <c r="V22" i="2" s="1"/>
  <c r="R22" i="2"/>
  <c r="U22" i="2" s="1"/>
  <c r="Y22" i="2" s="1"/>
  <c r="T21" i="2"/>
  <c r="W21" i="2" s="1"/>
  <c r="S21" i="2"/>
  <c r="V21" i="2" s="1"/>
  <c r="R21" i="2"/>
  <c r="U21" i="2" s="1"/>
  <c r="T20" i="2"/>
  <c r="S20" i="2"/>
  <c r="R20" i="2"/>
  <c r="T19" i="2"/>
  <c r="W19" i="2" s="1"/>
  <c r="S19" i="2"/>
  <c r="V19" i="2" s="1"/>
  <c r="R19" i="2"/>
  <c r="U19" i="2" s="1"/>
  <c r="T18" i="2"/>
  <c r="W18" i="2" s="1"/>
  <c r="S18" i="2"/>
  <c r="V18" i="2" s="1"/>
  <c r="R18" i="2"/>
  <c r="U18" i="2" s="1"/>
  <c r="T17" i="2"/>
  <c r="W17" i="2" s="1"/>
  <c r="S17" i="2"/>
  <c r="V17" i="2" s="1"/>
  <c r="R17" i="2"/>
  <c r="U17" i="2" s="1"/>
  <c r="T16" i="2"/>
  <c r="W16" i="2" s="1"/>
  <c r="S16" i="2"/>
  <c r="V16" i="2" s="1"/>
  <c r="R16" i="2"/>
  <c r="U16" i="2" s="1"/>
  <c r="T15" i="2"/>
  <c r="W15" i="2" s="1"/>
  <c r="S15" i="2"/>
  <c r="V15" i="2" s="1"/>
  <c r="R15" i="2"/>
  <c r="U15" i="2" s="1"/>
  <c r="T14" i="2"/>
  <c r="W14" i="2" s="1"/>
  <c r="S14" i="2"/>
  <c r="R14" i="2"/>
  <c r="U14" i="2" s="1"/>
  <c r="T13" i="2"/>
  <c r="W13" i="2" s="1"/>
  <c r="S13" i="2"/>
  <c r="R13" i="2"/>
  <c r="U13" i="2" s="1"/>
  <c r="R12" i="2"/>
  <c r="U12" i="2" s="1"/>
  <c r="T12" i="2"/>
  <c r="W12" i="2" s="1"/>
  <c r="S12" i="2"/>
  <c r="V12" i="2" s="1"/>
  <c r="T11" i="2"/>
  <c r="W11" i="2" s="1"/>
  <c r="S11" i="2"/>
  <c r="V11" i="2" s="1"/>
  <c r="R11" i="2"/>
  <c r="U11" i="2" s="1"/>
  <c r="T10" i="2"/>
  <c r="W10" i="2" s="1"/>
  <c r="S10" i="2"/>
  <c r="V10" i="2" s="1"/>
  <c r="R10" i="2"/>
  <c r="U10" i="2" s="1"/>
  <c r="T9" i="2"/>
  <c r="W9" i="2" s="1"/>
  <c r="S9" i="2"/>
  <c r="V9" i="2" s="1"/>
  <c r="R9" i="2"/>
  <c r="U9" i="2" s="1"/>
  <c r="T8" i="2"/>
  <c r="W8" i="2" s="1"/>
  <c r="S8" i="2"/>
  <c r="V8" i="2" s="1"/>
  <c r="R8" i="2"/>
  <c r="U8" i="2" s="1"/>
  <c r="T7" i="2"/>
  <c r="W7" i="2" s="1"/>
  <c r="S7" i="2"/>
  <c r="V7" i="2" s="1"/>
  <c r="R7" i="2"/>
  <c r="U7" i="2" s="1"/>
  <c r="T6" i="2"/>
  <c r="W6" i="2" s="1"/>
  <c r="S6" i="2"/>
  <c r="R6" i="2"/>
  <c r="U6" i="2" s="1"/>
  <c r="T5" i="2"/>
  <c r="W5" i="2" s="1"/>
  <c r="S5" i="2"/>
  <c r="V5" i="2" s="1"/>
  <c r="R5" i="2"/>
  <c r="U5" i="2" s="1"/>
  <c r="T4" i="2"/>
  <c r="W4" i="2" s="1"/>
  <c r="S4" i="2"/>
  <c r="V4" i="2" s="1"/>
  <c r="X4" i="2" s="1"/>
  <c r="E22" i="2"/>
  <c r="H22" i="2" s="1"/>
  <c r="E21" i="2"/>
  <c r="H21" i="2" s="1"/>
  <c r="G21" i="2"/>
  <c r="J21" i="2" s="1"/>
  <c r="G22" i="2"/>
  <c r="J22" i="2" s="1"/>
  <c r="F21" i="2"/>
  <c r="I21" i="2" s="1"/>
  <c r="F22" i="2"/>
  <c r="I22" i="2" s="1"/>
  <c r="G20" i="2"/>
  <c r="J20" i="2" s="1"/>
  <c r="G19" i="2"/>
  <c r="J19" i="2" s="1"/>
  <c r="G18" i="2"/>
  <c r="J18" i="2" s="1"/>
  <c r="G17" i="2"/>
  <c r="J17" i="2" s="1"/>
  <c r="G16" i="2"/>
  <c r="J16" i="2" s="1"/>
  <c r="G15" i="2"/>
  <c r="J15" i="2" s="1"/>
  <c r="G14" i="2"/>
  <c r="J14" i="2" s="1"/>
  <c r="G13" i="2"/>
  <c r="J13" i="2" s="1"/>
  <c r="G12" i="2"/>
  <c r="J12" i="2" s="1"/>
  <c r="G11" i="2"/>
  <c r="J11" i="2" s="1"/>
  <c r="G10" i="2"/>
  <c r="J10" i="2" s="1"/>
  <c r="G9" i="2"/>
  <c r="J9" i="2" s="1"/>
  <c r="G8" i="2"/>
  <c r="J8" i="2" s="1"/>
  <c r="E20" i="2"/>
  <c r="H20" i="2" s="1"/>
  <c r="E19" i="2"/>
  <c r="H19" i="2" s="1"/>
  <c r="E18" i="2"/>
  <c r="H18" i="2" s="1"/>
  <c r="E17" i="2"/>
  <c r="H17" i="2" s="1"/>
  <c r="E16" i="2"/>
  <c r="H16" i="2" s="1"/>
  <c r="E15" i="2"/>
  <c r="H15" i="2" s="1"/>
  <c r="E14" i="2"/>
  <c r="H14" i="2" s="1"/>
  <c r="E13" i="2"/>
  <c r="H13" i="2" s="1"/>
  <c r="E12" i="2"/>
  <c r="H12" i="2" s="1"/>
  <c r="E11" i="2"/>
  <c r="H11" i="2" s="1"/>
  <c r="E10" i="2"/>
  <c r="H10" i="2" s="1"/>
  <c r="E9" i="2"/>
  <c r="H9" i="2" s="1"/>
  <c r="F20" i="2"/>
  <c r="I20" i="2" s="1"/>
  <c r="F19" i="2"/>
  <c r="I19" i="2" s="1"/>
  <c r="F18" i="2"/>
  <c r="I18" i="2" s="1"/>
  <c r="F17" i="2"/>
  <c r="I17" i="2" s="1"/>
  <c r="F16" i="2"/>
  <c r="I16" i="2" s="1"/>
  <c r="F15" i="2"/>
  <c r="I15" i="2" s="1"/>
  <c r="F14" i="2"/>
  <c r="I14" i="2" s="1"/>
  <c r="F13" i="2"/>
  <c r="I13" i="2" s="1"/>
  <c r="F12" i="2"/>
  <c r="I12" i="2" s="1"/>
  <c r="F11" i="2"/>
  <c r="I11" i="2" s="1"/>
  <c r="F10" i="2"/>
  <c r="I10" i="2" s="1"/>
  <c r="F8" i="2"/>
  <c r="I8" i="2" s="1"/>
  <c r="F9" i="2"/>
  <c r="I9" i="2" s="1"/>
  <c r="E8" i="2"/>
  <c r="H8" i="2" s="1"/>
  <c r="F7" i="2"/>
  <c r="I7" i="2" s="1"/>
  <c r="G7" i="2"/>
  <c r="J7" i="2" s="1"/>
  <c r="E7" i="2"/>
  <c r="H7" i="2" s="1"/>
  <c r="G6" i="2"/>
  <c r="J6" i="2" s="1"/>
  <c r="F6" i="2"/>
  <c r="I6" i="2" s="1"/>
  <c r="E6" i="2"/>
  <c r="H6" i="2" s="1"/>
  <c r="G5" i="2"/>
  <c r="J5" i="2" s="1"/>
  <c r="F5" i="2"/>
  <c r="E5" i="2"/>
  <c r="H5" i="2" s="1"/>
  <c r="G4" i="2"/>
  <c r="J4" i="2" s="1"/>
  <c r="F4" i="2"/>
  <c r="I4" i="2" s="1"/>
  <c r="E4" i="2"/>
  <c r="H4" i="2" s="1"/>
  <c r="AL14" i="2" l="1"/>
  <c r="AK14" i="2"/>
  <c r="Y6" i="2"/>
  <c r="X6" i="2"/>
  <c r="AL10" i="2"/>
  <c r="AL21" i="2"/>
  <c r="AK21" i="2"/>
  <c r="X13" i="2"/>
  <c r="Y13" i="2"/>
  <c r="AL16" i="2"/>
  <c r="AK16" i="2"/>
  <c r="AK9" i="2"/>
  <c r="AL9" i="2"/>
  <c r="Y18" i="2"/>
  <c r="X18" i="2"/>
  <c r="X14" i="2"/>
  <c r="Y14" i="2"/>
  <c r="AK4" i="2"/>
  <c r="AL4" i="2"/>
  <c r="AL20" i="2"/>
  <c r="AK20" i="2"/>
  <c r="Y12" i="2"/>
  <c r="X12" i="2"/>
  <c r="Y19" i="2"/>
  <c r="X19" i="2"/>
  <c r="AL11" i="2"/>
  <c r="AK11" i="2"/>
  <c r="AK6" i="2"/>
  <c r="AL6" i="2"/>
  <c r="Y9" i="2"/>
  <c r="X9" i="2"/>
  <c r="AL17" i="2"/>
  <c r="AK17" i="2"/>
  <c r="Y17" i="2"/>
  <c r="X17" i="2"/>
  <c r="Y7" i="2"/>
  <c r="X7" i="2"/>
  <c r="AL12" i="2"/>
  <c r="AK12" i="2"/>
  <c r="Y4" i="2"/>
  <c r="AL7" i="2"/>
  <c r="AK7" i="2"/>
  <c r="AL15" i="2"/>
  <c r="AK15" i="2"/>
  <c r="Y21" i="2"/>
  <c r="X21" i="2"/>
  <c r="AL13" i="2"/>
  <c r="AK13" i="2"/>
  <c r="AL5" i="2"/>
  <c r="AK5" i="2"/>
  <c r="X15" i="2"/>
  <c r="Y15" i="2"/>
  <c r="Y10" i="2"/>
  <c r="X10" i="2"/>
  <c r="Y5" i="2"/>
  <c r="X5" i="2"/>
  <c r="AK8" i="2"/>
  <c r="AL8" i="2"/>
  <c r="Y8" i="2"/>
  <c r="X8" i="2"/>
  <c r="AL18" i="2"/>
  <c r="AK18" i="2"/>
  <c r="Y16" i="2"/>
  <c r="X16" i="2"/>
  <c r="Y11" i="2"/>
  <c r="X11" i="2"/>
  <c r="AL19" i="2"/>
  <c r="AK19" i="2"/>
  <c r="X22" i="2"/>
  <c r="X20" i="2"/>
  <c r="AK10" i="2"/>
  <c r="L6" i="2"/>
  <c r="K6" i="2"/>
  <c r="L17" i="2"/>
  <c r="K17" i="2"/>
  <c r="L5" i="2"/>
  <c r="K5" i="2"/>
  <c r="L10" i="2"/>
  <c r="K10" i="2"/>
  <c r="K14" i="2"/>
  <c r="L14" i="2"/>
  <c r="K18" i="2"/>
  <c r="L18" i="2"/>
  <c r="K21" i="2"/>
  <c r="L21" i="2"/>
  <c r="K13" i="2"/>
  <c r="L13" i="2"/>
  <c r="K4" i="2"/>
  <c r="L4" i="2"/>
  <c r="K8" i="2"/>
  <c r="L8" i="2"/>
  <c r="L22" i="2"/>
  <c r="K22" i="2"/>
  <c r="K9" i="2"/>
  <c r="L9" i="2"/>
  <c r="L12" i="2"/>
  <c r="K12" i="2"/>
  <c r="L16" i="2"/>
  <c r="K16" i="2"/>
  <c r="K20" i="2"/>
  <c r="L20" i="2"/>
  <c r="K19" i="2"/>
  <c r="K7" i="2"/>
  <c r="K15" i="2"/>
  <c r="K11" i="2"/>
  <c r="L19" i="2"/>
  <c r="L15" i="2"/>
  <c r="L11" i="2"/>
  <c r="L7" i="2"/>
  <c r="AA2" i="1" l="1"/>
  <c r="Y2" i="1"/>
  <c r="AJ6" i="1" s="1"/>
  <c r="AK14" i="1" l="1"/>
  <c r="AB13" i="1"/>
  <c r="AL12" i="1"/>
  <c r="AA14" i="1"/>
  <c r="AL14" i="1"/>
  <c r="AU13" i="1"/>
  <c r="AK13" i="1"/>
  <c r="AT13" i="1"/>
  <c r="AK12" i="1"/>
  <c r="Z13" i="1"/>
  <c r="AT14" i="1"/>
  <c r="AJ12" i="1"/>
  <c r="Z14" i="1"/>
  <c r="AU14" i="1"/>
  <c r="AT12" i="1"/>
  <c r="AL13" i="1"/>
  <c r="AN13" i="1" s="1"/>
  <c r="AU12" i="1"/>
  <c r="AB14" i="1"/>
  <c r="AJ13" i="1"/>
  <c r="AA13" i="1"/>
  <c r="AB12" i="1"/>
  <c r="AA12" i="1"/>
  <c r="AJ14" i="1"/>
  <c r="Z12" i="1"/>
  <c r="AK6" i="1"/>
  <c r="AM6" i="1" s="1"/>
  <c r="AL5" i="1"/>
  <c r="AK5" i="1"/>
  <c r="AJ7" i="1"/>
  <c r="AM7" i="1" s="1"/>
  <c r="AL6" i="1"/>
  <c r="AJ5" i="1"/>
  <c r="AN5" i="1" s="1"/>
  <c r="AL7" i="1"/>
  <c r="AK7" i="1"/>
  <c r="AT7" i="1"/>
  <c r="Z5" i="1"/>
  <c r="AA5" i="1"/>
  <c r="AB7" i="1"/>
  <c r="AB6" i="1"/>
  <c r="AT6" i="1"/>
  <c r="AU6" i="1"/>
  <c r="AA7" i="1"/>
  <c r="AA6" i="1"/>
  <c r="AU5" i="1"/>
  <c r="AT5" i="1"/>
  <c r="Z7" i="1"/>
  <c r="AD7" i="1" s="1"/>
  <c r="AB5" i="1"/>
  <c r="Z6" i="1"/>
  <c r="AD6" i="1" s="1"/>
  <c r="AU7" i="1"/>
  <c r="AN6" i="1"/>
  <c r="O13" i="1"/>
  <c r="P12" i="1"/>
  <c r="F13" i="1"/>
  <c r="J13" i="1" s="1"/>
  <c r="G13" i="1"/>
  <c r="H13" i="1"/>
  <c r="F14" i="1"/>
  <c r="G14" i="1"/>
  <c r="H10" i="1"/>
  <c r="P13" i="1" s="1"/>
  <c r="P7" i="1"/>
  <c r="Q7" i="1"/>
  <c r="R7" i="1"/>
  <c r="Q5" i="1"/>
  <c r="R5" i="1"/>
  <c r="P5" i="1"/>
  <c r="T5" i="1" s="1"/>
  <c r="F6" i="1"/>
  <c r="L1" i="1"/>
  <c r="P6" i="1" s="1"/>
  <c r="F1" i="1"/>
  <c r="AD14" i="1" l="1"/>
  <c r="AC14" i="1"/>
  <c r="AM12" i="1"/>
  <c r="AN12" i="1"/>
  <c r="AW12" i="1"/>
  <c r="AX12" i="1"/>
  <c r="AM5" i="1"/>
  <c r="AW14" i="1"/>
  <c r="AX14" i="1"/>
  <c r="R13" i="1"/>
  <c r="AC13" i="1"/>
  <c r="AD13" i="1"/>
  <c r="J6" i="1"/>
  <c r="I13" i="1"/>
  <c r="O12" i="1"/>
  <c r="AC12" i="1"/>
  <c r="AD12" i="1"/>
  <c r="AX13" i="1"/>
  <c r="AW13" i="1"/>
  <c r="R6" i="1"/>
  <c r="Q6" i="1"/>
  <c r="S6" i="1" s="1"/>
  <c r="Q12" i="1"/>
  <c r="AN14" i="1"/>
  <c r="AM14" i="1"/>
  <c r="AW6" i="1"/>
  <c r="AX6" i="1"/>
  <c r="T7" i="1"/>
  <c r="AN7" i="1"/>
  <c r="S7" i="1"/>
  <c r="F12" i="1"/>
  <c r="P14" i="1"/>
  <c r="O14" i="1"/>
  <c r="AC6" i="1"/>
  <c r="AM13" i="1"/>
  <c r="AX5" i="1"/>
  <c r="AW5" i="1"/>
  <c r="G7" i="1"/>
  <c r="F7" i="1"/>
  <c r="H7" i="1"/>
  <c r="H5" i="1"/>
  <c r="G5" i="1"/>
  <c r="F5" i="1"/>
  <c r="I5" i="1" s="1"/>
  <c r="Q14" i="1"/>
  <c r="G12" i="1"/>
  <c r="Q13" i="1"/>
  <c r="S13" i="1" s="1"/>
  <c r="AC7" i="1"/>
  <c r="AC5" i="1"/>
  <c r="AD5" i="1"/>
  <c r="H12" i="1"/>
  <c r="H6" i="1"/>
  <c r="G6" i="1"/>
  <c r="H14" i="1"/>
  <c r="J14" i="1" s="1"/>
  <c r="AX7" i="1"/>
  <c r="AW7" i="1"/>
  <c r="S5" i="1"/>
  <c r="T6" i="1"/>
  <c r="I6" i="1"/>
  <c r="J5" i="1"/>
  <c r="J7" i="1"/>
  <c r="I7" i="1" l="1"/>
  <c r="I14" i="1"/>
  <c r="R14" i="1"/>
  <c r="S14" i="1"/>
  <c r="J12" i="1"/>
  <c r="I12" i="1"/>
  <c r="S12" i="1"/>
  <c r="R12" i="1"/>
</calcChain>
</file>

<file path=xl/sharedStrings.xml><?xml version="1.0" encoding="utf-8"?>
<sst xmlns="http://schemas.openxmlformats.org/spreadsheetml/2006/main" count="147" uniqueCount="65">
  <si>
    <t>su</t>
  </si>
  <si>
    <t>sf</t>
  </si>
  <si>
    <t>%</t>
  </si>
  <si>
    <t>avg</t>
  </si>
  <si>
    <t>std error</t>
  </si>
  <si>
    <t>std eror</t>
  </si>
  <si>
    <t>hemolysis</t>
  </si>
  <si>
    <t>blood clotting</t>
  </si>
  <si>
    <t>kan</t>
  </si>
  <si>
    <t>AVG</t>
  </si>
  <si>
    <t>STD ER</t>
  </si>
  <si>
    <t>ta-cb</t>
  </si>
  <si>
    <t>std er</t>
  </si>
  <si>
    <t>ta-ibu</t>
  </si>
  <si>
    <t>ta-ibu-cb</t>
  </si>
  <si>
    <t>TA bozunma</t>
  </si>
  <si>
    <t>TA-ÇB fiber</t>
  </si>
  <si>
    <t>1 (32,3 mg)</t>
  </si>
  <si>
    <t>2 (32,9 mg)</t>
  </si>
  <si>
    <t>3 (31,2 mg)</t>
  </si>
  <si>
    <t>time (h)</t>
  </si>
  <si>
    <t>conc</t>
  </si>
  <si>
    <t>TA-ibu-ÇB fiber</t>
  </si>
  <si>
    <t>time(h)</t>
  </si>
  <si>
    <t>TA ibu</t>
  </si>
  <si>
    <t xml:space="preserve">TA </t>
  </si>
  <si>
    <t>Anti-oxidant</t>
  </si>
  <si>
    <t>TA Fiber</t>
  </si>
  <si>
    <t>eğim</t>
  </si>
  <si>
    <t>TEAC</t>
  </si>
  <si>
    <t>10mg/40mL</t>
  </si>
  <si>
    <t>250mg/L</t>
  </si>
  <si>
    <t>TA-ÇB</t>
  </si>
  <si>
    <t>ABTS</t>
  </si>
  <si>
    <t>FC Test</t>
  </si>
  <si>
    <t>170 ppm</t>
  </si>
  <si>
    <t>1000mmol</t>
  </si>
  <si>
    <t xml:space="preserve">TA-Ibu </t>
  </si>
  <si>
    <t>TA-ibu cb</t>
  </si>
  <si>
    <t>Avg</t>
  </si>
  <si>
    <t xml:space="preserve"> std er</t>
  </si>
  <si>
    <t xml:space="preserve">avg </t>
  </si>
  <si>
    <t>0.5</t>
  </si>
  <si>
    <t xml:space="preserve">conc </t>
  </si>
  <si>
    <t>CS/CR/Cur</t>
  </si>
  <si>
    <t>20,2 mg</t>
  </si>
  <si>
    <t>20,4 mg</t>
  </si>
  <si>
    <t>floresans</t>
  </si>
  <si>
    <t>uv-vis</t>
  </si>
  <si>
    <t>time</t>
  </si>
  <si>
    <t>mg</t>
  </si>
  <si>
    <t>ppm</t>
  </si>
  <si>
    <t>cur miktar</t>
  </si>
  <si>
    <t xml:space="preserve">TA Particles </t>
  </si>
  <si>
    <t>100X</t>
  </si>
  <si>
    <t xml:space="preserve">STD </t>
  </si>
  <si>
    <t xml:space="preserve">AVG </t>
  </si>
  <si>
    <t xml:space="preserve">% </t>
  </si>
  <si>
    <t xml:space="preserve">50X </t>
  </si>
  <si>
    <t>200X</t>
  </si>
  <si>
    <t>Catechiin</t>
  </si>
  <si>
    <t>std</t>
  </si>
  <si>
    <t>abts</t>
  </si>
  <si>
    <t>catechin</t>
  </si>
  <si>
    <t>teac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</si>
</sst>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162"/>
      <scheme val="minor"/>
    </font>
    <font>
      <strike/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9" fontId="0" fillId="0" borderId="0" xfId="0" applyNumberFormat="1"/>
    <xf numFmtId="0" fontId="0" fillId="2" borderId="0" xfId="0" applyFill="1"/>
    <xf numFmtId="0" fontId="0" fillId="0" borderId="0" xfId="0" applyFill="1"/>
    <xf numFmtId="0" fontId="1" fillId="0" borderId="0" xfId="0" applyFont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917490660012552"/>
          <c:y val="0.22767593154977586"/>
          <c:w val="0.8300279907524919"/>
          <c:h val="0.6228720226867267"/>
        </c:manualLayout>
      </c:layout>
      <c:barChart>
        <c:barDir val="col"/>
        <c:grouping val="clustered"/>
        <c:varyColors val="0"/>
        <c:ser>
          <c:idx val="0"/>
          <c:order val="0"/>
          <c:tx>
            <c:v>TA Fiber</c:v>
          </c:tx>
          <c:spPr>
            <a:pattFill prst="pct20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Sheet1!$J$5:$J$7</c:f>
                <c:numCache>
                  <c:formatCode>General</c:formatCode>
                  <c:ptCount val="3"/>
                  <c:pt idx="0">
                    <c:v>0.23556425695072589</c:v>
                  </c:pt>
                  <c:pt idx="1">
                    <c:v>0.42894624289758299</c:v>
                  </c:pt>
                  <c:pt idx="2">
                    <c:v>0.14298208096586096</c:v>
                  </c:pt>
                </c:numCache>
              </c:numRef>
            </c:plus>
            <c:minus>
              <c:numRef>
                <c:f>Sheet1!$J$5:$J$7</c:f>
                <c:numCache>
                  <c:formatCode>General</c:formatCode>
                  <c:ptCount val="3"/>
                  <c:pt idx="0">
                    <c:v>0.23556425695072589</c:v>
                  </c:pt>
                  <c:pt idx="1">
                    <c:v>0.42894624289758299</c:v>
                  </c:pt>
                  <c:pt idx="2">
                    <c:v>0.14298208096586096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Sheet1!$B$5:$B$7</c:f>
              <c:strCache>
                <c:ptCount val="3"/>
                <c:pt idx="0">
                  <c:v>0.5</c:v>
                </c:pt>
                <c:pt idx="1">
                  <c:v>1</c:v>
                </c:pt>
                <c:pt idx="2">
                  <c:v>2</c:v>
                </c:pt>
              </c:strCache>
            </c:strRef>
          </c:cat>
          <c:val>
            <c:numRef>
              <c:f>Sheet1!$I$5:$I$7</c:f>
              <c:numCache>
                <c:formatCode>General</c:formatCode>
                <c:ptCount val="3"/>
                <c:pt idx="0">
                  <c:v>0.62402496099844007</c:v>
                </c:pt>
                <c:pt idx="1">
                  <c:v>1.435257410296412</c:v>
                </c:pt>
                <c:pt idx="2">
                  <c:v>1.185647425897036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41-43C3-A708-C3C7DD582E28}"/>
            </c:ext>
          </c:extLst>
        </c:ser>
        <c:ser>
          <c:idx val="1"/>
          <c:order val="1"/>
          <c:tx>
            <c:v>Crosslinked TA Fiber</c:v>
          </c:tx>
          <c:spPr>
            <a:pattFill prst="wdDn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>
                  <a:alpha val="73000"/>
                </a:schemeClr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Sheet1!$AD$5:$AD$7</c:f>
                <c:numCache>
                  <c:formatCode>General</c:formatCode>
                  <c:ptCount val="3"/>
                  <c:pt idx="0">
                    <c:v>3.8190324110684588</c:v>
                  </c:pt>
                  <c:pt idx="1">
                    <c:v>2.7227267773680435</c:v>
                  </c:pt>
                  <c:pt idx="2">
                    <c:v>6.3140557393464203</c:v>
                  </c:pt>
                </c:numCache>
              </c:numRef>
            </c:plus>
            <c:minus>
              <c:numRef>
                <c:f>Sheet1!$AD$5:$AD$7</c:f>
                <c:numCache>
                  <c:formatCode>General</c:formatCode>
                  <c:ptCount val="3"/>
                  <c:pt idx="0">
                    <c:v>3.8190324110684588</c:v>
                  </c:pt>
                  <c:pt idx="1">
                    <c:v>2.7227267773680435</c:v>
                  </c:pt>
                  <c:pt idx="2">
                    <c:v>6.3140557393464203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Sheet1!$B$5:$B$7</c:f>
              <c:strCache>
                <c:ptCount val="3"/>
                <c:pt idx="0">
                  <c:v>0.5</c:v>
                </c:pt>
                <c:pt idx="1">
                  <c:v>1</c:v>
                </c:pt>
                <c:pt idx="2">
                  <c:v>2</c:v>
                </c:pt>
              </c:strCache>
            </c:strRef>
          </c:cat>
          <c:val>
            <c:numRef>
              <c:f>Sheet1!$AC$5:$AC$7</c:f>
              <c:numCache>
                <c:formatCode>General</c:formatCode>
                <c:ptCount val="3"/>
                <c:pt idx="0">
                  <c:v>14.852492370295016</c:v>
                </c:pt>
                <c:pt idx="1">
                  <c:v>16.954899966090199</c:v>
                </c:pt>
                <c:pt idx="2">
                  <c:v>28.958969142082065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41-43C3-A708-C3C7DD582E28}"/>
            </c:ext>
          </c:extLst>
        </c:ser>
        <c:ser>
          <c:idx val="2"/>
          <c:order val="2"/>
          <c:tx>
            <c:v>TA-Ibu Fiber</c:v>
          </c:tx>
          <c:spPr>
            <a:pattFill prst="pct90">
              <a:fgClr>
                <a:schemeClr val="tx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Sheet1!$B$5:$B$7</c:f>
              <c:strCache>
                <c:ptCount val="3"/>
                <c:pt idx="0">
                  <c:v>0.5</c:v>
                </c:pt>
                <c:pt idx="1">
                  <c:v>1</c:v>
                </c:pt>
                <c:pt idx="2">
                  <c:v>2</c:v>
                </c:pt>
              </c:strCache>
            </c:strRef>
          </c:cat>
          <c:val>
            <c:numRef>
              <c:f>Sheet1!$AM$5:$AM$7</c:f>
              <c:numCache>
                <c:formatCode>General</c:formatCode>
                <c:ptCount val="3"/>
                <c:pt idx="0">
                  <c:v>0.61037639877924699</c:v>
                </c:pt>
                <c:pt idx="1">
                  <c:v>0.71210579857578837</c:v>
                </c:pt>
                <c:pt idx="2">
                  <c:v>0.81383519837232932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41-43C3-A708-C3C7DD582E28}"/>
            </c:ext>
          </c:extLst>
        </c:ser>
        <c:ser>
          <c:idx val="3"/>
          <c:order val="3"/>
          <c:tx>
            <c:v>Crosslinked TA-Ibu Fiber</c:v>
          </c:tx>
          <c:spPr>
            <a:pattFill prst="ltHorz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Sheet1!$AX$5:$AX$7</c:f>
                <c:numCache>
                  <c:formatCode>General</c:formatCode>
                  <c:ptCount val="3"/>
                  <c:pt idx="0">
                    <c:v>3.7405445189929236</c:v>
                  </c:pt>
                  <c:pt idx="1">
                    <c:v>2.3738070985916573</c:v>
                  </c:pt>
                  <c:pt idx="2">
                    <c:v>5.3230825847206988</c:v>
                  </c:pt>
                </c:numCache>
              </c:numRef>
            </c:plus>
            <c:minus>
              <c:numRef>
                <c:f>Sheet1!$AX$5:$AX$7</c:f>
                <c:numCache>
                  <c:formatCode>General</c:formatCode>
                  <c:ptCount val="3"/>
                  <c:pt idx="0">
                    <c:v>3.7405445189929236</c:v>
                  </c:pt>
                  <c:pt idx="1">
                    <c:v>2.3738070985916573</c:v>
                  </c:pt>
                  <c:pt idx="2">
                    <c:v>5.3230825847206988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Sheet1!$AW$5:$AW$7</c:f>
              <c:numCache>
                <c:formatCode>General</c:formatCode>
                <c:ptCount val="3"/>
                <c:pt idx="0">
                  <c:v>8.6809087826381841</c:v>
                </c:pt>
                <c:pt idx="1">
                  <c:v>15.751102068497797</c:v>
                </c:pt>
                <c:pt idx="2">
                  <c:v>26.788741946422519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641-43C3-A708-C3C7DD582E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163567"/>
        <c:axId val="134547567"/>
      </c:barChart>
      <c:catAx>
        <c:axId val="1751635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tr-TR"/>
                  <a:t>Concentration</a:t>
                </a:r>
                <a:r>
                  <a:rPr lang="tr-TR" baseline="0"/>
                  <a:t> (mg/mL)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4547567"/>
        <c:crosses val="autoZero"/>
        <c:auto val="1"/>
        <c:lblAlgn val="ctr"/>
        <c:lblOffset val="100"/>
        <c:noMultiLvlLbl val="0"/>
      </c:catAx>
      <c:valAx>
        <c:axId val="134547567"/>
        <c:scaling>
          <c:orientation val="minMax"/>
          <c:max val="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tr-TR"/>
                  <a:t>Hemolysis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5163567"/>
        <c:crosses val="autoZero"/>
        <c:crossBetween val="between"/>
        <c:majorUnit val="20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10877880559709231"/>
          <c:y val="5.5512342663223795E-2"/>
          <c:w val="0.88025526543376842"/>
          <c:h val="0.173619485959040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Sheet3!$AF$3:$AF$5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15</c:v>
                </c:pt>
              </c:numCache>
            </c:numRef>
          </c:xVal>
          <c:yVal>
            <c:numRef>
              <c:f>Sheet3!$AH$3:$AH$5</c:f>
              <c:numCache>
                <c:formatCode>General</c:formatCode>
                <c:ptCount val="3"/>
                <c:pt idx="0">
                  <c:v>24.033149171270711</c:v>
                </c:pt>
                <c:pt idx="1">
                  <c:v>32.41379310344827</c:v>
                </c:pt>
                <c:pt idx="2">
                  <c:v>43.654114365411431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B9-452E-8E1A-EF7A40BE9831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8197725284339461E-4"/>
                  <c:y val="-8.062992125984251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Sheet3!$AF$3:$AF$5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15</c:v>
                </c:pt>
              </c:numCache>
            </c:numRef>
          </c:xVal>
          <c:yVal>
            <c:numRef>
              <c:f>Sheet3!$AG$3:$AG$5</c:f>
              <c:numCache>
                <c:formatCode>General</c:formatCode>
                <c:ptCount val="3"/>
                <c:pt idx="0">
                  <c:v>24.066390041493769</c:v>
                </c:pt>
                <c:pt idx="1">
                  <c:v>38.503401360544217</c:v>
                </c:pt>
                <c:pt idx="2">
                  <c:v>42.738589211618262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8B9-452E-8E1A-EF7A40BE98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6515679"/>
        <c:axId val="1400227231"/>
      </c:scatterChart>
      <c:valAx>
        <c:axId val="1396515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227231"/>
        <c:crosses val="autoZero"/>
        <c:crossBetween val="midCat"/>
      </c:valAx>
      <c:valAx>
        <c:axId val="1400227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65156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Sheet3!$H$13:$H$15</c:f>
              <c:numCache>
                <c:formatCode>General</c:formatCode>
                <c:ptCount val="3"/>
                <c:pt idx="0">
                  <c:v>10</c:v>
                </c:pt>
                <c:pt idx="1">
                  <c:v>12.5</c:v>
                </c:pt>
                <c:pt idx="2">
                  <c:v>15</c:v>
                </c:pt>
              </c:numCache>
            </c:numRef>
          </c:xVal>
          <c:yVal>
            <c:numRef>
              <c:f>Sheet3!$I$13:$I$15</c:f>
              <c:numCache>
                <c:formatCode>General</c:formatCode>
                <c:ptCount val="3"/>
                <c:pt idx="0">
                  <c:v>37.857142857142854</c:v>
                </c:pt>
                <c:pt idx="1">
                  <c:v>47.681159420289852</c:v>
                </c:pt>
                <c:pt idx="2">
                  <c:v>62.054208273894432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94-44F5-B4E8-76BE274C547D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Sheet3!$H$13:$H$15</c:f>
              <c:numCache>
                <c:formatCode>General</c:formatCode>
                <c:ptCount val="3"/>
                <c:pt idx="0">
                  <c:v>10</c:v>
                </c:pt>
                <c:pt idx="1">
                  <c:v>12.5</c:v>
                </c:pt>
                <c:pt idx="2">
                  <c:v>15</c:v>
                </c:pt>
              </c:numCache>
            </c:numRef>
          </c:xVal>
          <c:yVal>
            <c:numRef>
              <c:f>Sheet3!$J$13:$J$15</c:f>
              <c:numCache>
                <c:formatCode>General</c:formatCode>
                <c:ptCount val="3"/>
                <c:pt idx="0">
                  <c:v>42.060085836909863</c:v>
                </c:pt>
                <c:pt idx="1">
                  <c:v>48.62518089725036</c:v>
                </c:pt>
                <c:pt idx="2">
                  <c:v>67.617689015691866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F94-44F5-B4E8-76BE274C54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4441808"/>
        <c:axId val="444445136"/>
      </c:scatterChart>
      <c:valAx>
        <c:axId val="444441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445136"/>
        <c:crosses val="autoZero"/>
        <c:crossBetween val="midCat"/>
      </c:valAx>
      <c:valAx>
        <c:axId val="44444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441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Sheet4!$H$3:$H$13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8</c:v>
                </c:pt>
                <c:pt idx="8">
                  <c:v>25</c:v>
                </c:pt>
                <c:pt idx="9">
                  <c:v>32</c:v>
                </c:pt>
                <c:pt idx="10">
                  <c:v>50</c:v>
                </c:pt>
              </c:numCache>
            </c:numRef>
          </c:xVal>
          <c:yVal>
            <c:numRef>
              <c:f>Sheet4!$K$3:$K$13</c:f>
              <c:numCache>
                <c:formatCode>General</c:formatCode>
                <c:ptCount val="11"/>
                <c:pt idx="0">
                  <c:v>0</c:v>
                </c:pt>
                <c:pt idx="1">
                  <c:v>1.3732163657542225</c:v>
                </c:pt>
                <c:pt idx="2">
                  <c:v>5.286953989516598</c:v>
                </c:pt>
                <c:pt idx="3">
                  <c:v>6.623085808580857</c:v>
                </c:pt>
                <c:pt idx="4">
                  <c:v>8.1873810910502804</c:v>
                </c:pt>
                <c:pt idx="5">
                  <c:v>9.3755449184624347</c:v>
                </c:pt>
                <c:pt idx="6">
                  <c:v>10.859744831100757</c:v>
                </c:pt>
                <c:pt idx="7">
                  <c:v>11.934049213744903</c:v>
                </c:pt>
                <c:pt idx="8">
                  <c:v>13.52267520869734</c:v>
                </c:pt>
                <c:pt idx="9">
                  <c:v>13.52267520869734</c:v>
                </c:pt>
                <c:pt idx="10">
                  <c:v>13.52267520869734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11-497C-9D9E-8D117A8941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698687"/>
        <c:axId val="1328699103"/>
      </c:scatterChart>
      <c:valAx>
        <c:axId val="1328698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699103"/>
        <c:crosses val="autoZero"/>
        <c:crossBetween val="midCat"/>
      </c:valAx>
      <c:valAx>
        <c:axId val="13286991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6986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Sheet4!$A$3:$A$13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8</c:v>
                </c:pt>
                <c:pt idx="8">
                  <c:v>25</c:v>
                </c:pt>
                <c:pt idx="9">
                  <c:v>32</c:v>
                </c:pt>
                <c:pt idx="10">
                  <c:v>50</c:v>
                </c:pt>
              </c:numCache>
            </c:numRef>
          </c:xVal>
          <c:yVal>
            <c:numRef>
              <c:f>Sheet4!$D$3:$D$13</c:f>
              <c:numCache>
                <c:formatCode>General</c:formatCode>
                <c:ptCount val="11"/>
                <c:pt idx="0">
                  <c:v>0</c:v>
                </c:pt>
                <c:pt idx="1">
                  <c:v>0.49461269656377405</c:v>
                </c:pt>
                <c:pt idx="2">
                  <c:v>3.1292952824694238</c:v>
                </c:pt>
                <c:pt idx="3">
                  <c:v>3.4543729372937291</c:v>
                </c:pt>
                <c:pt idx="4">
                  <c:v>3.8331100757134537</c:v>
                </c:pt>
                <c:pt idx="5">
                  <c:v>4.7898223645894005</c:v>
                </c:pt>
                <c:pt idx="6">
                  <c:v>5.1473937099592311</c:v>
                </c:pt>
                <c:pt idx="7">
                  <c:v>7.3470952242283047</c:v>
                </c:pt>
                <c:pt idx="8">
                  <c:v>7.8898466317219969</c:v>
                </c:pt>
                <c:pt idx="9">
                  <c:v>8.4413997282081148</c:v>
                </c:pt>
                <c:pt idx="10">
                  <c:v>8.4345369831100765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42-452F-8EC3-A0330C1DB3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4147519"/>
        <c:axId val="1333412095"/>
      </c:scatterChart>
      <c:valAx>
        <c:axId val="1244147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3412095"/>
        <c:crosses val="autoZero"/>
        <c:crossBetween val="midCat"/>
      </c:valAx>
      <c:valAx>
        <c:axId val="13334120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4147519"/>
        <c:crosses val="autoZero"/>
        <c:crossBetween val="midCat"/>
      </c:valAx>
      <c:spPr>
        <a:noFill/>
        <a:ln>
          <a:solidFill>
            <a:schemeClr val="accent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056826056826058"/>
          <c:y val="0.13885632639115378"/>
          <c:w val="0.81507969507969513"/>
          <c:h val="0.70304865737936606"/>
        </c:manualLayout>
      </c:layout>
      <c:scatterChart>
        <c:scatterStyle val="lineMarker"/>
        <c:varyColors val="0"/>
        <c:ser>
          <c:idx val="0"/>
          <c:order val="0"/>
          <c:tx>
            <c:v>UV-Vis Spectroscopy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Sheet4!$L$4:$L$13</c:f>
                <c:numCache>
                  <c:formatCode>General</c:formatCode>
                  <c:ptCount val="10"/>
                  <c:pt idx="0">
                    <c:v>8.898549664815561E-2</c:v>
                  </c:pt>
                  <c:pt idx="1">
                    <c:v>2.3357997912253108</c:v>
                  </c:pt>
                  <c:pt idx="2">
                    <c:v>3.0637793322797342</c:v>
                  </c:pt>
                  <c:pt idx="3">
                    <c:v>2.5149829283534797</c:v>
                  </c:pt>
                  <c:pt idx="4">
                    <c:v>1.1534586707053878</c:v>
                  </c:pt>
                  <c:pt idx="5">
                    <c:v>2.6102149810479216</c:v>
                  </c:pt>
                  <c:pt idx="6">
                    <c:v>2.2372722653866619</c:v>
                  </c:pt>
                  <c:pt idx="7">
                    <c:v>0.70276887121071785</c:v>
                  </c:pt>
                  <c:pt idx="8">
                    <c:v>0.70276887121071785</c:v>
                  </c:pt>
                  <c:pt idx="9">
                    <c:v>0.70276887121071785</c:v>
                  </c:pt>
                </c:numCache>
              </c:numRef>
            </c:plus>
            <c:minus>
              <c:numRef>
                <c:f>Sheet4!$L$4:$L$13</c:f>
                <c:numCache>
                  <c:formatCode>General</c:formatCode>
                  <c:ptCount val="10"/>
                  <c:pt idx="0">
                    <c:v>8.898549664815561E-2</c:v>
                  </c:pt>
                  <c:pt idx="1">
                    <c:v>2.3357997912253108</c:v>
                  </c:pt>
                  <c:pt idx="2">
                    <c:v>3.0637793322797342</c:v>
                  </c:pt>
                  <c:pt idx="3">
                    <c:v>2.5149829283534797</c:v>
                  </c:pt>
                  <c:pt idx="4">
                    <c:v>1.1534586707053878</c:v>
                  </c:pt>
                  <c:pt idx="5">
                    <c:v>2.6102149810479216</c:v>
                  </c:pt>
                  <c:pt idx="6">
                    <c:v>2.2372722653866619</c:v>
                  </c:pt>
                  <c:pt idx="7">
                    <c:v>0.70276887121071785</c:v>
                  </c:pt>
                  <c:pt idx="8">
                    <c:v>0.70276887121071785</c:v>
                  </c:pt>
                  <c:pt idx="9">
                    <c:v>0.70276887121071785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Sheet4!$A$4:$A$13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8</c:v>
                </c:pt>
                <c:pt idx="7">
                  <c:v>25</c:v>
                </c:pt>
                <c:pt idx="8">
                  <c:v>32</c:v>
                </c:pt>
                <c:pt idx="9">
                  <c:v>50</c:v>
                </c:pt>
              </c:numCache>
            </c:numRef>
          </c:xVal>
          <c:yVal>
            <c:numRef>
              <c:f>Sheet4!$M$4:$M$13</c:f>
              <c:numCache>
                <c:formatCode>General</c:formatCode>
                <c:ptCount val="10"/>
                <c:pt idx="0">
                  <c:v>2.23287213943776</c:v>
                </c:pt>
                <c:pt idx="1">
                  <c:v>8.5966731536855256</c:v>
                </c:pt>
                <c:pt idx="2">
                  <c:v>10.769245217204647</c:v>
                </c:pt>
                <c:pt idx="3">
                  <c:v>13.312814782195577</c:v>
                </c:pt>
                <c:pt idx="4">
                  <c:v>15.24478848530477</c:v>
                </c:pt>
                <c:pt idx="5">
                  <c:v>17.658121676586596</c:v>
                </c:pt>
                <c:pt idx="6">
                  <c:v>19.404958071129922</c:v>
                </c:pt>
                <c:pt idx="7">
                  <c:v>21.988089770239576</c:v>
                </c:pt>
                <c:pt idx="8">
                  <c:v>21.988089770239576</c:v>
                </c:pt>
                <c:pt idx="9">
                  <c:v>21.988089770239576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97-4A6F-9DB9-D43D316938B1}"/>
            </c:ext>
          </c:extLst>
        </c:ser>
        <c:ser>
          <c:idx val="1"/>
          <c:order val="1"/>
          <c:tx>
            <c:v>Fluorescent Spectroscopy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Sheet4!$E$4:$E$13</c:f>
                <c:numCache>
                  <c:formatCode>General</c:formatCode>
                  <c:ptCount val="10"/>
                  <c:pt idx="0">
                    <c:v>1.6424853509945052</c:v>
                  </c:pt>
                  <c:pt idx="1">
                    <c:v>0.95340933982078602</c:v>
                  </c:pt>
                  <c:pt idx="2">
                    <c:v>0.92225936076382709</c:v>
                  </c:pt>
                  <c:pt idx="3">
                    <c:v>0.80434693060817164</c:v>
                  </c:pt>
                  <c:pt idx="4">
                    <c:v>0.27881424977074387</c:v>
                  </c:pt>
                  <c:pt idx="5">
                    <c:v>1.2919467382115528</c:v>
                  </c:pt>
                  <c:pt idx="6">
                    <c:v>0.39387691677125969</c:v>
                  </c:pt>
                  <c:pt idx="7">
                    <c:v>0.58799487797149208</c:v>
                  </c:pt>
                  <c:pt idx="8">
                    <c:v>0.7015909406284766</c:v>
                  </c:pt>
                  <c:pt idx="9">
                    <c:v>1.17111389105736</c:v>
                  </c:pt>
                </c:numCache>
              </c:numRef>
            </c:plus>
            <c:minus>
              <c:numRef>
                <c:f>Sheet4!$E$4:$E$13</c:f>
                <c:numCache>
                  <c:formatCode>General</c:formatCode>
                  <c:ptCount val="10"/>
                  <c:pt idx="0">
                    <c:v>1.6424853509945052</c:v>
                  </c:pt>
                  <c:pt idx="1">
                    <c:v>0.95340933982078602</c:v>
                  </c:pt>
                  <c:pt idx="2">
                    <c:v>0.92225936076382709</c:v>
                  </c:pt>
                  <c:pt idx="3">
                    <c:v>0.80434693060817164</c:v>
                  </c:pt>
                  <c:pt idx="4">
                    <c:v>0.27881424977074387</c:v>
                  </c:pt>
                  <c:pt idx="5">
                    <c:v>1.2919467382115528</c:v>
                  </c:pt>
                  <c:pt idx="6">
                    <c:v>0.39387691677125969</c:v>
                  </c:pt>
                  <c:pt idx="7">
                    <c:v>0.58799487797149208</c:v>
                  </c:pt>
                  <c:pt idx="8">
                    <c:v>0.7015909406284766</c:v>
                  </c:pt>
                  <c:pt idx="9">
                    <c:v>1.17111389105736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Sheet4!$A$4:$A$13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8</c:v>
                </c:pt>
                <c:pt idx="7">
                  <c:v>25</c:v>
                </c:pt>
                <c:pt idx="8">
                  <c:v>32</c:v>
                </c:pt>
                <c:pt idx="9">
                  <c:v>50</c:v>
                </c:pt>
              </c:numCache>
            </c:numRef>
          </c:xVal>
          <c:yVal>
            <c:numRef>
              <c:f>Sheet4!$F$4:$F$13</c:f>
              <c:numCache>
                <c:formatCode>General</c:formatCode>
                <c:ptCount val="10"/>
                <c:pt idx="0">
                  <c:v>0.8042482870955675</c:v>
                </c:pt>
                <c:pt idx="1">
                  <c:v>5.0882850121454046</c:v>
                </c:pt>
                <c:pt idx="2">
                  <c:v>5.6168665647052505</c:v>
                </c:pt>
                <c:pt idx="3">
                  <c:v>6.2326993101031771</c:v>
                </c:pt>
                <c:pt idx="4">
                  <c:v>7.7883290481128462</c:v>
                </c:pt>
                <c:pt idx="5">
                  <c:v>8.369745869852407</c:v>
                </c:pt>
                <c:pt idx="6">
                  <c:v>11.946496299558218</c:v>
                </c:pt>
                <c:pt idx="7">
                  <c:v>12.829018913369101</c:v>
                </c:pt>
                <c:pt idx="8">
                  <c:v>13.725853216598562</c:v>
                </c:pt>
                <c:pt idx="9">
                  <c:v>13.714694281479799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697-4A6F-9DB9-D43D316938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2974463"/>
        <c:axId val="1022971551"/>
      </c:scatterChart>
      <c:valAx>
        <c:axId val="10229744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tr-TR"/>
                  <a:t>Time (hour)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22971551"/>
        <c:crosses val="autoZero"/>
        <c:crossBetween val="midCat"/>
      </c:valAx>
      <c:valAx>
        <c:axId val="1022971551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tr-TR"/>
                  <a:t>Curcumin</a:t>
                </a:r>
                <a:r>
                  <a:rPr lang="tr-TR" baseline="0"/>
                  <a:t> Releasing (%)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"/>
              <c:y val="0.243240615633105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22974463"/>
        <c:crosses val="autoZero"/>
        <c:crossBetween val="midCat"/>
        <c:majorUnit val="5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8.3263978697049559E-2"/>
          <c:y val="6.0524313159079968E-2"/>
          <c:w val="0.8999998908660326"/>
          <c:h val="7.55703613971330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95000"/>
                  <a:lumOff val="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>
              <a:lumMod val="95000"/>
              <a:lumOff val="5000"/>
            </a:schemeClr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687476202805403"/>
          <c:y val="0.16203703703703703"/>
          <c:w val="0.80979200617330971"/>
          <c:h val="0.61899137607799026"/>
        </c:manualLayout>
      </c:layout>
      <c:lineChart>
        <c:grouping val="standard"/>
        <c:varyColors val="0"/>
        <c:ser>
          <c:idx val="0"/>
          <c:order val="0"/>
          <c:tx>
            <c:v>P(TA)/50X</c:v>
          </c:tx>
          <c:spPr>
            <a:ln w="22225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19050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Sheet5!$G$6:$G$16</c:f>
                <c:numCache>
                  <c:formatCode>General</c:formatCode>
                  <c:ptCount val="11"/>
                  <c:pt idx="0">
                    <c:v>0.1</c:v>
                  </c:pt>
                  <c:pt idx="1">
                    <c:v>0.1</c:v>
                  </c:pt>
                  <c:pt idx="2">
                    <c:v>0.3</c:v>
                  </c:pt>
                  <c:pt idx="3">
                    <c:v>0.2</c:v>
                  </c:pt>
                  <c:pt idx="4">
                    <c:v>0.5</c:v>
                  </c:pt>
                  <c:pt idx="5">
                    <c:v>0.35</c:v>
                  </c:pt>
                  <c:pt idx="6">
                    <c:v>0.47</c:v>
                  </c:pt>
                  <c:pt idx="7">
                    <c:v>0.5</c:v>
                  </c:pt>
                  <c:pt idx="8">
                    <c:v>0.54</c:v>
                  </c:pt>
                  <c:pt idx="9">
                    <c:v>0.7</c:v>
                  </c:pt>
                  <c:pt idx="10">
                    <c:v>0.6</c:v>
                  </c:pt>
                </c:numCache>
              </c:numRef>
            </c:plus>
            <c:minus>
              <c:numRef>
                <c:f>Sheet5!$G$6:$G$16</c:f>
                <c:numCache>
                  <c:formatCode>General</c:formatCode>
                  <c:ptCount val="11"/>
                  <c:pt idx="0">
                    <c:v>0.1</c:v>
                  </c:pt>
                  <c:pt idx="1">
                    <c:v>0.1</c:v>
                  </c:pt>
                  <c:pt idx="2">
                    <c:v>0.3</c:v>
                  </c:pt>
                  <c:pt idx="3">
                    <c:v>0.2</c:v>
                  </c:pt>
                  <c:pt idx="4">
                    <c:v>0.5</c:v>
                  </c:pt>
                  <c:pt idx="5">
                    <c:v>0.35</c:v>
                  </c:pt>
                  <c:pt idx="6">
                    <c:v>0.47</c:v>
                  </c:pt>
                  <c:pt idx="7">
                    <c:v>0.5</c:v>
                  </c:pt>
                  <c:pt idx="8">
                    <c:v>0.54</c:v>
                  </c:pt>
                  <c:pt idx="9">
                    <c:v>0.7</c:v>
                  </c:pt>
                  <c:pt idx="10">
                    <c:v>0.6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Sheet5!$A$6:$A$16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10</c:v>
                </c:pt>
                <c:pt idx="5">
                  <c:v>24</c:v>
                </c:pt>
                <c:pt idx="6">
                  <c:v>48</c:v>
                </c:pt>
                <c:pt idx="7">
                  <c:v>120</c:v>
                </c:pt>
                <c:pt idx="8">
                  <c:v>144</c:v>
                </c:pt>
                <c:pt idx="9">
                  <c:v>240</c:v>
                </c:pt>
                <c:pt idx="10">
                  <c:v>360</c:v>
                </c:pt>
              </c:numCache>
            </c:numRef>
          </c:cat>
          <c:val>
            <c:numRef>
              <c:f>Sheet5!$F$6:$F$16</c:f>
              <c:numCache>
                <c:formatCode>General</c:formatCode>
                <c:ptCount val="11"/>
                <c:pt idx="0">
                  <c:v>0.57010000000000005</c:v>
                </c:pt>
                <c:pt idx="1">
                  <c:v>0.92104999999999992</c:v>
                </c:pt>
                <c:pt idx="2">
                  <c:v>1.2807500000000001</c:v>
                </c:pt>
                <c:pt idx="3">
                  <c:v>1.6388500000000001</c:v>
                </c:pt>
                <c:pt idx="4">
                  <c:v>1.8806</c:v>
                </c:pt>
                <c:pt idx="5">
                  <c:v>5.828007539480387</c:v>
                </c:pt>
                <c:pt idx="6">
                  <c:v>6.1221842078451347</c:v>
                </c:pt>
                <c:pt idx="7">
                  <c:v>6.4204688985433167</c:v>
                </c:pt>
                <c:pt idx="8">
                  <c:v>6.733693738819321</c:v>
                </c:pt>
                <c:pt idx="9">
                  <c:v>6.8152103245591631</c:v>
                </c:pt>
                <c:pt idx="10">
                  <c:v>6.8152103245591631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02B-4B16-931B-7A08DDB3D84D}"/>
            </c:ext>
          </c:extLst>
        </c:ser>
        <c:ser>
          <c:idx val="1"/>
          <c:order val="1"/>
          <c:tx>
            <c:v>P(TA)/100X</c:v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Sheet5!$M$6:$M$16</c:f>
                <c:numCache>
                  <c:formatCode>General</c:formatCode>
                  <c:ptCount val="11"/>
                  <c:pt idx="0">
                    <c:v>0.1</c:v>
                  </c:pt>
                  <c:pt idx="1">
                    <c:v>0.1</c:v>
                  </c:pt>
                  <c:pt idx="2">
                    <c:v>0.2</c:v>
                  </c:pt>
                  <c:pt idx="3">
                    <c:v>0.4</c:v>
                  </c:pt>
                  <c:pt idx="4">
                    <c:v>0.7</c:v>
                  </c:pt>
                  <c:pt idx="5">
                    <c:v>0.2</c:v>
                  </c:pt>
                  <c:pt idx="6">
                    <c:v>0.4</c:v>
                  </c:pt>
                  <c:pt idx="7">
                    <c:v>0.2</c:v>
                  </c:pt>
                  <c:pt idx="8">
                    <c:v>0.25</c:v>
                  </c:pt>
                  <c:pt idx="9">
                    <c:v>0.6</c:v>
                  </c:pt>
                  <c:pt idx="10">
                    <c:v>0.8</c:v>
                  </c:pt>
                </c:numCache>
              </c:numRef>
            </c:plus>
            <c:minus>
              <c:numRef>
                <c:f>Sheet5!$M$6:$M$16</c:f>
                <c:numCache>
                  <c:formatCode>General</c:formatCode>
                  <c:ptCount val="11"/>
                  <c:pt idx="0">
                    <c:v>0.1</c:v>
                  </c:pt>
                  <c:pt idx="1">
                    <c:v>0.1</c:v>
                  </c:pt>
                  <c:pt idx="2">
                    <c:v>0.2</c:v>
                  </c:pt>
                  <c:pt idx="3">
                    <c:v>0.4</c:v>
                  </c:pt>
                  <c:pt idx="4">
                    <c:v>0.7</c:v>
                  </c:pt>
                  <c:pt idx="5">
                    <c:v>0.2</c:v>
                  </c:pt>
                  <c:pt idx="6">
                    <c:v>0.4</c:v>
                  </c:pt>
                  <c:pt idx="7">
                    <c:v>0.2</c:v>
                  </c:pt>
                  <c:pt idx="8">
                    <c:v>0.25</c:v>
                  </c:pt>
                  <c:pt idx="9">
                    <c:v>0.6</c:v>
                  </c:pt>
                  <c:pt idx="10">
                    <c:v>0.8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Sheet5!$L$6:$L$16</c:f>
              <c:numCache>
                <c:formatCode>General</c:formatCode>
                <c:ptCount val="11"/>
                <c:pt idx="0">
                  <c:v>0.31015000000000004</c:v>
                </c:pt>
                <c:pt idx="1">
                  <c:v>0.50884999999999991</c:v>
                </c:pt>
                <c:pt idx="2">
                  <c:v>0.85010000000000019</c:v>
                </c:pt>
                <c:pt idx="3">
                  <c:v>1.5352000000000001</c:v>
                </c:pt>
                <c:pt idx="4">
                  <c:v>2.5496000000000003</c:v>
                </c:pt>
                <c:pt idx="5">
                  <c:v>5.4519783953968073</c:v>
                </c:pt>
                <c:pt idx="6">
                  <c:v>5.6882716317446524</c:v>
                </c:pt>
                <c:pt idx="7">
                  <c:v>5.8331050917381377</c:v>
                </c:pt>
                <c:pt idx="8">
                  <c:v>6.0659462599066316</c:v>
                </c:pt>
                <c:pt idx="9">
                  <c:v>6.4610707849310609</c:v>
                </c:pt>
                <c:pt idx="10">
                  <c:v>6.4786535663880134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02B-4B16-931B-7A08DDB3D84D}"/>
            </c:ext>
          </c:extLst>
        </c:ser>
        <c:ser>
          <c:idx val="2"/>
          <c:order val="2"/>
          <c:tx>
            <c:v>P(TA)/200X</c:v>
          </c:tx>
          <c:spPr>
            <a:ln w="19050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square"/>
            <c:size val="5"/>
            <c:spPr>
              <a:solidFill>
                <a:schemeClr val="tx1">
                  <a:alpha val="91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Sheet5!$S$6:$S$16</c:f>
                <c:numCache>
                  <c:formatCode>General</c:formatCode>
                  <c:ptCount val="11"/>
                  <c:pt idx="0">
                    <c:v>0.1</c:v>
                  </c:pt>
                  <c:pt idx="1">
                    <c:v>0.1</c:v>
                  </c:pt>
                  <c:pt idx="2">
                    <c:v>0.1</c:v>
                  </c:pt>
                  <c:pt idx="3">
                    <c:v>0.2</c:v>
                  </c:pt>
                  <c:pt idx="4">
                    <c:v>0.3</c:v>
                  </c:pt>
                  <c:pt idx="5">
                    <c:v>0.35</c:v>
                  </c:pt>
                  <c:pt idx="6">
                    <c:v>0.3</c:v>
                  </c:pt>
                  <c:pt idx="7">
                    <c:v>0.2</c:v>
                  </c:pt>
                  <c:pt idx="8">
                    <c:v>0.4</c:v>
                  </c:pt>
                  <c:pt idx="9">
                    <c:v>0.42</c:v>
                  </c:pt>
                  <c:pt idx="10">
                    <c:v>0.28999999999999998</c:v>
                  </c:pt>
                </c:numCache>
              </c:numRef>
            </c:plus>
            <c:minus>
              <c:numRef>
                <c:f>Sheet5!$S$6:$S$16</c:f>
                <c:numCache>
                  <c:formatCode>General</c:formatCode>
                  <c:ptCount val="11"/>
                  <c:pt idx="0">
                    <c:v>0.1</c:v>
                  </c:pt>
                  <c:pt idx="1">
                    <c:v>0.1</c:v>
                  </c:pt>
                  <c:pt idx="2">
                    <c:v>0.1</c:v>
                  </c:pt>
                  <c:pt idx="3">
                    <c:v>0.2</c:v>
                  </c:pt>
                  <c:pt idx="4">
                    <c:v>0.3</c:v>
                  </c:pt>
                  <c:pt idx="5">
                    <c:v>0.35</c:v>
                  </c:pt>
                  <c:pt idx="6">
                    <c:v>0.3</c:v>
                  </c:pt>
                  <c:pt idx="7">
                    <c:v>0.2</c:v>
                  </c:pt>
                  <c:pt idx="8">
                    <c:v>0.4</c:v>
                  </c:pt>
                  <c:pt idx="9">
                    <c:v>0.42</c:v>
                  </c:pt>
                  <c:pt idx="10">
                    <c:v>0.28999999999999998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Sheet5!$R$6:$R$16</c:f>
              <c:numCache>
                <c:formatCode>General</c:formatCode>
                <c:ptCount val="11"/>
                <c:pt idx="0">
                  <c:v>0.18065000000000001</c:v>
                </c:pt>
                <c:pt idx="1">
                  <c:v>0.43274999999999997</c:v>
                </c:pt>
                <c:pt idx="2">
                  <c:v>0.60114999999999996</c:v>
                </c:pt>
                <c:pt idx="3">
                  <c:v>0.94945000000000002</c:v>
                </c:pt>
                <c:pt idx="4">
                  <c:v>1.7326999999999999</c:v>
                </c:pt>
                <c:pt idx="5">
                  <c:v>3.9660752038659011</c:v>
                </c:pt>
                <c:pt idx="6">
                  <c:v>3.9918166717003927</c:v>
                </c:pt>
                <c:pt idx="7">
                  <c:v>4.2127189670794323</c:v>
                </c:pt>
                <c:pt idx="8">
                  <c:v>4.2082475083056483</c:v>
                </c:pt>
                <c:pt idx="9">
                  <c:v>4.2821013289036545</c:v>
                </c:pt>
                <c:pt idx="10">
                  <c:v>4.2864844457867717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02B-4B16-931B-7A08DDB3D8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7005328"/>
        <c:axId val="477006992"/>
      </c:lineChart>
      <c:catAx>
        <c:axId val="477005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tr-TR"/>
                  <a:t>Time</a:t>
                </a:r>
                <a:r>
                  <a:rPr lang="tr-TR" baseline="0"/>
                  <a:t> (hours)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6046837955700409"/>
              <c:y val="0.869191708179334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77006992"/>
        <c:crossesAt val="0"/>
        <c:auto val="1"/>
        <c:lblAlgn val="ctr"/>
        <c:lblOffset val="100"/>
        <c:noMultiLvlLbl val="0"/>
      </c:catAx>
      <c:valAx>
        <c:axId val="477006992"/>
        <c:scaling>
          <c:orientation val="minMax"/>
          <c:max val="1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tr-TR"/>
                  <a:t>Degradation</a:t>
                </a:r>
                <a:r>
                  <a:rPr lang="tr-TR" baseline="0"/>
                  <a:t> </a:t>
                </a:r>
                <a:r>
                  <a:rPr lang="tr-TR"/>
                  <a:t>(%)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4.4663285561258426E-2"/>
              <c:y val="0.304372756976806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77005328"/>
        <c:crosses val="autoZero"/>
        <c:crossBetween val="between"/>
        <c:majorUnit val="2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16247704046665346"/>
          <c:y val="5.2165354330708659E-2"/>
          <c:w val="0.76744513318813867"/>
          <c:h val="6.51601585516096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419444444444446"/>
          <c:y val="0.2314264831533544"/>
          <c:w val="0.79525000000000012"/>
          <c:h val="0.61440843722012339"/>
        </c:manualLayout>
      </c:layout>
      <c:barChart>
        <c:barDir val="col"/>
        <c:grouping val="clustered"/>
        <c:varyColors val="0"/>
        <c:ser>
          <c:idx val="0"/>
          <c:order val="0"/>
          <c:tx>
            <c:v>TA Fiber</c:v>
          </c:tx>
          <c:spPr>
            <a:pattFill prst="pct20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Sheet1!$J$12:$J$14</c:f>
                <c:numCache>
                  <c:formatCode>General</c:formatCode>
                  <c:ptCount val="3"/>
                  <c:pt idx="0">
                    <c:v>0.83402857433980782</c:v>
                  </c:pt>
                  <c:pt idx="1">
                    <c:v>8.5850222854720943</c:v>
                  </c:pt>
                  <c:pt idx="2">
                    <c:v>4.4132643880497087</c:v>
                  </c:pt>
                </c:numCache>
              </c:numRef>
            </c:plus>
            <c:minus>
              <c:numRef>
                <c:f>Sheet1!$J$12:$J$14</c:f>
                <c:numCache>
                  <c:formatCode>General</c:formatCode>
                  <c:ptCount val="3"/>
                  <c:pt idx="0">
                    <c:v>0.83402857433980782</c:v>
                  </c:pt>
                  <c:pt idx="1">
                    <c:v>8.5850222854720943</c:v>
                  </c:pt>
                  <c:pt idx="2">
                    <c:v>4.4132643880497087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Sheet1!$B$12:$B$14</c:f>
              <c:strCache>
                <c:ptCount val="3"/>
                <c:pt idx="0">
                  <c:v>0.5</c:v>
                </c:pt>
                <c:pt idx="1">
                  <c:v>1</c:v>
                </c:pt>
                <c:pt idx="2">
                  <c:v>2</c:v>
                </c:pt>
              </c:strCache>
            </c:strRef>
          </c:cat>
          <c:val>
            <c:numRef>
              <c:f>Sheet1!$I$12:$I$14</c:f>
              <c:numCache>
                <c:formatCode>General</c:formatCode>
                <c:ptCount val="3"/>
                <c:pt idx="0">
                  <c:v>76.57620041753654</c:v>
                </c:pt>
                <c:pt idx="1">
                  <c:v>53.194154488517739</c:v>
                </c:pt>
                <c:pt idx="2">
                  <c:v>52.567849686847602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99-4D2A-9989-609E29681334}"/>
            </c:ext>
          </c:extLst>
        </c:ser>
        <c:ser>
          <c:idx val="1"/>
          <c:order val="1"/>
          <c:tx>
            <c:v>Crosslinked TA Fiber</c:v>
          </c:tx>
          <c:spPr>
            <a:pattFill prst="wdDn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Sheet1!$AD$12:$AD$14</c:f>
                <c:numCache>
                  <c:formatCode>General</c:formatCode>
                  <c:ptCount val="3"/>
                  <c:pt idx="0">
                    <c:v>0.32092015843569688</c:v>
                  </c:pt>
                  <c:pt idx="1">
                    <c:v>2.4542288276196031</c:v>
                  </c:pt>
                  <c:pt idx="2">
                    <c:v>0.95235194816998558</c:v>
                  </c:pt>
                </c:numCache>
              </c:numRef>
            </c:plus>
            <c:minus>
              <c:numRef>
                <c:f>Sheet1!$AD$12:$AD$14</c:f>
                <c:numCache>
                  <c:formatCode>General</c:formatCode>
                  <c:ptCount val="3"/>
                  <c:pt idx="0">
                    <c:v>0.32092015843569688</c:v>
                  </c:pt>
                  <c:pt idx="1">
                    <c:v>2.4542288276196031</c:v>
                  </c:pt>
                  <c:pt idx="2">
                    <c:v>0.95235194816998558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Sheet1!$B$12:$B$14</c:f>
              <c:strCache>
                <c:ptCount val="3"/>
                <c:pt idx="0">
                  <c:v>0.5</c:v>
                </c:pt>
                <c:pt idx="1">
                  <c:v>1</c:v>
                </c:pt>
                <c:pt idx="2">
                  <c:v>2</c:v>
                </c:pt>
              </c:strCache>
            </c:strRef>
          </c:cat>
          <c:val>
            <c:numRef>
              <c:f>Sheet1!$AC$12:$AC$14</c:f>
              <c:numCache>
                <c:formatCode>General</c:formatCode>
                <c:ptCount val="3"/>
                <c:pt idx="0">
                  <c:v>99.700499168053227</c:v>
                </c:pt>
                <c:pt idx="1">
                  <c:v>72.212978369384359</c:v>
                </c:pt>
                <c:pt idx="2">
                  <c:v>67.787021630615641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99-4D2A-9989-609E29681334}"/>
            </c:ext>
          </c:extLst>
        </c:ser>
        <c:ser>
          <c:idx val="2"/>
          <c:order val="2"/>
          <c:tx>
            <c:v>TA-Ibu Fiber</c:v>
          </c:tx>
          <c:spPr>
            <a:pattFill prst="pct80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>
                  <a:alpha val="87000"/>
                </a:schemeClr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Sheet1!$AN$12:$AN$14</c:f>
                <c:numCache>
                  <c:formatCode>General</c:formatCode>
                  <c:ptCount val="3"/>
                  <c:pt idx="0">
                    <c:v>0.99999861572823667</c:v>
                  </c:pt>
                  <c:pt idx="1">
                    <c:v>3.3663325058410729</c:v>
                  </c:pt>
                  <c:pt idx="2">
                    <c:v>1.6615624269976648</c:v>
                  </c:pt>
                </c:numCache>
              </c:numRef>
            </c:plus>
            <c:minus>
              <c:numRef>
                <c:f>Sheet1!$AN$12:$AN$14</c:f>
                <c:numCache>
                  <c:formatCode>General</c:formatCode>
                  <c:ptCount val="3"/>
                  <c:pt idx="0">
                    <c:v>0.99999861572823667</c:v>
                  </c:pt>
                  <c:pt idx="1">
                    <c:v>3.3663325058410729</c:v>
                  </c:pt>
                  <c:pt idx="2">
                    <c:v>1.6615624269976648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Sheet1!$B$12:$B$14</c:f>
              <c:strCache>
                <c:ptCount val="3"/>
                <c:pt idx="0">
                  <c:v>0.5</c:v>
                </c:pt>
                <c:pt idx="1">
                  <c:v>1</c:v>
                </c:pt>
                <c:pt idx="2">
                  <c:v>2</c:v>
                </c:pt>
              </c:strCache>
            </c:strRef>
          </c:cat>
          <c:val>
            <c:numRef>
              <c:f>Sheet1!$AM$12:$AM$14</c:f>
              <c:numCache>
                <c:formatCode>General</c:formatCode>
                <c:ptCount val="3"/>
                <c:pt idx="0">
                  <c:v>52.645590682196342</c:v>
                </c:pt>
                <c:pt idx="1">
                  <c:v>39.134775374376034</c:v>
                </c:pt>
                <c:pt idx="2">
                  <c:v>8.6855241264559062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99-4D2A-9989-609E29681334}"/>
            </c:ext>
          </c:extLst>
        </c:ser>
        <c:ser>
          <c:idx val="3"/>
          <c:order val="3"/>
          <c:tx>
            <c:v>Crosslinked TA-Ibu Fiber</c:v>
          </c:tx>
          <c:spPr>
            <a:pattFill prst="ltHorz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Sheet1!$AX$12:$AX$14</c:f>
                <c:numCache>
                  <c:formatCode>General</c:formatCode>
                  <c:ptCount val="3"/>
                  <c:pt idx="0">
                    <c:v>0.56474418464150167</c:v>
                  </c:pt>
                  <c:pt idx="1">
                    <c:v>0.35296511540094611</c:v>
                  </c:pt>
                  <c:pt idx="2">
                    <c:v>3.9532092924905169</c:v>
                  </c:pt>
                </c:numCache>
              </c:numRef>
            </c:plus>
            <c:minus>
              <c:numRef>
                <c:f>Sheet1!$AX$12:$AX$14</c:f>
                <c:numCache>
                  <c:formatCode>General</c:formatCode>
                  <c:ptCount val="3"/>
                  <c:pt idx="0">
                    <c:v>0.56474418464150167</c:v>
                  </c:pt>
                  <c:pt idx="1">
                    <c:v>0.35296511540094611</c:v>
                  </c:pt>
                  <c:pt idx="2">
                    <c:v>3.9532092924905169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Sheet1!$B$12:$B$14</c:f>
              <c:strCache>
                <c:ptCount val="3"/>
                <c:pt idx="0">
                  <c:v>0.5</c:v>
                </c:pt>
                <c:pt idx="1">
                  <c:v>1</c:v>
                </c:pt>
                <c:pt idx="2">
                  <c:v>2</c:v>
                </c:pt>
              </c:strCache>
            </c:strRef>
          </c:cat>
          <c:val>
            <c:numRef>
              <c:f>Sheet1!$AW$12:$AW$14</c:f>
              <c:numCache>
                <c:formatCode>General</c:formatCode>
                <c:ptCount val="3"/>
                <c:pt idx="0">
                  <c:v>65.990016638935103</c:v>
                </c:pt>
                <c:pt idx="1">
                  <c:v>64.242928452579037</c:v>
                </c:pt>
                <c:pt idx="2">
                  <c:v>59.400998336106483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299-4D2A-9989-609E296813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6585215"/>
        <c:axId val="128175071"/>
      </c:barChart>
      <c:catAx>
        <c:axId val="2665852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tr-TR"/>
                  <a:t>Concentration</a:t>
                </a:r>
                <a:r>
                  <a:rPr lang="tr-TR" baseline="0"/>
                  <a:t> (mg/mL)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28175071"/>
        <c:crosses val="autoZero"/>
        <c:auto val="1"/>
        <c:lblAlgn val="ctr"/>
        <c:lblOffset val="100"/>
        <c:noMultiLvlLbl val="0"/>
      </c:catAx>
      <c:valAx>
        <c:axId val="128175071"/>
        <c:scaling>
          <c:orientation val="minMax"/>
          <c:max val="105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tr-TR">
                    <a:solidFill>
                      <a:schemeClr val="tx1"/>
                    </a:solidFill>
                  </a:rPr>
                  <a:t>Blood Clotting Index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66585215"/>
        <c:crosses val="autoZero"/>
        <c:crossBetween val="between"/>
        <c:majorUnit val="20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16774584426946632"/>
          <c:y val="9.0411731644388635E-2"/>
          <c:w val="0.80895275590551197"/>
          <c:h val="0.1200999557145220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991200807547067"/>
          <c:y val="0.1904585270214717"/>
          <c:w val="0.76062481450267827"/>
          <c:h val="0.57935648104227933"/>
        </c:manualLayout>
      </c:layout>
      <c:scatterChart>
        <c:scatterStyle val="lineMarker"/>
        <c:varyColors val="0"/>
        <c:ser>
          <c:idx val="0"/>
          <c:order val="0"/>
          <c:tx>
            <c:v>Crosslinked TA Fiber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5"/>
            <c:spPr>
              <a:noFill/>
              <a:ln w="19050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Sheet2!$L$4:$L$22</c:f>
                <c:numCache>
                  <c:formatCode>General</c:formatCode>
                  <c:ptCount val="19"/>
                  <c:pt idx="0">
                    <c:v>0.33590613445205464</c:v>
                  </c:pt>
                  <c:pt idx="1">
                    <c:v>0.656170516006649</c:v>
                  </c:pt>
                  <c:pt idx="2">
                    <c:v>0.59051528288341526</c:v>
                  </c:pt>
                  <c:pt idx="3">
                    <c:v>2.325343493125652</c:v>
                  </c:pt>
                  <c:pt idx="4">
                    <c:v>2.4703002743715095</c:v>
                  </c:pt>
                  <c:pt idx="5">
                    <c:v>1.4901168082165663</c:v>
                  </c:pt>
                  <c:pt idx="6">
                    <c:v>3.6659497647964718</c:v>
                  </c:pt>
                  <c:pt idx="7">
                    <c:v>7.8651866559910149</c:v>
                  </c:pt>
                  <c:pt idx="8">
                    <c:v>5.7630897747002416</c:v>
                  </c:pt>
                  <c:pt idx="9">
                    <c:v>5.3406196896951021</c:v>
                  </c:pt>
                  <c:pt idx="10">
                    <c:v>5.3813922347275085</c:v>
                  </c:pt>
                  <c:pt idx="11">
                    <c:v>6.3626828883428637</c:v>
                  </c:pt>
                  <c:pt idx="12">
                    <c:v>6.8092704077197101</c:v>
                  </c:pt>
                  <c:pt idx="13">
                    <c:v>6.7218521703730829</c:v>
                  </c:pt>
                  <c:pt idx="14">
                    <c:v>4.0639557787207643</c:v>
                  </c:pt>
                  <c:pt idx="15">
                    <c:v>3.2094367211392947</c:v>
                  </c:pt>
                  <c:pt idx="16">
                    <c:v>5.0083030234490638</c:v>
                  </c:pt>
                  <c:pt idx="17">
                    <c:v>5.7808369647010549</c:v>
                  </c:pt>
                  <c:pt idx="18">
                    <c:v>5.3570858195201261</c:v>
                  </c:pt>
                </c:numCache>
              </c:numRef>
            </c:plus>
            <c:minus>
              <c:numRef>
                <c:f>Sheet2!$L$4:$L$22</c:f>
                <c:numCache>
                  <c:formatCode>General</c:formatCode>
                  <c:ptCount val="19"/>
                  <c:pt idx="0">
                    <c:v>0.33590613445205464</c:v>
                  </c:pt>
                  <c:pt idx="1">
                    <c:v>0.656170516006649</c:v>
                  </c:pt>
                  <c:pt idx="2">
                    <c:v>0.59051528288341526</c:v>
                  </c:pt>
                  <c:pt idx="3">
                    <c:v>2.325343493125652</c:v>
                  </c:pt>
                  <c:pt idx="4">
                    <c:v>2.4703002743715095</c:v>
                  </c:pt>
                  <c:pt idx="5">
                    <c:v>1.4901168082165663</c:v>
                  </c:pt>
                  <c:pt idx="6">
                    <c:v>3.6659497647964718</c:v>
                  </c:pt>
                  <c:pt idx="7">
                    <c:v>7.8651866559910149</c:v>
                  </c:pt>
                  <c:pt idx="8">
                    <c:v>5.7630897747002416</c:v>
                  </c:pt>
                  <c:pt idx="9">
                    <c:v>5.3406196896951021</c:v>
                  </c:pt>
                  <c:pt idx="10">
                    <c:v>5.3813922347275085</c:v>
                  </c:pt>
                  <c:pt idx="11">
                    <c:v>6.3626828883428637</c:v>
                  </c:pt>
                  <c:pt idx="12">
                    <c:v>6.8092704077197101</c:v>
                  </c:pt>
                  <c:pt idx="13">
                    <c:v>6.7218521703730829</c:v>
                  </c:pt>
                  <c:pt idx="14">
                    <c:v>4.0639557787207643</c:v>
                  </c:pt>
                  <c:pt idx="15">
                    <c:v>3.2094367211392947</c:v>
                  </c:pt>
                  <c:pt idx="16">
                    <c:v>5.0083030234490638</c:v>
                  </c:pt>
                  <c:pt idx="17">
                    <c:v>5.7808369647010549</c:v>
                  </c:pt>
                  <c:pt idx="18">
                    <c:v>5.3570858195201261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Sheet2!$A$4:$A$22</c:f>
              <c:numCache>
                <c:formatCode>General</c:formatCode>
                <c:ptCount val="19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24</c:v>
                </c:pt>
                <c:pt idx="15">
                  <c:v>48</c:v>
                </c:pt>
                <c:pt idx="16">
                  <c:v>72</c:v>
                </c:pt>
                <c:pt idx="17">
                  <c:v>120</c:v>
                </c:pt>
                <c:pt idx="18">
                  <c:v>168</c:v>
                </c:pt>
              </c:numCache>
            </c:numRef>
          </c:xVal>
          <c:yVal>
            <c:numRef>
              <c:f>Sheet2!$K$4:$K$22</c:f>
              <c:numCache>
                <c:formatCode>General</c:formatCode>
                <c:ptCount val="19"/>
                <c:pt idx="0">
                  <c:v>1.3706064487514855</c:v>
                </c:pt>
                <c:pt idx="1">
                  <c:v>7.1089053911783253</c:v>
                </c:pt>
                <c:pt idx="2">
                  <c:v>11.460182867120544</c:v>
                </c:pt>
                <c:pt idx="3">
                  <c:v>15.866086852571492</c:v>
                </c:pt>
                <c:pt idx="4">
                  <c:v>24.506355970528165</c:v>
                </c:pt>
                <c:pt idx="5">
                  <c:v>33.693535470625626</c:v>
                </c:pt>
                <c:pt idx="6">
                  <c:v>41.746861879072618</c:v>
                </c:pt>
                <c:pt idx="7">
                  <c:v>48.741356585161547</c:v>
                </c:pt>
                <c:pt idx="8">
                  <c:v>53.450401445177739</c:v>
                </c:pt>
                <c:pt idx="9">
                  <c:v>53.671399835387525</c:v>
                </c:pt>
                <c:pt idx="10">
                  <c:v>53.799167124585189</c:v>
                </c:pt>
                <c:pt idx="11">
                  <c:v>55.633350759151533</c:v>
                </c:pt>
                <c:pt idx="12">
                  <c:v>58.133307696786652</c:v>
                </c:pt>
                <c:pt idx="13">
                  <c:v>61.486097495959875</c:v>
                </c:pt>
                <c:pt idx="14">
                  <c:v>73.620307330212952</c:v>
                </c:pt>
                <c:pt idx="15">
                  <c:v>78.673517351491057</c:v>
                </c:pt>
                <c:pt idx="16">
                  <c:v>80.883630299110294</c:v>
                </c:pt>
                <c:pt idx="17">
                  <c:v>82.410306893751127</c:v>
                </c:pt>
                <c:pt idx="18">
                  <c:v>83.127316230855143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C3-4851-B016-51045CA9D0E2}"/>
            </c:ext>
          </c:extLst>
        </c:ser>
        <c:ser>
          <c:idx val="1"/>
          <c:order val="1"/>
          <c:tx>
            <c:v>Crosslinked TA-Ibu Fiber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19050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Sheet2!$Y$4:$Y$22</c:f>
                <c:numCache>
                  <c:formatCode>General</c:formatCode>
                  <c:ptCount val="19"/>
                  <c:pt idx="0">
                    <c:v>0.1228143514239555</c:v>
                  </c:pt>
                  <c:pt idx="1">
                    <c:v>0.58732052071531093</c:v>
                  </c:pt>
                  <c:pt idx="2">
                    <c:v>0.31987761265599596</c:v>
                  </c:pt>
                  <c:pt idx="3">
                    <c:v>2.2771127896741836</c:v>
                  </c:pt>
                  <c:pt idx="4">
                    <c:v>1.2683649650480244</c:v>
                  </c:pt>
                  <c:pt idx="5">
                    <c:v>1.6626887807666235</c:v>
                  </c:pt>
                  <c:pt idx="6">
                    <c:v>2.0098251751692238</c:v>
                  </c:pt>
                  <c:pt idx="7">
                    <c:v>4.7740185067299219</c:v>
                  </c:pt>
                  <c:pt idx="8">
                    <c:v>4.5477804058950175</c:v>
                  </c:pt>
                  <c:pt idx="9">
                    <c:v>4.4569516603925257</c:v>
                  </c:pt>
                  <c:pt idx="10">
                    <c:v>5.1293760495519978</c:v>
                  </c:pt>
                  <c:pt idx="11">
                    <c:v>7.6279264239988214</c:v>
                  </c:pt>
                  <c:pt idx="12">
                    <c:v>6.6535362676956309</c:v>
                  </c:pt>
                  <c:pt idx="13">
                    <c:v>8.3150661771463934</c:v>
                  </c:pt>
                  <c:pt idx="14">
                    <c:v>3.0826465450469351</c:v>
                  </c:pt>
                  <c:pt idx="15">
                    <c:v>5.9241329739984865</c:v>
                  </c:pt>
                  <c:pt idx="16">
                    <c:v>6.2216123045059932</c:v>
                  </c:pt>
                  <c:pt idx="17">
                    <c:v>5.0508477884773715</c:v>
                  </c:pt>
                  <c:pt idx="18">
                    <c:v>2.2537094722490276</c:v>
                  </c:pt>
                </c:numCache>
              </c:numRef>
            </c:plus>
            <c:minus>
              <c:numRef>
                <c:f>Sheet2!$Y$4:$Y$22</c:f>
                <c:numCache>
                  <c:formatCode>General</c:formatCode>
                  <c:ptCount val="19"/>
                  <c:pt idx="0">
                    <c:v>0.1228143514239555</c:v>
                  </c:pt>
                  <c:pt idx="1">
                    <c:v>0.58732052071531093</c:v>
                  </c:pt>
                  <c:pt idx="2">
                    <c:v>0.31987761265599596</c:v>
                  </c:pt>
                  <c:pt idx="3">
                    <c:v>2.2771127896741836</c:v>
                  </c:pt>
                  <c:pt idx="4">
                    <c:v>1.2683649650480244</c:v>
                  </c:pt>
                  <c:pt idx="5">
                    <c:v>1.6626887807666235</c:v>
                  </c:pt>
                  <c:pt idx="6">
                    <c:v>2.0098251751692238</c:v>
                  </c:pt>
                  <c:pt idx="7">
                    <c:v>4.7740185067299219</c:v>
                  </c:pt>
                  <c:pt idx="8">
                    <c:v>4.5477804058950175</c:v>
                  </c:pt>
                  <c:pt idx="9">
                    <c:v>4.4569516603925257</c:v>
                  </c:pt>
                  <c:pt idx="10">
                    <c:v>5.1293760495519978</c:v>
                  </c:pt>
                  <c:pt idx="11">
                    <c:v>7.6279264239988214</c:v>
                  </c:pt>
                  <c:pt idx="12">
                    <c:v>6.6535362676956309</c:v>
                  </c:pt>
                  <c:pt idx="13">
                    <c:v>8.3150661771463934</c:v>
                  </c:pt>
                  <c:pt idx="14">
                    <c:v>3.0826465450469351</c:v>
                  </c:pt>
                  <c:pt idx="15">
                    <c:v>5.9241329739984865</c:v>
                  </c:pt>
                  <c:pt idx="16">
                    <c:v>6.2216123045059932</c:v>
                  </c:pt>
                  <c:pt idx="17">
                    <c:v>5.0508477884773715</c:v>
                  </c:pt>
                  <c:pt idx="18">
                    <c:v>2.2537094722490276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Sheet2!$N$4:$N$22</c:f>
              <c:numCache>
                <c:formatCode>General</c:formatCode>
                <c:ptCount val="19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24</c:v>
                </c:pt>
                <c:pt idx="15">
                  <c:v>48</c:v>
                </c:pt>
                <c:pt idx="16">
                  <c:v>72</c:v>
                </c:pt>
                <c:pt idx="17">
                  <c:v>120</c:v>
                </c:pt>
                <c:pt idx="18">
                  <c:v>168</c:v>
                </c:pt>
              </c:numCache>
            </c:numRef>
          </c:xVal>
          <c:yVal>
            <c:numRef>
              <c:f>Sheet2!$X$4:$X$22</c:f>
              <c:numCache>
                <c:formatCode>General</c:formatCode>
                <c:ptCount val="19"/>
                <c:pt idx="0">
                  <c:v>1.1892166472932184</c:v>
                </c:pt>
                <c:pt idx="1">
                  <c:v>6.1105543345576372</c:v>
                </c:pt>
                <c:pt idx="2">
                  <c:v>9.4445473090223633</c:v>
                </c:pt>
                <c:pt idx="3">
                  <c:v>14.36800774396429</c:v>
                </c:pt>
                <c:pt idx="4">
                  <c:v>22.95112706612127</c:v>
                </c:pt>
                <c:pt idx="5">
                  <c:v>31.624965194546306</c:v>
                </c:pt>
                <c:pt idx="6">
                  <c:v>38.115811136694255</c:v>
                </c:pt>
                <c:pt idx="7">
                  <c:v>39.232016951251822</c:v>
                </c:pt>
                <c:pt idx="8">
                  <c:v>41.021009076003772</c:v>
                </c:pt>
                <c:pt idx="9">
                  <c:v>46.838257436575212</c:v>
                </c:pt>
                <c:pt idx="10">
                  <c:v>48.896087346724499</c:v>
                </c:pt>
                <c:pt idx="11">
                  <c:v>52.500428922132535</c:v>
                </c:pt>
                <c:pt idx="12">
                  <c:v>59.547777198995085</c:v>
                </c:pt>
                <c:pt idx="13">
                  <c:v>65.87789373272318</c:v>
                </c:pt>
                <c:pt idx="14">
                  <c:v>78.291923421447123</c:v>
                </c:pt>
                <c:pt idx="15">
                  <c:v>85.232044587626447</c:v>
                </c:pt>
                <c:pt idx="16">
                  <c:v>90.606062473774443</c:v>
                </c:pt>
                <c:pt idx="17">
                  <c:v>96.467609323366972</c:v>
                </c:pt>
                <c:pt idx="18">
                  <c:v>98.929745505309938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5C3-4851-B016-51045CA9D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0002000"/>
        <c:axId val="927478608"/>
      </c:scatterChart>
      <c:valAx>
        <c:axId val="930002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tr-TR"/>
                  <a:t>Time (hour)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27478608"/>
        <c:crosses val="autoZero"/>
        <c:crossBetween val="midCat"/>
      </c:valAx>
      <c:valAx>
        <c:axId val="927478608"/>
        <c:scaling>
          <c:orientation val="minMax"/>
          <c:max val="105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tr-TR"/>
                  <a:t>Degradation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3000200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5.2928569112145697E-2"/>
          <c:y val="3.1751239428404539E-3"/>
          <c:w val="0.88711705450573275"/>
          <c:h val="0.218884040097397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02758697715977"/>
          <c:y val="0.14224032721461868"/>
          <c:w val="0.79369497961690949"/>
          <c:h val="0.62757445540127677"/>
        </c:manualLayout>
      </c:layout>
      <c:scatterChart>
        <c:scatterStyle val="lineMarker"/>
        <c:varyColors val="0"/>
        <c:ser>
          <c:idx val="0"/>
          <c:order val="0"/>
          <c:tx>
            <c:v>Crosslinked TA-Ibu Fiber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Sheet2!$AL$4:$AL$21</c:f>
                <c:numCache>
                  <c:formatCode>General</c:formatCode>
                  <c:ptCount val="18"/>
                  <c:pt idx="0">
                    <c:v>9.1862324893057901E-2</c:v>
                  </c:pt>
                  <c:pt idx="1">
                    <c:v>0.88697039966408509</c:v>
                  </c:pt>
                  <c:pt idx="2">
                    <c:v>0.33207312804511097</c:v>
                  </c:pt>
                  <c:pt idx="3">
                    <c:v>2.8381852220873163</c:v>
                  </c:pt>
                  <c:pt idx="4">
                    <c:v>1.8672326681361171</c:v>
                  </c:pt>
                  <c:pt idx="5">
                    <c:v>1.6847061209429324</c:v>
                  </c:pt>
                  <c:pt idx="6">
                    <c:v>2.7409647049744916</c:v>
                  </c:pt>
                  <c:pt idx="7">
                    <c:v>3.7969494237857386</c:v>
                  </c:pt>
                  <c:pt idx="8">
                    <c:v>4.1136093601807247</c:v>
                  </c:pt>
                  <c:pt idx="9">
                    <c:v>7.7998472704441584</c:v>
                  </c:pt>
                  <c:pt idx="10">
                    <c:v>4.8463615498719355</c:v>
                  </c:pt>
                  <c:pt idx="11">
                    <c:v>4.1892139958400545</c:v>
                  </c:pt>
                  <c:pt idx="12">
                    <c:v>2.2797241601732159</c:v>
                  </c:pt>
                  <c:pt idx="13">
                    <c:v>2.3869805637511017</c:v>
                  </c:pt>
                  <c:pt idx="14">
                    <c:v>4.7192887771741283</c:v>
                  </c:pt>
                  <c:pt idx="15">
                    <c:v>3.4283895496175156</c:v>
                  </c:pt>
                  <c:pt idx="16">
                    <c:v>5.7659529237930887</c:v>
                  </c:pt>
                  <c:pt idx="17">
                    <c:v>4.7250234296977824</c:v>
                  </c:pt>
                </c:numCache>
              </c:numRef>
            </c:plus>
            <c:minus>
              <c:numRef>
                <c:f>Sheet2!$AL$4:$AL$21</c:f>
                <c:numCache>
                  <c:formatCode>General</c:formatCode>
                  <c:ptCount val="18"/>
                  <c:pt idx="0">
                    <c:v>9.1862324893057901E-2</c:v>
                  </c:pt>
                  <c:pt idx="1">
                    <c:v>0.88697039966408509</c:v>
                  </c:pt>
                  <c:pt idx="2">
                    <c:v>0.33207312804511097</c:v>
                  </c:pt>
                  <c:pt idx="3">
                    <c:v>2.8381852220873163</c:v>
                  </c:pt>
                  <c:pt idx="4">
                    <c:v>1.8672326681361171</c:v>
                  </c:pt>
                  <c:pt idx="5">
                    <c:v>1.6847061209429324</c:v>
                  </c:pt>
                  <c:pt idx="6">
                    <c:v>2.7409647049744916</c:v>
                  </c:pt>
                  <c:pt idx="7">
                    <c:v>3.7969494237857386</c:v>
                  </c:pt>
                  <c:pt idx="8">
                    <c:v>4.1136093601807247</c:v>
                  </c:pt>
                  <c:pt idx="9">
                    <c:v>7.7998472704441584</c:v>
                  </c:pt>
                  <c:pt idx="10">
                    <c:v>4.8463615498719355</c:v>
                  </c:pt>
                  <c:pt idx="11">
                    <c:v>4.1892139958400545</c:v>
                  </c:pt>
                  <c:pt idx="12">
                    <c:v>2.2797241601732159</c:v>
                  </c:pt>
                  <c:pt idx="13">
                    <c:v>2.3869805637511017</c:v>
                  </c:pt>
                  <c:pt idx="14">
                    <c:v>4.7192887771741283</c:v>
                  </c:pt>
                  <c:pt idx="15">
                    <c:v>3.4283895496175156</c:v>
                  </c:pt>
                  <c:pt idx="16">
                    <c:v>5.7659529237930887</c:v>
                  </c:pt>
                  <c:pt idx="17">
                    <c:v>4.7250234296977824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Sheet2!$AA$4:$AA$21</c:f>
              <c:numCache>
                <c:formatCode>General</c:formatCode>
                <c:ptCount val="1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24</c:v>
                </c:pt>
                <c:pt idx="15">
                  <c:v>48</c:v>
                </c:pt>
                <c:pt idx="16">
                  <c:v>72</c:v>
                </c:pt>
                <c:pt idx="17">
                  <c:v>120</c:v>
                </c:pt>
              </c:numCache>
            </c:numRef>
          </c:xVal>
          <c:yVal>
            <c:numRef>
              <c:f>Sheet2!$AK$4:$AK$21</c:f>
              <c:numCache>
                <c:formatCode>General</c:formatCode>
                <c:ptCount val="18"/>
                <c:pt idx="0">
                  <c:v>4.2179195001668779</c:v>
                </c:pt>
                <c:pt idx="1">
                  <c:v>9.0268268321280463</c:v>
                </c:pt>
                <c:pt idx="2">
                  <c:v>14.01096014915408</c:v>
                </c:pt>
                <c:pt idx="3">
                  <c:v>21.481160810086909</c:v>
                </c:pt>
                <c:pt idx="4">
                  <c:v>32.983569491033755</c:v>
                </c:pt>
                <c:pt idx="5">
                  <c:v>47.624891974040928</c:v>
                </c:pt>
                <c:pt idx="6">
                  <c:v>54.984009525321163</c:v>
                </c:pt>
                <c:pt idx="7">
                  <c:v>56.256555631369103</c:v>
                </c:pt>
                <c:pt idx="8">
                  <c:v>63.612734027477721</c:v>
                </c:pt>
                <c:pt idx="9">
                  <c:v>65.445817673911634</c:v>
                </c:pt>
                <c:pt idx="10">
                  <c:v>67.351237440459428</c:v>
                </c:pt>
                <c:pt idx="11">
                  <c:v>68.959726440293863</c:v>
                </c:pt>
                <c:pt idx="12">
                  <c:v>73.115005757542576</c:v>
                </c:pt>
                <c:pt idx="13">
                  <c:v>79.15989877326389</c:v>
                </c:pt>
                <c:pt idx="14">
                  <c:v>89.814752690685808</c:v>
                </c:pt>
                <c:pt idx="15">
                  <c:v>93.637473286041157</c:v>
                </c:pt>
                <c:pt idx="16">
                  <c:v>96.391119467997612</c:v>
                </c:pt>
                <c:pt idx="17">
                  <c:v>97.549711428180714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D9-41DD-A633-5A86531F33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7757616"/>
        <c:axId val="924301552"/>
      </c:scatterChart>
      <c:valAx>
        <c:axId val="807757616"/>
        <c:scaling>
          <c:orientation val="minMax"/>
          <c:max val="13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tr-TR"/>
                  <a:t>Time</a:t>
                </a:r>
                <a:r>
                  <a:rPr lang="tr-TR" baseline="0"/>
                  <a:t> (hour)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24301552"/>
        <c:crosses val="autoZero"/>
        <c:crossBetween val="midCat"/>
        <c:majorUnit val="20"/>
      </c:valAx>
      <c:valAx>
        <c:axId val="924301552"/>
        <c:scaling>
          <c:orientation val="minMax"/>
          <c:max val="105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tr-TR"/>
                  <a:t>Drug</a:t>
                </a:r>
                <a:r>
                  <a:rPr lang="tr-TR" baseline="0"/>
                  <a:t> Release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07757616"/>
        <c:crosses val="autoZero"/>
        <c:crossBetween val="midCat"/>
        <c:majorUnit val="20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28702049477857822"/>
          <c:y val="8.5320064158647055E-3"/>
          <c:w val="0.48035539174624436"/>
          <c:h val="0.135916606638681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169211944592336"/>
          <c:y val="3.8107526881720429E-2"/>
          <c:w val="0.74611333725633056"/>
          <c:h val="0.76504749809499617"/>
        </c:manualLayout>
      </c:layout>
      <c:scatterChart>
        <c:scatterStyle val="lineMarker"/>
        <c:varyColors val="0"/>
        <c:ser>
          <c:idx val="0"/>
          <c:order val="0"/>
          <c:tx>
            <c:v>TA Fiber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6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Sheet2!$O$25:$O$30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1.4</c:v>
                  </c:pt>
                  <c:pt idx="2">
                    <c:v>1.8</c:v>
                  </c:pt>
                  <c:pt idx="3">
                    <c:v>2.7</c:v>
                  </c:pt>
                  <c:pt idx="4">
                    <c:v>2</c:v>
                  </c:pt>
                  <c:pt idx="5">
                    <c:v>3.8</c:v>
                  </c:pt>
                </c:numCache>
              </c:numRef>
            </c:plus>
            <c:minus>
              <c:numRef>
                <c:f>Sheet2!$O$25:$O$30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1.4</c:v>
                  </c:pt>
                  <c:pt idx="2">
                    <c:v>1.8</c:v>
                  </c:pt>
                  <c:pt idx="3">
                    <c:v>2.7</c:v>
                  </c:pt>
                  <c:pt idx="4">
                    <c:v>2</c:v>
                  </c:pt>
                  <c:pt idx="5">
                    <c:v>3.8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Sheet2!$J$25:$J$30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xVal>
          <c:yVal>
            <c:numRef>
              <c:f>Sheet2!$N$25:$N$30</c:f>
              <c:numCache>
                <c:formatCode>General</c:formatCode>
                <c:ptCount val="6"/>
                <c:pt idx="0">
                  <c:v>0</c:v>
                </c:pt>
                <c:pt idx="1">
                  <c:v>88.606060606060609</c:v>
                </c:pt>
                <c:pt idx="2">
                  <c:v>90.957575757575754</c:v>
                </c:pt>
                <c:pt idx="3">
                  <c:v>93.63636363636364</c:v>
                </c:pt>
                <c:pt idx="4">
                  <c:v>100</c:v>
                </c:pt>
                <c:pt idx="5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1A-4225-A5BE-7556A7BAAE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3973743"/>
        <c:axId val="1443975407"/>
      </c:scatterChart>
      <c:valAx>
        <c:axId val="1443973743"/>
        <c:scaling>
          <c:orientation val="minMax"/>
          <c:max val="1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tr-TR"/>
                  <a:t>Time (minute)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43975407"/>
        <c:crosses val="autoZero"/>
        <c:crossBetween val="midCat"/>
        <c:majorUnit val="2"/>
      </c:valAx>
      <c:valAx>
        <c:axId val="1443975407"/>
        <c:scaling>
          <c:orientation val="minMax"/>
          <c:max val="102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tr-TR"/>
                  <a:t>Degradation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43973743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61304788858688042"/>
          <c:y val="0.50528490390314118"/>
          <c:w val="0.28256302481762735"/>
          <c:h val="0.1270646007958682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8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44514262186899"/>
          <c:y val="5.9139784946236562E-2"/>
          <c:w val="0.74812728926816563"/>
          <c:h val="0.69320846011053816"/>
        </c:manualLayout>
      </c:layout>
      <c:scatterChart>
        <c:scatterStyle val="lineMarker"/>
        <c:varyColors val="0"/>
        <c:ser>
          <c:idx val="0"/>
          <c:order val="0"/>
          <c:tx>
            <c:v>TA-Ibu Fiber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6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Sheet2!$V$26:$V$31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2.4</c:v>
                  </c:pt>
                  <c:pt idx="2">
                    <c:v>3.8</c:v>
                  </c:pt>
                  <c:pt idx="3">
                    <c:v>4</c:v>
                  </c:pt>
                  <c:pt idx="4">
                    <c:v>2.2999999999999998</c:v>
                  </c:pt>
                  <c:pt idx="5">
                    <c:v>3.1</c:v>
                  </c:pt>
                </c:numCache>
              </c:numRef>
            </c:plus>
            <c:minus>
              <c:numRef>
                <c:f>Sheet2!$V$26:$V$31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2.4</c:v>
                  </c:pt>
                  <c:pt idx="2">
                    <c:v>3.8</c:v>
                  </c:pt>
                  <c:pt idx="3">
                    <c:v>4</c:v>
                  </c:pt>
                  <c:pt idx="4">
                    <c:v>2.2999999999999998</c:v>
                  </c:pt>
                  <c:pt idx="5">
                    <c:v>3.1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Sheet2!$Q$26:$Q$31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Sheet2!$U$26:$U$31</c:f>
              <c:numCache>
                <c:formatCode>General</c:formatCode>
                <c:ptCount val="6"/>
                <c:pt idx="0">
                  <c:v>0</c:v>
                </c:pt>
                <c:pt idx="1">
                  <c:v>71.524298597194388</c:v>
                </c:pt>
                <c:pt idx="2">
                  <c:v>76.064629258517044</c:v>
                </c:pt>
                <c:pt idx="3">
                  <c:v>97.645290581162342</c:v>
                </c:pt>
                <c:pt idx="4">
                  <c:v>98.778807615230463</c:v>
                </c:pt>
                <c:pt idx="5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CA-49C7-962B-1595226A90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5855167"/>
        <c:axId val="1335855999"/>
      </c:scatterChart>
      <c:valAx>
        <c:axId val="13358551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tr-TR"/>
                  <a:t>Time</a:t>
                </a:r>
                <a:r>
                  <a:rPr lang="tr-TR" baseline="0"/>
                  <a:t> (minute)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35855999"/>
        <c:crosses val="autoZero"/>
        <c:crossBetween val="midCat"/>
        <c:majorUnit val="1"/>
      </c:valAx>
      <c:valAx>
        <c:axId val="1335855999"/>
        <c:scaling>
          <c:orientation val="minMax"/>
          <c:max val="104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tr-TR"/>
                  <a:t>Degradation</a:t>
                </a:r>
                <a:r>
                  <a:rPr lang="tr-TR" baseline="0"/>
                  <a:t>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35855167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50617433811141932"/>
          <c:y val="0.39577597155194305"/>
          <c:w val="0.2817489700604609"/>
          <c:h val="0.196187792774142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8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Sheet3!$B$3:$B$5</c:f>
              <c:numCache>
                <c:formatCode>General</c:formatCode>
                <c:ptCount val="3"/>
                <c:pt idx="0">
                  <c:v>2.5</c:v>
                </c:pt>
                <c:pt idx="1">
                  <c:v>5</c:v>
                </c:pt>
                <c:pt idx="2">
                  <c:v>10</c:v>
                </c:pt>
              </c:numCache>
            </c:numRef>
          </c:xVal>
          <c:yVal>
            <c:numRef>
              <c:f>Sheet3!$C$3:$C$5</c:f>
              <c:numCache>
                <c:formatCode>General</c:formatCode>
                <c:ptCount val="3"/>
                <c:pt idx="0">
                  <c:v>20.138888888888893</c:v>
                </c:pt>
                <c:pt idx="1">
                  <c:v>31.623931623931622</c:v>
                </c:pt>
                <c:pt idx="2">
                  <c:v>54.626865671641802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98-4EC0-9A27-64F7C64A3278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Sheet3!$B$3:$B$5</c:f>
              <c:numCache>
                <c:formatCode>General</c:formatCode>
                <c:ptCount val="3"/>
                <c:pt idx="0">
                  <c:v>2.5</c:v>
                </c:pt>
                <c:pt idx="1">
                  <c:v>5</c:v>
                </c:pt>
                <c:pt idx="2">
                  <c:v>10</c:v>
                </c:pt>
              </c:numCache>
            </c:numRef>
          </c:xVal>
          <c:yVal>
            <c:numRef>
              <c:f>Sheet3!$D$3:$D$5</c:f>
              <c:numCache>
                <c:formatCode>General</c:formatCode>
                <c:ptCount val="3"/>
                <c:pt idx="0">
                  <c:v>24.094707520891355</c:v>
                </c:pt>
                <c:pt idx="1">
                  <c:v>26.056338028169009</c:v>
                </c:pt>
                <c:pt idx="2">
                  <c:v>60.555555555555564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898-4EC0-9A27-64F7C64A32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3044767"/>
        <c:axId val="1257640063"/>
      </c:scatterChart>
      <c:valAx>
        <c:axId val="1393044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7640063"/>
        <c:crosses val="autoZero"/>
        <c:crossBetween val="midCat"/>
      </c:valAx>
      <c:valAx>
        <c:axId val="1257640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30447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Sheet3!$L$3:$L$5</c:f>
              <c:numCache>
                <c:formatCode>General</c:formatCode>
                <c:ptCount val="3"/>
                <c:pt idx="0">
                  <c:v>10</c:v>
                </c:pt>
                <c:pt idx="1">
                  <c:v>15</c:v>
                </c:pt>
                <c:pt idx="2">
                  <c:v>20</c:v>
                </c:pt>
              </c:numCache>
            </c:numRef>
          </c:xVal>
          <c:yVal>
            <c:numRef>
              <c:f>Sheet3!$M$3:$M$5</c:f>
              <c:numCache>
                <c:formatCode>General</c:formatCode>
                <c:ptCount val="3"/>
                <c:pt idx="0">
                  <c:v>27.87114845938375</c:v>
                </c:pt>
                <c:pt idx="1">
                  <c:v>45.329670329670321</c:v>
                </c:pt>
                <c:pt idx="2">
                  <c:v>49.719887955182074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1B-4810-B6B2-B2D4A24918E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Sheet3!$L$3:$L$5</c:f>
              <c:numCache>
                <c:formatCode>General</c:formatCode>
                <c:ptCount val="3"/>
                <c:pt idx="0">
                  <c:v>10</c:v>
                </c:pt>
                <c:pt idx="1">
                  <c:v>15</c:v>
                </c:pt>
                <c:pt idx="2">
                  <c:v>20</c:v>
                </c:pt>
              </c:numCache>
            </c:numRef>
          </c:xVal>
          <c:yVal>
            <c:numRef>
              <c:f>Sheet3!$N$3:$N$5</c:f>
              <c:numCache>
                <c:formatCode>General</c:formatCode>
                <c:ptCount val="3"/>
                <c:pt idx="0">
                  <c:v>35.19061583577713</c:v>
                </c:pt>
                <c:pt idx="1">
                  <c:v>36.46408839779005</c:v>
                </c:pt>
                <c:pt idx="2">
                  <c:v>43.715083798882674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C1B-4810-B6B2-B2D4A24918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7655295"/>
        <c:axId val="1385881551"/>
      </c:scatterChart>
      <c:valAx>
        <c:axId val="1457655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5881551"/>
        <c:crosses val="autoZero"/>
        <c:crossBetween val="midCat"/>
      </c:valAx>
      <c:valAx>
        <c:axId val="1385881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7655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Sheet3!$V$3:$V$5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15</c:v>
                </c:pt>
              </c:numCache>
            </c:numRef>
          </c:xVal>
          <c:yVal>
            <c:numRef>
              <c:f>Sheet3!$W$3:$W$5</c:f>
              <c:numCache>
                <c:formatCode>General</c:formatCode>
                <c:ptCount val="3"/>
                <c:pt idx="0">
                  <c:v>25.662482566248251</c:v>
                </c:pt>
                <c:pt idx="1">
                  <c:v>47.844228094575797</c:v>
                </c:pt>
                <c:pt idx="2">
                  <c:v>64.475524475524466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B9-4735-9F14-5D9D87B49502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5984689413823271E-2"/>
                  <c:y val="0.2777380431612714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Sheet3!$V$3:$V$5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15</c:v>
                </c:pt>
              </c:numCache>
            </c:numRef>
          </c:xVal>
          <c:yVal>
            <c:numRef>
              <c:f>Sheet3!$X$3:$X$5</c:f>
              <c:numCache>
                <c:formatCode>General</c:formatCode>
                <c:ptCount val="3"/>
                <c:pt idx="0">
                  <c:v>26.359832635983256</c:v>
                </c:pt>
                <c:pt idx="1">
                  <c:v>48.824343015214382</c:v>
                </c:pt>
                <c:pt idx="2">
                  <c:v>62.237762237762226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DB9-4735-9F14-5D9D87B495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3025567"/>
        <c:axId val="1257655455"/>
      </c:scatterChart>
      <c:valAx>
        <c:axId val="1393025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7655455"/>
        <c:crosses val="autoZero"/>
        <c:crossBetween val="midCat"/>
      </c:valAx>
      <c:valAx>
        <c:axId val="1257655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3025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46505</xdr:colOff>
      <xdr:row>19</xdr:row>
      <xdr:rowOff>67235</xdr:rowOff>
    </xdr:from>
    <xdr:to>
      <xdr:col>12</xdr:col>
      <xdr:colOff>346822</xdr:colOff>
      <xdr:row>40</xdr:row>
      <xdr:rowOff>56028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E9EBA4-B075-4119-9F0B-CD9EB10FFC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521072</xdr:colOff>
      <xdr:row>19</xdr:row>
      <xdr:rowOff>78442</xdr:rowOff>
    </xdr:from>
    <xdr:to>
      <xdr:col>20</xdr:col>
      <xdr:colOff>252131</xdr:colOff>
      <xdr:row>39</xdr:row>
      <xdr:rowOff>161366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1C1DBF6-6F8C-4561-A6B2-AAE05DA265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214312</xdr:colOff>
      <xdr:row>22</xdr:row>
      <xdr:rowOff>19051</xdr:rowOff>
    </xdr:from>
    <xdr:to>
      <xdr:col>8</xdr:col>
      <xdr:colOff>9525</xdr:colOff>
      <xdr:row>38</xdr:row>
      <xdr:rowOff>133351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658739-8FBC-43B4-ADE6-F3E2C0EFF0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600075</xdr:colOff>
      <xdr:row>22</xdr:row>
      <xdr:rowOff>28574</xdr:rowOff>
    </xdr:from>
    <xdr:to>
      <xdr:col>30</xdr:col>
      <xdr:colOff>200025</xdr:colOff>
      <xdr:row>37</xdr:row>
      <xdr:rowOff>190499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007B365-AA2E-4D6D-A757-EEA55E39C3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228600</xdr:colOff>
      <xdr:row>40</xdr:row>
      <xdr:rowOff>9525</xdr:rowOff>
    </xdr:from>
    <xdr:to>
      <xdr:col>6</xdr:col>
      <xdr:colOff>466725</xdr:colOff>
      <xdr:row>47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DD94150-F94C-40BA-8D7B-32CF46570D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23812</xdr:colOff>
      <xdr:row>31</xdr:row>
      <xdr:rowOff>95251</xdr:rowOff>
    </xdr:from>
    <xdr:to>
      <xdr:col>17</xdr:col>
      <xdr:colOff>19050</xdr:colOff>
      <xdr:row>39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C50B01-331D-4838-BCBD-D1BD5AE9EB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142875</xdr:rowOff>
    </xdr:from>
    <xdr:to>
      <xdr:col>6</xdr:col>
      <xdr:colOff>304800</xdr:colOff>
      <xdr:row>29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34E4A0-CD7A-46BC-BC2F-F02F1CF8A4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119062</xdr:colOff>
      <xdr:row>23</xdr:row>
      <xdr:rowOff>76200</xdr:rowOff>
    </xdr:from>
    <xdr:to>
      <xdr:col>12</xdr:col>
      <xdr:colOff>423862</xdr:colOff>
      <xdr:row>37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025CDD3-A158-4F28-8897-9BCB9E6883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347662</xdr:colOff>
      <xdr:row>23</xdr:row>
      <xdr:rowOff>123825</xdr:rowOff>
    </xdr:from>
    <xdr:to>
      <xdr:col>8</xdr:col>
      <xdr:colOff>42862</xdr:colOff>
      <xdr:row>38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E1A9D09-706F-4A8B-9C93-09233C9B20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76200</xdr:colOff>
      <xdr:row>17</xdr:row>
      <xdr:rowOff>95250</xdr:rowOff>
    </xdr:from>
    <xdr:to>
      <xdr:col>31</xdr:col>
      <xdr:colOff>381000</xdr:colOff>
      <xdr:row>31</xdr:row>
      <xdr:rowOff>171450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D778137-86CA-48BF-A28C-5C9C75C492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581025</xdr:colOff>
      <xdr:row>16</xdr:row>
      <xdr:rowOff>152400</xdr:rowOff>
    </xdr:from>
    <xdr:to>
      <xdr:col>9</xdr:col>
      <xdr:colOff>276225</xdr:colOff>
      <xdr:row>31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995E8C0-7D69-4AD6-A298-EB225A7A3D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333375</xdr:colOff>
      <xdr:row>21</xdr:row>
      <xdr:rowOff>0</xdr:rowOff>
    </xdr:from>
    <xdr:to>
      <xdr:col>20</xdr:col>
      <xdr:colOff>28575</xdr:colOff>
      <xdr:row>35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07A46E-5F76-4CEE-8B9E-8B0001B240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447675</xdr:colOff>
      <xdr:row>16</xdr:row>
      <xdr:rowOff>142875</xdr:rowOff>
    </xdr:from>
    <xdr:to>
      <xdr:col>8</xdr:col>
      <xdr:colOff>142875</xdr:colOff>
      <xdr:row>31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46B69D9-B1E8-4E22-8AF3-EC594B9C16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228599</xdr:colOff>
      <xdr:row>3</xdr:row>
      <xdr:rowOff>38100</xdr:rowOff>
    </xdr:from>
    <xdr:to>
      <xdr:col>21</xdr:col>
      <xdr:colOff>542924</xdr:colOff>
      <xdr:row>20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22CB287-307A-438C-9831-0B55B90A2F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161925</xdr:colOff>
      <xdr:row>17</xdr:row>
      <xdr:rowOff>152400</xdr:rowOff>
    </xdr:from>
    <xdr:to>
      <xdr:col>11</xdr:col>
      <xdr:colOff>209550</xdr:colOff>
      <xdr:row>37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1083326-0C0F-43D0-B2CB-1A04F34094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DA2DE4-539E-4416-9C90-5C9D6D853278}">
  <dimension ref="B1:AX14"/>
  <sheetViews>
    <sheetView zoomScale="85" zoomScaleNormal="85" workbookViewId="0">
      <selection activeCell="J8" sqref="J8"/>
    </sheetView>
  </sheetViews>
  <sheetFormatPr defaultRowHeight="14.4" x14ac:dyDescent="0.3"/>
  <sheetData>
    <row r="1" spans="2:50" x14ac:dyDescent="0.3">
      <c r="C1" t="s">
        <v>0</v>
      </c>
      <c r="D1">
        <v>1.077</v>
      </c>
      <c r="E1">
        <v>1.111</v>
      </c>
      <c r="F1">
        <f>AVERAGEA(D1:E1)</f>
        <v>1.0939999999999999</v>
      </c>
      <c r="H1" t="s">
        <v>1</v>
      </c>
      <c r="I1">
        <v>2.3E-2</v>
      </c>
      <c r="J1">
        <v>2.5000000000000001E-2</v>
      </c>
      <c r="K1">
        <v>2.9000000000000001E-2</v>
      </c>
      <c r="L1">
        <f>AVERAGEA(I1:K1)</f>
        <v>2.5666666666666667E-2</v>
      </c>
      <c r="W1">
        <v>1.7000000000000001E-2</v>
      </c>
      <c r="X1">
        <v>1.0999999999999999E-2</v>
      </c>
      <c r="Y1">
        <v>2.8000000000000001E-2</v>
      </c>
      <c r="AA1">
        <v>0.97099999999999997</v>
      </c>
      <c r="AB1">
        <v>1.0669999999999999</v>
      </c>
      <c r="AC1">
        <v>0.96699999999999997</v>
      </c>
    </row>
    <row r="2" spans="2:50" x14ac:dyDescent="0.3">
      <c r="B2" t="s">
        <v>6</v>
      </c>
      <c r="X2" t="s">
        <v>1</v>
      </c>
      <c r="Y2">
        <f>AVERAGEA(W1:Y1)</f>
        <v>1.8666666666666668E-2</v>
      </c>
      <c r="Z2" t="s">
        <v>0</v>
      </c>
      <c r="AA2">
        <f>AVERAGEA(AA1:AC1)</f>
        <v>1.0016666666666667</v>
      </c>
    </row>
    <row r="3" spans="2:50" x14ac:dyDescent="0.3">
      <c r="C3" s="1">
        <v>0.55000000000000004</v>
      </c>
      <c r="M3" s="1">
        <v>0.6</v>
      </c>
      <c r="W3" t="s">
        <v>11</v>
      </c>
      <c r="AG3" t="s">
        <v>13</v>
      </c>
      <c r="AP3" t="s">
        <v>14</v>
      </c>
    </row>
    <row r="4" spans="2:50" x14ac:dyDescent="0.3">
      <c r="F4" t="s">
        <v>2</v>
      </c>
      <c r="I4" t="s">
        <v>3</v>
      </c>
      <c r="J4" t="s">
        <v>4</v>
      </c>
      <c r="P4" t="s">
        <v>2</v>
      </c>
      <c r="S4" t="s">
        <v>3</v>
      </c>
      <c r="T4" t="s">
        <v>5</v>
      </c>
      <c r="Z4" t="s">
        <v>2</v>
      </c>
      <c r="AC4" t="s">
        <v>3</v>
      </c>
      <c r="AD4" t="s">
        <v>12</v>
      </c>
      <c r="AJ4" t="s">
        <v>2</v>
      </c>
      <c r="AM4" t="s">
        <v>3</v>
      </c>
      <c r="AN4" t="s">
        <v>12</v>
      </c>
      <c r="AT4" t="s">
        <v>2</v>
      </c>
      <c r="AW4" t="s">
        <v>3</v>
      </c>
      <c r="AX4" t="s">
        <v>12</v>
      </c>
    </row>
    <row r="5" spans="2:50" x14ac:dyDescent="0.3">
      <c r="B5" t="s">
        <v>42</v>
      </c>
      <c r="C5">
        <v>0.03</v>
      </c>
      <c r="D5">
        <v>3.5000000000000003E-2</v>
      </c>
      <c r="E5">
        <v>3.2000000000000001E-2</v>
      </c>
      <c r="F5">
        <f>(C5-$L$1)/($F$1-$L$1)*100</f>
        <v>0.40561622464898583</v>
      </c>
      <c r="G5">
        <f>(D5-$L$1)/($F$1-$L$1)*100</f>
        <v>0.87363494539781628</v>
      </c>
      <c r="H5">
        <f>(E5-$L$1)/($F$1-$L$1)*100</f>
        <v>0.5928237129485181</v>
      </c>
      <c r="I5">
        <f>AVERAGEA(F5:H5)</f>
        <v>0.62402496099844007</v>
      </c>
      <c r="J5">
        <f>STDEVA(F5:H5)</f>
        <v>0.23556425695072589</v>
      </c>
      <c r="L5">
        <v>5</v>
      </c>
      <c r="M5">
        <v>0.17199999999999999</v>
      </c>
      <c r="N5">
        <v>0.14199999999999999</v>
      </c>
      <c r="O5">
        <v>0.10199999999999999</v>
      </c>
      <c r="P5">
        <f t="shared" ref="P5:R6" si="0">(M5-$L$1)/($F$1-$L$1)*100</f>
        <v>13.697347893915756</v>
      </c>
      <c r="Q5">
        <f t="shared" si="0"/>
        <v>10.889235569422777</v>
      </c>
      <c r="R5">
        <f t="shared" si="0"/>
        <v>7.1450858034321367</v>
      </c>
      <c r="S5">
        <f>AVERAGEA(P5:R5)</f>
        <v>10.577223088923558</v>
      </c>
      <c r="T5">
        <f>STDEVA(P5:R5)</f>
        <v>3.2872554611084976</v>
      </c>
      <c r="V5">
        <v>5</v>
      </c>
      <c r="W5">
        <v>0.19800000000000001</v>
      </c>
      <c r="X5">
        <v>0.124</v>
      </c>
      <c r="Y5">
        <v>0.17199999999999999</v>
      </c>
      <c r="Z5">
        <f t="shared" ref="Z5:AB7" si="1">(W5-$Y$2)/($AA$2-$Y$2)*100</f>
        <v>18.243472363513057</v>
      </c>
      <c r="AA5">
        <f t="shared" si="1"/>
        <v>10.715496778569007</v>
      </c>
      <c r="AB5">
        <f t="shared" si="1"/>
        <v>15.598507968802982</v>
      </c>
      <c r="AC5">
        <f>AVERAGEA(Z5:AB5)</f>
        <v>14.852492370295016</v>
      </c>
      <c r="AD5">
        <f>STDEVA(Z5:AB5)</f>
        <v>3.8190324110684588</v>
      </c>
      <c r="AF5">
        <v>5</v>
      </c>
      <c r="AG5">
        <v>2.4E-2</v>
      </c>
      <c r="AH5">
        <v>0.03</v>
      </c>
      <c r="AI5">
        <v>0.02</v>
      </c>
      <c r="AJ5">
        <f t="shared" ref="AJ5:AL7" si="2">(AG5-$Y$2)/($AA$2-$Y$2)*100</f>
        <v>0.54255679891488628</v>
      </c>
      <c r="AK5">
        <f t="shared" si="2"/>
        <v>1.1529331976941333</v>
      </c>
      <c r="AL5">
        <f t="shared" si="2"/>
        <v>0.13563919972872149</v>
      </c>
      <c r="AM5">
        <f>AVERAGEA(AJ5:AL5)</f>
        <v>0.61037639877924699</v>
      </c>
      <c r="AN5">
        <f>STDEVA(AJ5:AL5)</f>
        <v>0.51202675044223456</v>
      </c>
      <c r="AP5">
        <v>5</v>
      </c>
      <c r="AQ5">
        <v>0.13</v>
      </c>
      <c r="AR5">
        <v>7.8E-2</v>
      </c>
      <c r="AT5">
        <f t="shared" ref="AT5:AU7" si="3">(AQ5-$Y$2)/($AA$2-$Y$2)*100</f>
        <v>11.325873177348255</v>
      </c>
      <c r="AU5">
        <f t="shared" si="3"/>
        <v>6.0359443879281116</v>
      </c>
      <c r="AW5">
        <f>AVERAGEA(AT5:AU5)</f>
        <v>8.6809087826381841</v>
      </c>
      <c r="AX5">
        <f>STDEVA(AT5:AU5)</f>
        <v>3.7405445189929236</v>
      </c>
    </row>
    <row r="6" spans="2:50" x14ac:dyDescent="0.3">
      <c r="B6">
        <v>1</v>
      </c>
      <c r="C6">
        <v>4.2000000000000003E-2</v>
      </c>
      <c r="D6">
        <v>4.4999999999999998E-2</v>
      </c>
      <c r="E6">
        <v>3.5999999999999997E-2</v>
      </c>
      <c r="F6">
        <f t="shared" ref="F6:H7" si="4">(C6-$L$1)/($F$1-$L$1)*100</f>
        <v>1.5288611544461783</v>
      </c>
      <c r="G6">
        <f t="shared" si="4"/>
        <v>1.809672386895476</v>
      </c>
      <c r="H6">
        <f t="shared" si="4"/>
        <v>0.96723868954758185</v>
      </c>
      <c r="I6">
        <f>AVERAGEA(F6:H6)</f>
        <v>1.435257410296412</v>
      </c>
      <c r="J6">
        <f>STDEVA(F6:H6)</f>
        <v>0.42894624289758299</v>
      </c>
      <c r="L6">
        <v>10</v>
      </c>
      <c r="M6">
        <v>4.2000000000000003E-2</v>
      </c>
      <c r="N6">
        <v>4.2000000000000003E-2</v>
      </c>
      <c r="O6">
        <v>4.4999999999999998E-2</v>
      </c>
      <c r="P6">
        <f t="shared" si="0"/>
        <v>1.5288611544461783</v>
      </c>
      <c r="Q6">
        <f t="shared" si="0"/>
        <v>1.5288611544461783</v>
      </c>
      <c r="R6">
        <f t="shared" si="0"/>
        <v>1.809672386895476</v>
      </c>
      <c r="S6">
        <f>AVERAGEA(P6:R6)</f>
        <v>1.6224648985959442</v>
      </c>
      <c r="T6">
        <f>STDEVA(P6:R6)</f>
        <v>0.16212644064607259</v>
      </c>
      <c r="V6">
        <v>10</v>
      </c>
      <c r="W6">
        <v>0.161</v>
      </c>
      <c r="X6">
        <v>0.214</v>
      </c>
      <c r="Y6">
        <v>0.18099999999999999</v>
      </c>
      <c r="Z6">
        <f t="shared" si="1"/>
        <v>14.479484571041032</v>
      </c>
      <c r="AA6">
        <f t="shared" si="1"/>
        <v>19.871142760257715</v>
      </c>
      <c r="AB6">
        <f t="shared" si="1"/>
        <v>16.514072566971855</v>
      </c>
      <c r="AC6">
        <f>AVERAGEA(Z6:AB6)</f>
        <v>16.954899966090199</v>
      </c>
      <c r="AD6">
        <f>STDEVA(Z6:AB6)</f>
        <v>2.7227267773680435</v>
      </c>
      <c r="AF6">
        <v>10</v>
      </c>
      <c r="AG6">
        <v>2.4E-2</v>
      </c>
      <c r="AH6">
        <v>2.5000000000000001E-2</v>
      </c>
      <c r="AI6">
        <v>2.8000000000000001E-2</v>
      </c>
      <c r="AJ6">
        <f t="shared" si="2"/>
        <v>0.54255679891488628</v>
      </c>
      <c r="AK6">
        <f t="shared" si="2"/>
        <v>0.64428619871142756</v>
      </c>
      <c r="AL6">
        <f t="shared" si="2"/>
        <v>0.94947439810105105</v>
      </c>
      <c r="AM6">
        <f>AVERAGEA(AJ6:AL6)</f>
        <v>0.71210579857578837</v>
      </c>
      <c r="AN6">
        <f>STDEVA(AJ6:AL6)</f>
        <v>0.2117666327025565</v>
      </c>
      <c r="AP6">
        <v>10</v>
      </c>
      <c r="AQ6">
        <v>0.19</v>
      </c>
      <c r="AR6">
        <v>0.157</v>
      </c>
      <c r="AT6">
        <f t="shared" si="3"/>
        <v>17.429637165140726</v>
      </c>
      <c r="AU6">
        <f t="shared" si="3"/>
        <v>14.072566971854867</v>
      </c>
      <c r="AW6">
        <f>AVERAGEA(AT6:AU6)</f>
        <v>15.751102068497797</v>
      </c>
      <c r="AX6">
        <f>STDEVA(AT6:AU6)</f>
        <v>2.3738070985916573</v>
      </c>
    </row>
    <row r="7" spans="2:50" x14ac:dyDescent="0.3">
      <c r="B7">
        <v>2</v>
      </c>
      <c r="C7">
        <v>3.6999999999999998E-2</v>
      </c>
      <c r="D7">
        <v>0.04</v>
      </c>
      <c r="E7">
        <v>3.7999999999999999E-2</v>
      </c>
      <c r="F7">
        <f>(C7-$L$1)/($F$1-$L$1)*100</f>
        <v>1.0608424336973479</v>
      </c>
      <c r="G7">
        <f t="shared" si="4"/>
        <v>1.3416536661466461</v>
      </c>
      <c r="H7">
        <f t="shared" si="4"/>
        <v>1.1544461778471138</v>
      </c>
      <c r="I7">
        <f>AVERAGEA(F7:H7)</f>
        <v>1.185647425897036</v>
      </c>
      <c r="J7">
        <f>STDEVA(F7:H7)</f>
        <v>0.14298208096586096</v>
      </c>
      <c r="L7">
        <v>20</v>
      </c>
      <c r="M7">
        <v>0.13500000000000001</v>
      </c>
      <c r="N7">
        <v>0.108</v>
      </c>
      <c r="O7">
        <v>0.125</v>
      </c>
      <c r="P7">
        <f>(C7-$L$1)/($F$1-$L$1)*100</f>
        <v>1.0608424336973479</v>
      </c>
      <c r="Q7">
        <f>(D7-$L$1)/($F$1-$L$1)*100</f>
        <v>1.3416536661466461</v>
      </c>
      <c r="R7">
        <f>(E7-$L$1)/($F$1-$L$1)*100</f>
        <v>1.1544461778471138</v>
      </c>
      <c r="S7">
        <f>AVERAGEA(P7:R7)</f>
        <v>1.185647425897036</v>
      </c>
      <c r="T7">
        <f>STDEVA(P7:R7)</f>
        <v>0.14298208096586096</v>
      </c>
      <c r="V7">
        <v>20</v>
      </c>
      <c r="W7">
        <v>0.23699999999999999</v>
      </c>
      <c r="X7">
        <v>0.313</v>
      </c>
      <c r="Y7">
        <v>0.36</v>
      </c>
      <c r="Z7">
        <f t="shared" si="1"/>
        <v>22.210918955578162</v>
      </c>
      <c r="AA7">
        <f t="shared" si="1"/>
        <v>29.942353340115297</v>
      </c>
      <c r="AB7">
        <f t="shared" si="1"/>
        <v>34.723635130552729</v>
      </c>
      <c r="AC7">
        <f>AVERAGEA(Z7:AB7)</f>
        <v>28.958969142082065</v>
      </c>
      <c r="AD7">
        <f>STDEVA(Z7:AB7)</f>
        <v>6.3140557393464203</v>
      </c>
      <c r="AF7">
        <v>20</v>
      </c>
      <c r="AG7">
        <v>2.5999999999999999E-2</v>
      </c>
      <c r="AH7">
        <v>0.03</v>
      </c>
      <c r="AI7">
        <v>2.4E-2</v>
      </c>
      <c r="AJ7">
        <f t="shared" si="2"/>
        <v>0.74601559850796861</v>
      </c>
      <c r="AK7">
        <f t="shared" si="2"/>
        <v>1.1529331976941333</v>
      </c>
      <c r="AL7">
        <f t="shared" si="2"/>
        <v>0.54255679891488628</v>
      </c>
      <c r="AM7">
        <f>AVERAGEA(AJ7:AL7)</f>
        <v>0.81383519837232932</v>
      </c>
      <c r="AN7">
        <f>STDEVA(AJ7:AL7)</f>
        <v>0.31078844998005034</v>
      </c>
      <c r="AP7">
        <v>20</v>
      </c>
      <c r="AQ7">
        <v>0.245</v>
      </c>
      <c r="AR7">
        <v>0.31900000000000001</v>
      </c>
      <c r="AT7">
        <f t="shared" si="3"/>
        <v>23.024754153950493</v>
      </c>
      <c r="AU7">
        <f t="shared" si="3"/>
        <v>30.552729738894541</v>
      </c>
      <c r="AW7">
        <f>AVERAGEA(AT7:AU7)</f>
        <v>26.788741946422519</v>
      </c>
      <c r="AX7">
        <f>STDEVA(AT7:AU7)</f>
        <v>5.3230825847206988</v>
      </c>
    </row>
    <row r="10" spans="2:50" x14ac:dyDescent="0.3">
      <c r="B10" t="s">
        <v>7</v>
      </c>
      <c r="D10" t="s">
        <v>8</v>
      </c>
      <c r="E10">
        <v>0.8</v>
      </c>
      <c r="F10">
        <v>0.81200000000000006</v>
      </c>
      <c r="G10">
        <v>0.78300000000000003</v>
      </c>
      <c r="H10">
        <f>AVERAGEA(E10:G10)</f>
        <v>0.79833333333333334</v>
      </c>
    </row>
    <row r="11" spans="2:50" x14ac:dyDescent="0.3">
      <c r="F11" t="s">
        <v>2</v>
      </c>
      <c r="I11" t="s">
        <v>3</v>
      </c>
      <c r="J11" t="s">
        <v>10</v>
      </c>
      <c r="O11" t="s">
        <v>2</v>
      </c>
      <c r="R11" t="s">
        <v>9</v>
      </c>
      <c r="S11" t="s">
        <v>10</v>
      </c>
      <c r="Z11" t="s">
        <v>2</v>
      </c>
      <c r="AC11" t="s">
        <v>3</v>
      </c>
      <c r="AD11" t="s">
        <v>12</v>
      </c>
      <c r="AJ11" t="s">
        <v>2</v>
      </c>
      <c r="AM11" t="s">
        <v>3</v>
      </c>
      <c r="AN11" t="s">
        <v>12</v>
      </c>
      <c r="AT11" t="s">
        <v>2</v>
      </c>
      <c r="AW11" t="s">
        <v>3</v>
      </c>
      <c r="AX11" t="s">
        <v>12</v>
      </c>
    </row>
    <row r="12" spans="2:50" x14ac:dyDescent="0.3">
      <c r="B12" t="s">
        <v>42</v>
      </c>
      <c r="C12">
        <v>0.61299999999999999</v>
      </c>
      <c r="D12">
        <v>0.61699999999999999</v>
      </c>
      <c r="E12">
        <v>0.60399999999999998</v>
      </c>
      <c r="F12">
        <f t="shared" ref="F12:H14" si="5">C12/$H$10*100</f>
        <v>76.784968684759917</v>
      </c>
      <c r="G12">
        <f t="shared" si="5"/>
        <v>77.286012526096044</v>
      </c>
      <c r="H12">
        <f t="shared" si="5"/>
        <v>75.657620041753646</v>
      </c>
      <c r="I12">
        <f>AVERAGEA(F12:H12)</f>
        <v>76.57620041753654</v>
      </c>
      <c r="J12">
        <f>STDEVA(F12:H12)</f>
        <v>0.83402857433980782</v>
      </c>
      <c r="K12">
        <v>5</v>
      </c>
      <c r="L12">
        <v>0.51600000000000001</v>
      </c>
      <c r="M12">
        <v>0.58299999999999996</v>
      </c>
      <c r="N12">
        <v>0.56899999999999995</v>
      </c>
      <c r="O12">
        <f t="shared" ref="O12:Q14" si="6">L12/$H$10*100</f>
        <v>64.634655532359091</v>
      </c>
      <c r="P12">
        <f t="shared" si="6"/>
        <v>73.027139874739035</v>
      </c>
      <c r="Q12">
        <f t="shared" si="6"/>
        <v>71.273486430062633</v>
      </c>
      <c r="R12">
        <f>AVERAGEA(O12:Q12)</f>
        <v>69.645093945720248</v>
      </c>
      <c r="S12">
        <f>STDEVA(O12:Q12)</f>
        <v>4.4268719115838664</v>
      </c>
      <c r="V12">
        <v>5</v>
      </c>
      <c r="W12">
        <v>1</v>
      </c>
      <c r="X12">
        <v>0.995</v>
      </c>
      <c r="Y12">
        <v>1.0009999999999999</v>
      </c>
      <c r="Z12">
        <f t="shared" ref="Z12:AB14" si="7">(W12/$AA$2)*100</f>
        <v>99.833610648918466</v>
      </c>
      <c r="AA12">
        <f t="shared" si="7"/>
        <v>99.334442595673877</v>
      </c>
      <c r="AB12">
        <f t="shared" si="7"/>
        <v>99.933444259567366</v>
      </c>
      <c r="AC12">
        <f>AVERAGEA(Z12:AB12)</f>
        <v>99.700499168053227</v>
      </c>
      <c r="AD12">
        <f>STDEVA(Z12:AB12)</f>
        <v>0.32092015843569688</v>
      </c>
      <c r="AF12">
        <v>5</v>
      </c>
      <c r="AG12">
        <v>0.53100000000000003</v>
      </c>
      <c r="AH12">
        <v>0.53500000000000003</v>
      </c>
      <c r="AI12">
        <v>0.51600000000000001</v>
      </c>
      <c r="AJ12">
        <f t="shared" ref="AJ12:AL14" si="8">(AG12/$AA$2)*100</f>
        <v>53.011647254575713</v>
      </c>
      <c r="AK12">
        <f t="shared" si="8"/>
        <v>53.41098169717138</v>
      </c>
      <c r="AL12">
        <f t="shared" si="8"/>
        <v>51.514143094841927</v>
      </c>
      <c r="AM12">
        <f>AVERAGEA(AJ12:AL12)</f>
        <v>52.645590682196342</v>
      </c>
      <c r="AN12">
        <f>STDEVA(AJ12:AL12)</f>
        <v>0.99999861572823667</v>
      </c>
      <c r="AP12">
        <v>5</v>
      </c>
      <c r="AQ12">
        <v>0.66500000000000004</v>
      </c>
      <c r="AR12">
        <v>0.65700000000000003</v>
      </c>
      <c r="AT12">
        <f t="shared" ref="AT12:AU14" si="9">(AQ12/$AA$2)*100</f>
        <v>66.389351081530776</v>
      </c>
      <c r="AU12">
        <f t="shared" si="9"/>
        <v>65.590682196339429</v>
      </c>
      <c r="AW12">
        <f>AVERAGEA(AT12:AU12)</f>
        <v>65.990016638935103</v>
      </c>
      <c r="AX12">
        <f>STDEVA(AT12:AU12)</f>
        <v>0.56474418464150167</v>
      </c>
    </row>
    <row r="13" spans="2:50" x14ac:dyDescent="0.3">
      <c r="B13">
        <v>1</v>
      </c>
      <c r="C13">
        <v>0.5</v>
      </c>
      <c r="D13">
        <v>0.40799999999999997</v>
      </c>
      <c r="E13">
        <v>0.36599999999999999</v>
      </c>
      <c r="F13">
        <f t="shared" si="5"/>
        <v>62.630480167014611</v>
      </c>
      <c r="G13">
        <f t="shared" si="5"/>
        <v>51.106471816283914</v>
      </c>
      <c r="H13">
        <f t="shared" si="5"/>
        <v>45.8455114822547</v>
      </c>
      <c r="I13">
        <f>AVERAGEA(F13:H13)</f>
        <v>53.194154488517739</v>
      </c>
      <c r="J13">
        <f>STDEVA(F13:H13)</f>
        <v>8.5850222854720943</v>
      </c>
      <c r="K13">
        <v>10</v>
      </c>
      <c r="L13">
        <v>0.51300000000000001</v>
      </c>
      <c r="M13">
        <v>0.497</v>
      </c>
      <c r="N13">
        <v>0.5</v>
      </c>
      <c r="O13">
        <f t="shared" si="6"/>
        <v>64.258872651356995</v>
      </c>
      <c r="P13">
        <f t="shared" si="6"/>
        <v>62.254697286012529</v>
      </c>
      <c r="Q13">
        <f t="shared" si="6"/>
        <v>62.630480167014611</v>
      </c>
      <c r="R13">
        <f>AVERAGEA(O13:Q13)</f>
        <v>63.048016701461371</v>
      </c>
      <c r="S13">
        <f>STDEVA(O13:Q13)</f>
        <v>1.0653320102023445</v>
      </c>
      <c r="V13">
        <v>10</v>
      </c>
      <c r="W13">
        <v>0.73599999999999999</v>
      </c>
      <c r="X13">
        <v>0.73899999999999999</v>
      </c>
      <c r="Y13">
        <v>0.69499999999999995</v>
      </c>
      <c r="Z13">
        <f t="shared" si="7"/>
        <v>73.477537437603985</v>
      </c>
      <c r="AA13">
        <f t="shared" si="7"/>
        <v>73.777038269550744</v>
      </c>
      <c r="AB13">
        <f t="shared" si="7"/>
        <v>69.384359400998335</v>
      </c>
      <c r="AC13">
        <f>AVERAGEA(Z13:AB13)</f>
        <v>72.212978369384359</v>
      </c>
      <c r="AD13">
        <f>STDEVA(Z13:AB13)</f>
        <v>2.4542288276196031</v>
      </c>
      <c r="AF13">
        <v>10</v>
      </c>
      <c r="AG13">
        <v>0.35499999999999998</v>
      </c>
      <c r="AH13">
        <v>0.42099999999999999</v>
      </c>
      <c r="AI13">
        <v>0.4</v>
      </c>
      <c r="AJ13">
        <f t="shared" si="8"/>
        <v>35.44093178036605</v>
      </c>
      <c r="AK13">
        <f t="shared" si="8"/>
        <v>42.02995008319467</v>
      </c>
      <c r="AL13">
        <f t="shared" si="8"/>
        <v>39.933444259567388</v>
      </c>
      <c r="AM13">
        <f>AVERAGEA(AJ13:AL13)</f>
        <v>39.134775374376034</v>
      </c>
      <c r="AN13">
        <f>STDEVA(AJ13:AL13)</f>
        <v>3.3663325058410729</v>
      </c>
      <c r="AP13">
        <v>10</v>
      </c>
      <c r="AQ13">
        <v>0.64600000000000002</v>
      </c>
      <c r="AR13">
        <v>0.64100000000000001</v>
      </c>
      <c r="AT13">
        <f t="shared" si="9"/>
        <v>64.492512479201338</v>
      </c>
      <c r="AU13">
        <f t="shared" si="9"/>
        <v>63.993344425956735</v>
      </c>
      <c r="AW13">
        <f>AVERAGEA(AT13:AU13)</f>
        <v>64.242928452579037</v>
      </c>
      <c r="AX13">
        <f>STDEVA(AT13:AU13)</f>
        <v>0.35296511540094611</v>
      </c>
    </row>
    <row r="14" spans="2:50" x14ac:dyDescent="0.3">
      <c r="B14">
        <v>2</v>
      </c>
      <c r="C14">
        <v>0.41499999999999998</v>
      </c>
      <c r="D14">
        <v>0.38700000000000001</v>
      </c>
      <c r="E14">
        <v>0.45700000000000002</v>
      </c>
      <c r="F14">
        <f t="shared" si="5"/>
        <v>51.983298538622122</v>
      </c>
      <c r="G14">
        <f t="shared" si="5"/>
        <v>48.475991649269311</v>
      </c>
      <c r="H14">
        <f t="shared" si="5"/>
        <v>57.244258872651358</v>
      </c>
      <c r="I14">
        <f>AVERAGEA(F14:H14)</f>
        <v>52.567849686847602</v>
      </c>
      <c r="J14">
        <f>STDEVA(F14:H14)</f>
        <v>4.4132643880497087</v>
      </c>
      <c r="K14">
        <v>20</v>
      </c>
      <c r="L14">
        <v>0.41199999999999998</v>
      </c>
      <c r="M14">
        <v>0.38</v>
      </c>
      <c r="N14">
        <v>0.35</v>
      </c>
      <c r="O14">
        <f t="shared" si="6"/>
        <v>51.607515657620041</v>
      </c>
      <c r="P14">
        <f t="shared" si="6"/>
        <v>47.59916492693111</v>
      </c>
      <c r="Q14">
        <f t="shared" si="6"/>
        <v>43.841336116910227</v>
      </c>
      <c r="R14">
        <f>AVERAGEA(O14:Q14)</f>
        <v>47.682672233820462</v>
      </c>
      <c r="S14">
        <f>STDEVA(O14:Q14)</f>
        <v>3.8837631579903089</v>
      </c>
      <c r="V14">
        <v>20</v>
      </c>
      <c r="W14">
        <v>0.69</v>
      </c>
      <c r="X14">
        <v>0.67300000000000004</v>
      </c>
      <c r="Y14">
        <v>0.67400000000000004</v>
      </c>
      <c r="Z14">
        <f t="shared" si="7"/>
        <v>68.885191347753732</v>
      </c>
      <c r="AA14">
        <f t="shared" si="7"/>
        <v>67.188019966722138</v>
      </c>
      <c r="AB14">
        <f t="shared" si="7"/>
        <v>67.287853577371052</v>
      </c>
      <c r="AC14">
        <f>AVERAGEA(Z14:AB14)</f>
        <v>67.787021630615641</v>
      </c>
      <c r="AD14">
        <f>STDEVA(Z14:AB14)</f>
        <v>0.95235194816998558</v>
      </c>
      <c r="AF14">
        <v>20</v>
      </c>
      <c r="AG14">
        <v>7.4999999999999997E-2</v>
      </c>
      <c r="AH14">
        <v>0.08</v>
      </c>
      <c r="AI14">
        <v>0.106</v>
      </c>
      <c r="AJ14">
        <f t="shared" si="8"/>
        <v>7.4875207986688839</v>
      </c>
      <c r="AK14">
        <f t="shared" si="8"/>
        <v>7.9866888519134775</v>
      </c>
      <c r="AL14">
        <f t="shared" si="8"/>
        <v>10.582362728785357</v>
      </c>
      <c r="AM14">
        <f>AVERAGEA(AJ14:AL14)</f>
        <v>8.6855241264559062</v>
      </c>
      <c r="AN14">
        <f>STDEVA(AJ14:AL14)</f>
        <v>1.6615624269976648</v>
      </c>
      <c r="AP14">
        <v>20</v>
      </c>
      <c r="AQ14">
        <v>0.56699999999999995</v>
      </c>
      <c r="AR14">
        <v>0.623</v>
      </c>
      <c r="AT14">
        <f t="shared" si="9"/>
        <v>56.605657237936768</v>
      </c>
      <c r="AU14">
        <f t="shared" si="9"/>
        <v>62.196339434276204</v>
      </c>
      <c r="AW14">
        <f>AVERAGEA(AT14:AU14)</f>
        <v>59.400998336106483</v>
      </c>
      <c r="AX14">
        <f>STDEVA(AT14:AU14)</f>
        <v>3.9532092924905169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A7500-866B-46E2-A40B-6C2C6298F028}">
  <dimension ref="A1:AN31"/>
  <sheetViews>
    <sheetView topLeftCell="A5" workbookViewId="0">
      <selection activeCell="K4" sqref="K4"/>
    </sheetView>
  </sheetViews>
  <sheetFormatPr defaultRowHeight="14.4" x14ac:dyDescent="0.3"/>
  <sheetData>
    <row r="1" spans="1:40" x14ac:dyDescent="0.3">
      <c r="B1" t="s">
        <v>15</v>
      </c>
      <c r="S1" t="s">
        <v>25</v>
      </c>
      <c r="T1">
        <v>8.7210000000000001</v>
      </c>
      <c r="U1">
        <v>1046.52</v>
      </c>
      <c r="V1">
        <v>100</v>
      </c>
      <c r="AK1" t="s">
        <v>24</v>
      </c>
      <c r="AL1">
        <v>10.938000000000001</v>
      </c>
      <c r="AM1">
        <v>1312.56</v>
      </c>
      <c r="AN1">
        <v>100</v>
      </c>
    </row>
    <row r="2" spans="1:40" x14ac:dyDescent="0.3">
      <c r="B2" t="s">
        <v>16</v>
      </c>
      <c r="D2" t="s">
        <v>21</v>
      </c>
      <c r="O2" t="s">
        <v>22</v>
      </c>
      <c r="Q2" t="s">
        <v>21</v>
      </c>
      <c r="AB2" t="s">
        <v>22</v>
      </c>
      <c r="AD2" t="s">
        <v>21</v>
      </c>
    </row>
    <row r="3" spans="1:40" x14ac:dyDescent="0.3">
      <c r="A3" t="s">
        <v>20</v>
      </c>
      <c r="B3" t="s">
        <v>17</v>
      </c>
      <c r="C3" t="s">
        <v>18</v>
      </c>
      <c r="D3" t="s">
        <v>19</v>
      </c>
      <c r="H3" t="s">
        <v>2</v>
      </c>
      <c r="K3" t="s">
        <v>9</v>
      </c>
      <c r="L3" t="s">
        <v>10</v>
      </c>
      <c r="N3" t="s">
        <v>23</v>
      </c>
      <c r="O3">
        <v>31.5</v>
      </c>
      <c r="P3">
        <v>29.5</v>
      </c>
      <c r="Q3">
        <v>29.9</v>
      </c>
      <c r="U3" s="4" t="s">
        <v>2</v>
      </c>
      <c r="X3" t="s">
        <v>3</v>
      </c>
      <c r="Y3" t="s">
        <v>12</v>
      </c>
      <c r="AA3" t="s">
        <v>23</v>
      </c>
      <c r="AB3">
        <v>31.5</v>
      </c>
      <c r="AC3">
        <v>29.5</v>
      </c>
      <c r="AD3">
        <v>29.9</v>
      </c>
      <c r="AH3" t="s">
        <v>2</v>
      </c>
      <c r="AK3" t="s">
        <v>3</v>
      </c>
      <c r="AL3" t="s">
        <v>12</v>
      </c>
    </row>
    <row r="4" spans="1:40" x14ac:dyDescent="0.3">
      <c r="A4">
        <v>0.5</v>
      </c>
      <c r="B4">
        <v>12.289</v>
      </c>
      <c r="C4">
        <v>20.004999999999999</v>
      </c>
      <c r="D4">
        <v>15.247999999999999</v>
      </c>
      <c r="E4">
        <f>(B4*0.03)/0.0323</f>
        <v>11.413931888544891</v>
      </c>
      <c r="F4">
        <f>(C4*0.03)/0.0329</f>
        <v>18.241641337386017</v>
      </c>
      <c r="G4">
        <f>(D4*0.03)/0.0342</f>
        <v>13.375438596491227</v>
      </c>
      <c r="H4">
        <f t="shared" ref="H4:H22" si="0">(E4*100)/$U$1</f>
        <v>1.090655877436159</v>
      </c>
      <c r="I4">
        <f t="shared" ref="I4:I22" si="1">(F4*100)/$U$1</f>
        <v>1.7430762276292873</v>
      </c>
      <c r="J4">
        <f t="shared" ref="J4:J22" si="2">(G4*100)/$U$1</f>
        <v>1.2780872411890098</v>
      </c>
      <c r="K4">
        <f>AVERAGEA(H4:J4)</f>
        <v>1.3706064487514855</v>
      </c>
      <c r="L4">
        <f>STDEVA(H4:J4)</f>
        <v>0.33590613445205464</v>
      </c>
      <c r="N4">
        <v>0.5</v>
      </c>
      <c r="O4">
        <v>13.007999999999999</v>
      </c>
      <c r="P4">
        <v>13.228999999999999</v>
      </c>
      <c r="Q4">
        <v>12.842000000000001</v>
      </c>
      <c r="R4">
        <v>10.997999999999999</v>
      </c>
      <c r="S4">
        <f>(P4*0.03)/0.0295</f>
        <v>13.45322033898305</v>
      </c>
      <c r="T4">
        <f>(Q4*0.03)/0.0299</f>
        <v>12.88494983277592</v>
      </c>
      <c r="U4">
        <f>(R4*100)/$U$1</f>
        <v>1.0509115927072583</v>
      </c>
      <c r="V4">
        <f t="shared" ref="V4:W19" si="3">(S4*100)/$U$1</f>
        <v>1.28551965934555</v>
      </c>
      <c r="W4">
        <f t="shared" si="3"/>
        <v>1.2312186898268471</v>
      </c>
      <c r="X4">
        <f>AVERAGEA(U4:W4)</f>
        <v>1.1892166472932184</v>
      </c>
      <c r="Y4">
        <f>STDEVA(U4:W4)</f>
        <v>0.1228143514239555</v>
      </c>
      <c r="AA4">
        <v>0.5</v>
      </c>
      <c r="AB4">
        <v>56.755000000000003</v>
      </c>
      <c r="AC4">
        <v>55.484999999999999</v>
      </c>
      <c r="AD4">
        <v>55.424999999999997</v>
      </c>
      <c r="AE4">
        <f>(AB4*0.03)/0.0315</f>
        <v>54.05238095238095</v>
      </c>
      <c r="AF4">
        <f>(AC4*0.03)/0.0295</f>
        <v>56.425423728813563</v>
      </c>
      <c r="AG4">
        <f>(AD4*0.03)/0.0299</f>
        <v>55.610367892976591</v>
      </c>
      <c r="AH4">
        <f>(AE4*100)/$AM$1</f>
        <v>4.1180883885217403</v>
      </c>
      <c r="AI4">
        <f>(AF4*100)/$AM$1</f>
        <v>4.2988833827644886</v>
      </c>
      <c r="AJ4">
        <f>(AG4*100)/$AM$1</f>
        <v>4.2367867292144048</v>
      </c>
      <c r="AK4">
        <f>AVERAGEA(AH4:AJ4)</f>
        <v>4.2179195001668779</v>
      </c>
      <c r="AL4">
        <f>STDEVA(AH4:AJ4)</f>
        <v>9.1862324893057901E-2</v>
      </c>
    </row>
    <row r="5" spans="1:40" x14ac:dyDescent="0.3">
      <c r="A5">
        <v>1</v>
      </c>
      <c r="B5">
        <v>13.146000000000001</v>
      </c>
      <c r="C5">
        <v>14.944000000000001</v>
      </c>
      <c r="D5">
        <v>12.952</v>
      </c>
      <c r="E5">
        <f>(B5*0.03)/0.0323*6</f>
        <v>73.259442724458196</v>
      </c>
      <c r="F5">
        <f>(C5*0.03)/0.0329*6</f>
        <v>81.760486322188456</v>
      </c>
      <c r="G5">
        <f>(D5*0.03)/0.0342*6</f>
        <v>68.168421052631572</v>
      </c>
      <c r="H5">
        <f t="shared" si="0"/>
        <v>7.0002907469000304</v>
      </c>
      <c r="I5">
        <f t="shared" si="1"/>
        <v>7.8126061921595813</v>
      </c>
      <c r="J5">
        <f t="shared" si="2"/>
        <v>6.5138192344753634</v>
      </c>
      <c r="K5">
        <f t="shared" ref="K5:K22" si="4">AVERAGEA(H5:J5)</f>
        <v>7.1089053911783253</v>
      </c>
      <c r="L5">
        <f t="shared" ref="L5:L22" si="5">STDEVA(H5:J5)</f>
        <v>0.656170516006649</v>
      </c>
      <c r="N5">
        <v>1</v>
      </c>
      <c r="O5">
        <v>12.371</v>
      </c>
      <c r="P5">
        <v>10.242000000000001</v>
      </c>
      <c r="Q5">
        <v>9.7439999999999998</v>
      </c>
      <c r="R5">
        <f>(O5*0.03)/0.0315*6</f>
        <v>70.691428571428574</v>
      </c>
      <c r="S5">
        <f>(P5*0.03)/0.0295*6</f>
        <v>62.493559322033917</v>
      </c>
      <c r="T5">
        <f>(Q5*0.03)/0.0299*6</f>
        <v>58.659531772575249</v>
      </c>
      <c r="U5">
        <f t="shared" ref="U5:U22" si="6">(R5*100)/$U$1</f>
        <v>6.7549046909212036</v>
      </c>
      <c r="V5">
        <f t="shared" si="3"/>
        <v>5.9715590071889615</v>
      </c>
      <c r="W5">
        <f t="shared" si="3"/>
        <v>5.6051993055627456</v>
      </c>
      <c r="X5">
        <f t="shared" ref="X5:X22" si="7">AVERAGEA(U5:W5)</f>
        <v>6.1105543345576372</v>
      </c>
      <c r="Y5">
        <f t="shared" ref="Y5:Y22" si="8">STDEVA(U5:W5)</f>
        <v>0.58732052071531093</v>
      </c>
      <c r="AA5">
        <v>1</v>
      </c>
      <c r="AB5">
        <v>22.966000000000001</v>
      </c>
      <c r="AC5">
        <v>18.977</v>
      </c>
      <c r="AD5">
        <v>18.010000000000002</v>
      </c>
      <c r="AE5">
        <f>(AB5*0.03)/0.0315*6</f>
        <v>131.23428571428573</v>
      </c>
      <c r="AF5">
        <f>(AC5*0.03)/0.0295*6</f>
        <v>115.79186440677967</v>
      </c>
      <c r="AG5">
        <f>(AD5*0.03)/0.0299*6</f>
        <v>108.42140468227424</v>
      </c>
      <c r="AH5">
        <f t="shared" ref="AH5:AH21" si="9">(AE5*100)/$AM$1</f>
        <v>9.9983456538585465</v>
      </c>
      <c r="AI5">
        <f t="shared" ref="AI5:AI21" si="10">(AF5*100)/$AM$1</f>
        <v>8.8218340042953969</v>
      </c>
      <c r="AJ5">
        <f t="shared" ref="AJ5:AJ21" si="11">(AG5*100)/$AM$1</f>
        <v>8.2603008382301955</v>
      </c>
      <c r="AK5">
        <f t="shared" ref="AK5:AK21" si="12">AVERAGEA(AH5:AJ5)</f>
        <v>9.0268268321280463</v>
      </c>
      <c r="AL5">
        <f t="shared" ref="AL5:AL21" si="13">STDEVA(AH5:AJ5)</f>
        <v>0.88697039966408509</v>
      </c>
    </row>
    <row r="6" spans="1:40" x14ac:dyDescent="0.3">
      <c r="A6">
        <v>1.5</v>
      </c>
      <c r="B6">
        <v>20.585999999999999</v>
      </c>
      <c r="C6">
        <v>23.02</v>
      </c>
      <c r="D6">
        <v>23.794</v>
      </c>
      <c r="E6">
        <f>(B6*0.0295)/0.0323*6</f>
        <v>112.80873065015477</v>
      </c>
      <c r="F6">
        <f>(C6*0.0295)/0.0329*6</f>
        <v>123.84620060790274</v>
      </c>
      <c r="G6">
        <f>(D6*0.0295)/0.0342*6</f>
        <v>123.14438596491226</v>
      </c>
      <c r="H6">
        <f t="shared" si="0"/>
        <v>10.779414693475021</v>
      </c>
      <c r="I6">
        <f t="shared" si="1"/>
        <v>11.83409782975029</v>
      </c>
      <c r="J6">
        <f t="shared" si="2"/>
        <v>11.767036078136323</v>
      </c>
      <c r="K6">
        <f t="shared" si="4"/>
        <v>11.460182867120544</v>
      </c>
      <c r="L6">
        <f t="shared" si="5"/>
        <v>0.59051528288341526</v>
      </c>
      <c r="N6">
        <v>1.5</v>
      </c>
      <c r="O6">
        <v>18.013999999999999</v>
      </c>
      <c r="P6">
        <v>16.713999999999999</v>
      </c>
      <c r="Q6">
        <v>16.05</v>
      </c>
      <c r="R6">
        <f>(O6*0.0295)/0.0315*6</f>
        <v>101.2215238095238</v>
      </c>
      <c r="S6">
        <f>(P6*0.0295)/0.0295*6</f>
        <v>100.28399999999999</v>
      </c>
      <c r="T6">
        <f>(Q6*0.0295)/0.0299*6</f>
        <v>95.011705685618722</v>
      </c>
      <c r="U6">
        <f t="shared" si="6"/>
        <v>9.6722015641864285</v>
      </c>
      <c r="V6">
        <f t="shared" si="3"/>
        <v>9.5826166723999542</v>
      </c>
      <c r="W6">
        <f t="shared" si="3"/>
        <v>9.0788236904807107</v>
      </c>
      <c r="X6">
        <f t="shared" si="7"/>
        <v>9.4445473090223633</v>
      </c>
      <c r="Y6">
        <f t="shared" si="8"/>
        <v>0.31987761265599596</v>
      </c>
      <c r="AA6">
        <v>1.5</v>
      </c>
      <c r="AB6">
        <v>33.241999999999997</v>
      </c>
      <c r="AC6">
        <v>31.004999999999999</v>
      </c>
      <c r="AD6">
        <v>30.219000000000001</v>
      </c>
      <c r="AE6">
        <f>(AB6*0.0295)/0.0315*6</f>
        <v>186.78838095238092</v>
      </c>
      <c r="AF6">
        <f>(AC6*0.0295)/0.0295*6</f>
        <v>186.03</v>
      </c>
      <c r="AG6">
        <f>(AD6*0.0295)/0.0299*6</f>
        <v>178.88839464882943</v>
      </c>
      <c r="AH6">
        <f t="shared" si="9"/>
        <v>14.230845138689348</v>
      </c>
      <c r="AI6">
        <f t="shared" si="10"/>
        <v>14.173066374108613</v>
      </c>
      <c r="AJ6">
        <f t="shared" si="11"/>
        <v>13.628968934664277</v>
      </c>
      <c r="AK6">
        <f t="shared" si="12"/>
        <v>14.01096014915408</v>
      </c>
      <c r="AL6">
        <f t="shared" si="13"/>
        <v>0.33207312804511097</v>
      </c>
    </row>
    <row r="7" spans="1:40" x14ac:dyDescent="0.3">
      <c r="A7">
        <v>2</v>
      </c>
      <c r="B7">
        <v>25.869</v>
      </c>
      <c r="C7">
        <v>23.573</v>
      </c>
      <c r="D7">
        <v>16.88</v>
      </c>
      <c r="E7">
        <f>(B7*0.029)/0.0323*6</f>
        <v>139.3562229102167</v>
      </c>
      <c r="F7">
        <f>(C7*0.029)/0.0329*9</f>
        <v>187.00768996960488</v>
      </c>
      <c r="G7">
        <f>(D7*0.029)/0.0342*12</f>
        <v>171.76140350877193</v>
      </c>
      <c r="H7">
        <f t="shared" si="0"/>
        <v>13.316154771071426</v>
      </c>
      <c r="I7">
        <f t="shared" si="1"/>
        <v>17.869480752360669</v>
      </c>
      <c r="J7">
        <f t="shared" si="2"/>
        <v>16.412625034282378</v>
      </c>
      <c r="K7">
        <f t="shared" si="4"/>
        <v>15.866086852571492</v>
      </c>
      <c r="L7">
        <f t="shared" si="5"/>
        <v>2.325343493125652</v>
      </c>
      <c r="N7">
        <v>2</v>
      </c>
      <c r="O7">
        <v>16.05</v>
      </c>
      <c r="P7">
        <v>12.012</v>
      </c>
      <c r="Q7">
        <v>11.348000000000001</v>
      </c>
      <c r="R7">
        <f>(O7*0.029)/0.0315*12</f>
        <v>177.31428571428572</v>
      </c>
      <c r="S7">
        <f>(P7*0.029)/0.0295*12</f>
        <v>141.70088135593224</v>
      </c>
      <c r="T7">
        <f>(Q7*0.029)/0.0299*12</f>
        <v>132.07705685618731</v>
      </c>
      <c r="U7">
        <f t="shared" si="6"/>
        <v>16.943229533528811</v>
      </c>
      <c r="V7">
        <f t="shared" si="3"/>
        <v>13.540198119093017</v>
      </c>
      <c r="W7">
        <f t="shared" si="3"/>
        <v>12.620595579271043</v>
      </c>
      <c r="X7">
        <f t="shared" si="7"/>
        <v>14.36800774396429</v>
      </c>
      <c r="Y7">
        <f t="shared" si="8"/>
        <v>2.2771127896741836</v>
      </c>
      <c r="AA7">
        <v>2</v>
      </c>
      <c r="AB7">
        <v>29.312999999999999</v>
      </c>
      <c r="AC7">
        <v>22.844999999999999</v>
      </c>
      <c r="AD7">
        <v>21.696999999999999</v>
      </c>
      <c r="AE7">
        <f>(AB7*0.029)/0.0315*12</f>
        <v>323.83885714285714</v>
      </c>
      <c r="AF7">
        <f>(AC7*0.029)/0.0295*12</f>
        <v>269.49355932203389</v>
      </c>
      <c r="AG7">
        <f>(AD7*0.029)/0.0299*12</f>
        <v>252.52695652173915</v>
      </c>
      <c r="AH7">
        <f t="shared" si="9"/>
        <v>24.672308857717525</v>
      </c>
      <c r="AI7">
        <f t="shared" si="10"/>
        <v>20.531904013685768</v>
      </c>
      <c r="AJ7">
        <f t="shared" si="11"/>
        <v>19.239269558857437</v>
      </c>
      <c r="AK7">
        <f t="shared" si="12"/>
        <v>21.481160810086909</v>
      </c>
      <c r="AL7">
        <f t="shared" si="13"/>
        <v>2.8381852220873163</v>
      </c>
    </row>
    <row r="8" spans="1:40" x14ac:dyDescent="0.3">
      <c r="A8">
        <v>3</v>
      </c>
      <c r="B8">
        <v>25.978999999999999</v>
      </c>
      <c r="C8">
        <v>28.856000000000002</v>
      </c>
      <c r="D8">
        <v>26.504999999999999</v>
      </c>
      <c r="E8">
        <f>(B8*0.0285)/0.0323*12</f>
        <v>275.07176470588234</v>
      </c>
      <c r="F8">
        <f>(C8*0.02875)/0.0329*9</f>
        <v>226.94498480243163</v>
      </c>
      <c r="G8">
        <f>(D8*0.02875)/0.0342*12</f>
        <v>267.375</v>
      </c>
      <c r="H8">
        <f t="shared" si="0"/>
        <v>26.284425018717496</v>
      </c>
      <c r="I8">
        <f t="shared" si="1"/>
        <v>21.685680617898527</v>
      </c>
      <c r="J8">
        <f t="shared" si="2"/>
        <v>25.548962274968467</v>
      </c>
      <c r="K8">
        <f t="shared" si="4"/>
        <v>24.506355970528165</v>
      </c>
      <c r="L8">
        <f t="shared" si="5"/>
        <v>2.4703002743715095</v>
      </c>
      <c r="N8">
        <v>3</v>
      </c>
      <c r="O8">
        <v>22.992000000000001</v>
      </c>
      <c r="P8">
        <v>20.78</v>
      </c>
      <c r="Q8">
        <v>19.562999999999999</v>
      </c>
      <c r="R8">
        <f>(O8*0.02875)/0.0315*12</f>
        <v>251.81714285714287</v>
      </c>
      <c r="S8">
        <f>(P8*0.02875)/0.0295*12</f>
        <v>243.02033898305089</v>
      </c>
      <c r="T8">
        <f>(Q8*0.02875)/0.0299*12</f>
        <v>225.72692307692307</v>
      </c>
      <c r="U8">
        <f t="shared" si="6"/>
        <v>24.062334485451103</v>
      </c>
      <c r="V8">
        <f t="shared" si="3"/>
        <v>23.221757728763034</v>
      </c>
      <c r="W8">
        <f t="shared" si="3"/>
        <v>21.569288984149665</v>
      </c>
      <c r="X8">
        <f t="shared" si="7"/>
        <v>22.95112706612127</v>
      </c>
      <c r="Y8">
        <f t="shared" si="8"/>
        <v>1.2683649650480244</v>
      </c>
      <c r="AA8">
        <v>3</v>
      </c>
      <c r="AB8">
        <v>41.643999999999998</v>
      </c>
      <c r="AC8">
        <v>37.231000000000002</v>
      </c>
      <c r="AD8">
        <v>35.296999999999997</v>
      </c>
      <c r="AE8">
        <f>(AB8*0.02875)/0.0315*12</f>
        <v>456.10095238095238</v>
      </c>
      <c r="AF8">
        <f>(AC8*0.02875)/0.0295*12</f>
        <v>435.41338983050855</v>
      </c>
      <c r="AG8">
        <f>(AD8*0.02875)/0.0299*12</f>
        <v>407.27307692307693</v>
      </c>
      <c r="AH8">
        <f t="shared" si="9"/>
        <v>34.748960228938287</v>
      </c>
      <c r="AI8">
        <f t="shared" si="10"/>
        <v>33.172837038345563</v>
      </c>
      <c r="AJ8">
        <f t="shared" si="11"/>
        <v>31.028911205817408</v>
      </c>
      <c r="AK8">
        <f t="shared" si="12"/>
        <v>32.983569491033755</v>
      </c>
      <c r="AL8">
        <f t="shared" si="13"/>
        <v>1.8672326681361171</v>
      </c>
    </row>
    <row r="9" spans="1:40" x14ac:dyDescent="0.3">
      <c r="A9" s="3">
        <v>4</v>
      </c>
      <c r="B9">
        <v>12.952</v>
      </c>
      <c r="C9">
        <v>14.363</v>
      </c>
      <c r="D9">
        <v>13.92</v>
      </c>
      <c r="E9">
        <f>(B9*0.02825)/0.0323*30</f>
        <v>339.8396284829721</v>
      </c>
      <c r="F9">
        <f>(C9*0.02825)/0.0329*30</f>
        <v>369.98913373860182</v>
      </c>
      <c r="G9">
        <f>(D9*0.0285)/0.0342*30</f>
        <v>348</v>
      </c>
      <c r="H9">
        <f t="shared" si="0"/>
        <v>32.473304713046296</v>
      </c>
      <c r="I9">
        <f t="shared" si="1"/>
        <v>35.354234390035721</v>
      </c>
      <c r="J9">
        <f t="shared" si="2"/>
        <v>33.253067308794861</v>
      </c>
      <c r="K9">
        <f t="shared" si="4"/>
        <v>33.693535470625626</v>
      </c>
      <c r="L9">
        <f t="shared" si="5"/>
        <v>1.4901168082165663</v>
      </c>
      <c r="N9" s="3">
        <v>4</v>
      </c>
      <c r="O9">
        <v>12.648</v>
      </c>
      <c r="P9">
        <v>11.68</v>
      </c>
      <c r="Q9">
        <v>10.878</v>
      </c>
      <c r="R9">
        <f>(O9*0.0285)/0.0315*30</f>
        <v>343.30285714285714</v>
      </c>
      <c r="S9">
        <f>(P9*0.0285)/0.0295*30</f>
        <v>338.5220338983051</v>
      </c>
      <c r="T9">
        <f>(Q9*0.0285)/0.0299*30</f>
        <v>311.05986622073578</v>
      </c>
      <c r="U9">
        <f t="shared" si="6"/>
        <v>32.804232804232804</v>
      </c>
      <c r="V9">
        <f t="shared" si="3"/>
        <v>32.347402237731252</v>
      </c>
      <c r="W9">
        <f t="shared" si="3"/>
        <v>29.723260541674865</v>
      </c>
      <c r="X9">
        <f t="shared" si="7"/>
        <v>31.624965194546306</v>
      </c>
      <c r="Y9">
        <f t="shared" si="8"/>
        <v>1.6626887807666235</v>
      </c>
      <c r="AA9" s="3">
        <v>4</v>
      </c>
      <c r="AB9">
        <v>23.571000000000002</v>
      </c>
      <c r="AC9">
        <v>21.939</v>
      </c>
      <c r="AD9">
        <v>20.971</v>
      </c>
      <c r="AE9">
        <f>(AB9*0.0285)/0.0315*30</f>
        <v>639.78428571428572</v>
      </c>
      <c r="AF9">
        <f>(AC9*0.0285)/0.0295*30</f>
        <v>635.85915254237295</v>
      </c>
      <c r="AG9">
        <f>(AD9*0.0285)/0.0299*30</f>
        <v>599.67240802675587</v>
      </c>
      <c r="AH9">
        <f t="shared" si="9"/>
        <v>48.743241125303662</v>
      </c>
      <c r="AI9">
        <f t="shared" si="10"/>
        <v>48.444197030411793</v>
      </c>
      <c r="AJ9">
        <f t="shared" si="11"/>
        <v>45.687237766407321</v>
      </c>
      <c r="AK9">
        <f t="shared" si="12"/>
        <v>47.624891974040928</v>
      </c>
      <c r="AL9">
        <f t="shared" si="13"/>
        <v>1.6847061209429324</v>
      </c>
    </row>
    <row r="10" spans="1:40" x14ac:dyDescent="0.3">
      <c r="A10">
        <v>5</v>
      </c>
      <c r="B10">
        <v>16.05</v>
      </c>
      <c r="C10">
        <v>18.733000000000001</v>
      </c>
      <c r="D10">
        <v>16.465</v>
      </c>
      <c r="E10">
        <f>(B10*0.02815)/0.0323*30</f>
        <v>419.63544891640868</v>
      </c>
      <c r="F10">
        <f>(C10*0.02815)/0.0329*30</f>
        <v>480.85162613981765</v>
      </c>
      <c r="G10">
        <f>(D10*0.0284)/0.0342*30</f>
        <v>410.18070175438595</v>
      </c>
      <c r="H10">
        <f t="shared" si="0"/>
        <v>40.098177666591049</v>
      </c>
      <c r="I10">
        <f t="shared" si="1"/>
        <v>45.947676694169026</v>
      </c>
      <c r="J10">
        <f t="shared" si="2"/>
        <v>39.19473127645778</v>
      </c>
      <c r="K10">
        <f t="shared" si="4"/>
        <v>41.746861879072618</v>
      </c>
      <c r="L10">
        <f t="shared" si="5"/>
        <v>3.6659497647964718</v>
      </c>
      <c r="N10">
        <v>5</v>
      </c>
      <c r="O10">
        <v>15.442</v>
      </c>
      <c r="P10">
        <v>13.948</v>
      </c>
      <c r="Q10">
        <v>13.201000000000001</v>
      </c>
      <c r="R10">
        <f>(O10*0.0284)/0.0315*30</f>
        <v>417.66933333333338</v>
      </c>
      <c r="S10">
        <f>(P10*0.0284)/0.0295*30</f>
        <v>402.83715254237291</v>
      </c>
      <c r="T10">
        <f>(Q10*0.0284)/0.0299*30</f>
        <v>376.16227424749172</v>
      </c>
      <c r="U10">
        <f t="shared" si="6"/>
        <v>39.910305902737974</v>
      </c>
      <c r="V10">
        <f t="shared" si="3"/>
        <v>38.493019965444802</v>
      </c>
      <c r="W10">
        <f t="shared" si="3"/>
        <v>35.944107541899989</v>
      </c>
      <c r="X10">
        <f t="shared" si="7"/>
        <v>38.115811136694255</v>
      </c>
      <c r="Y10">
        <f t="shared" si="8"/>
        <v>2.0098251751692238</v>
      </c>
      <c r="AA10">
        <v>5</v>
      </c>
      <c r="AB10">
        <v>27.922999999999998</v>
      </c>
      <c r="AC10">
        <v>25.141999999999999</v>
      </c>
      <c r="AD10">
        <v>23.994</v>
      </c>
      <c r="AE10">
        <f>(AB10*0.0284)/0.0315*30</f>
        <v>755.25066666666669</v>
      </c>
      <c r="AF10">
        <f>(AC10*0.0284)/0.0295*30</f>
        <v>726.13505084745759</v>
      </c>
      <c r="AG10">
        <f>(AD10*0.0284)/0.0299*30</f>
        <v>683.70862876254193</v>
      </c>
      <c r="AH10">
        <f t="shared" si="9"/>
        <v>57.540277523821132</v>
      </c>
      <c r="AI10">
        <f t="shared" si="10"/>
        <v>55.322046294832816</v>
      </c>
      <c r="AJ10">
        <f t="shared" si="11"/>
        <v>52.089704757309526</v>
      </c>
      <c r="AK10">
        <f t="shared" si="12"/>
        <v>54.984009525321163</v>
      </c>
      <c r="AL10">
        <f t="shared" si="13"/>
        <v>2.7409647049744916</v>
      </c>
    </row>
    <row r="11" spans="1:40" x14ac:dyDescent="0.3">
      <c r="A11" s="2">
        <v>6</v>
      </c>
      <c r="B11">
        <v>5.64</v>
      </c>
      <c r="C11">
        <v>5.07</v>
      </c>
      <c r="D11">
        <v>4.2679999999999998</v>
      </c>
      <c r="E11">
        <f>(B11*0.02805)/0.0323*120</f>
        <v>587.74736842105256</v>
      </c>
      <c r="F11">
        <f>(C11*0.02805)/0.0329*120</f>
        <v>518.71185410334351</v>
      </c>
      <c r="G11">
        <f>(D11*0.0283)/0.0342*120</f>
        <v>423.80491228070167</v>
      </c>
      <c r="H11">
        <f t="shared" si="0"/>
        <v>56.16207701917331</v>
      </c>
      <c r="I11">
        <f t="shared" si="1"/>
        <v>49.565402868874315</v>
      </c>
      <c r="J11">
        <f t="shared" si="2"/>
        <v>40.496589867437002</v>
      </c>
      <c r="K11">
        <f t="shared" si="4"/>
        <v>48.741356585161547</v>
      </c>
      <c r="L11">
        <f t="shared" si="5"/>
        <v>7.8651866559910149</v>
      </c>
      <c r="N11" s="2">
        <v>6</v>
      </c>
      <c r="O11">
        <v>3.6869999999999998</v>
      </c>
      <c r="P11">
        <v>4.0460000000000003</v>
      </c>
      <c r="Q11">
        <v>3.2440000000000002</v>
      </c>
      <c r="R11">
        <f>(O11*0.0283)/0.0315*120</f>
        <v>397.49371428571425</v>
      </c>
      <c r="S11">
        <f>(P11*0.0283)/0.0295*120</f>
        <v>465.77003389830509</v>
      </c>
      <c r="T11">
        <f>(Q11*0.0283)/0.0299*120</f>
        <v>368.44896321070235</v>
      </c>
      <c r="U11">
        <f t="shared" si="6"/>
        <v>37.982428838981981</v>
      </c>
      <c r="V11">
        <f t="shared" si="3"/>
        <v>44.506558297816106</v>
      </c>
      <c r="W11">
        <f t="shared" si="3"/>
        <v>35.207063716957379</v>
      </c>
      <c r="X11">
        <f t="shared" si="7"/>
        <v>39.232016951251822</v>
      </c>
      <c r="Y11">
        <f t="shared" si="8"/>
        <v>4.7740185067299219</v>
      </c>
      <c r="AA11" s="2">
        <v>6</v>
      </c>
      <c r="AB11">
        <v>7.1349999999999998</v>
      </c>
      <c r="AC11">
        <v>6.6459999999999999</v>
      </c>
      <c r="AD11">
        <v>5.9950000000000001</v>
      </c>
      <c r="AE11">
        <f>(AB11*0.0283)/0.0315*120</f>
        <v>769.22095238095233</v>
      </c>
      <c r="AF11">
        <f>(AC11*0.0283)/0.0295*120</f>
        <v>765.07850847457632</v>
      </c>
      <c r="AG11">
        <f>(AD11*0.0283)/0.0299*120</f>
        <v>680.90367892976587</v>
      </c>
      <c r="AH11">
        <f t="shared" si="9"/>
        <v>58.604631588723748</v>
      </c>
      <c r="AI11">
        <f t="shared" si="10"/>
        <v>58.289031242349026</v>
      </c>
      <c r="AJ11">
        <f t="shared" si="11"/>
        <v>51.876004063034522</v>
      </c>
      <c r="AK11">
        <f t="shared" si="12"/>
        <v>56.256555631369103</v>
      </c>
      <c r="AL11">
        <f t="shared" si="13"/>
        <v>3.7969494237857386</v>
      </c>
    </row>
    <row r="12" spans="1:40" x14ac:dyDescent="0.3">
      <c r="A12">
        <v>7</v>
      </c>
      <c r="B12">
        <v>5.899</v>
      </c>
      <c r="C12">
        <v>5.5679999999999996</v>
      </c>
      <c r="D12">
        <v>4.9870000000000001</v>
      </c>
      <c r="E12">
        <f>(B12*0.028025)/0.0323*120</f>
        <v>614.19000000000005</v>
      </c>
      <c r="F12">
        <f>(C12*0.028025)/0.0329*120</f>
        <v>569.15452887537992</v>
      </c>
      <c r="G12">
        <f>(D12*0.028275)/0.0342*120</f>
        <v>494.76289473684216</v>
      </c>
      <c r="H12">
        <f t="shared" si="0"/>
        <v>58.688797156289425</v>
      </c>
      <c r="I12">
        <f t="shared" si="1"/>
        <v>54.385442120110454</v>
      </c>
      <c r="J12">
        <f t="shared" si="2"/>
        <v>47.276965059133332</v>
      </c>
      <c r="K12">
        <f t="shared" si="4"/>
        <v>53.450401445177739</v>
      </c>
      <c r="L12">
        <f t="shared" si="5"/>
        <v>5.7630897747002416</v>
      </c>
      <c r="N12">
        <v>7</v>
      </c>
      <c r="O12">
        <v>3.8719999999999999</v>
      </c>
      <c r="P12">
        <v>4.1890000000000001</v>
      </c>
      <c r="Q12">
        <v>3.4279999999999999</v>
      </c>
      <c r="R12">
        <f>(O12*0.028275)/0.0315*120</f>
        <v>417.06971428571433</v>
      </c>
      <c r="S12">
        <f>(P12*0.028275)/0.0295*120</f>
        <v>481.80600000000004</v>
      </c>
      <c r="T12">
        <f>(Q12*0.028275)/0.0299*120</f>
        <v>389.00347826086954</v>
      </c>
      <c r="U12">
        <f t="shared" si="6"/>
        <v>39.853009429892815</v>
      </c>
      <c r="V12">
        <f t="shared" si="3"/>
        <v>46.038871689026493</v>
      </c>
      <c r="W12">
        <f t="shared" si="3"/>
        <v>37.171146109091993</v>
      </c>
      <c r="X12">
        <f t="shared" si="7"/>
        <v>41.021009076003772</v>
      </c>
      <c r="Y12">
        <f t="shared" si="8"/>
        <v>4.5477804058950175</v>
      </c>
      <c r="AA12">
        <v>7</v>
      </c>
      <c r="AB12">
        <v>8.1669999999999998</v>
      </c>
      <c r="AC12">
        <v>6.7380000000000004</v>
      </c>
      <c r="AD12">
        <v>7.492</v>
      </c>
      <c r="AE12">
        <f>(AB12*0.028275)/0.0315*120</f>
        <v>879.70257142857145</v>
      </c>
      <c r="AF12">
        <f>(AC12*0.028275)/0.0295*120</f>
        <v>774.98420338983055</v>
      </c>
      <c r="AG12">
        <f>(AD12*0.028275)/0.0299*120</f>
        <v>850.17913043478256</v>
      </c>
      <c r="AH12">
        <f t="shared" si="9"/>
        <v>67.021893965119418</v>
      </c>
      <c r="AI12">
        <f t="shared" si="10"/>
        <v>59.04371635504895</v>
      </c>
      <c r="AJ12">
        <f t="shared" si="11"/>
        <v>64.772591762264781</v>
      </c>
      <c r="AK12">
        <f t="shared" si="12"/>
        <v>63.612734027477721</v>
      </c>
      <c r="AL12">
        <f t="shared" si="13"/>
        <v>4.1136093601807247</v>
      </c>
    </row>
    <row r="13" spans="1:40" x14ac:dyDescent="0.3">
      <c r="A13">
        <v>8</v>
      </c>
      <c r="B13">
        <v>5.899</v>
      </c>
      <c r="C13">
        <v>5.57</v>
      </c>
      <c r="D13">
        <v>5.07</v>
      </c>
      <c r="E13">
        <f>(B13*0.028)/0.0323*120</f>
        <v>613.64210526315787</v>
      </c>
      <c r="F13">
        <f>(C13*0.028)/0.0329*120</f>
        <v>568.85106382978734</v>
      </c>
      <c r="G13">
        <f>(D13*0.02825)/0.0342*120</f>
        <v>502.55263157894734</v>
      </c>
      <c r="H13">
        <f t="shared" si="0"/>
        <v>58.636443189156239</v>
      </c>
      <c r="I13">
        <f t="shared" si="1"/>
        <v>54.356444581067471</v>
      </c>
      <c r="J13">
        <f t="shared" si="2"/>
        <v>48.021311735938859</v>
      </c>
      <c r="K13">
        <f t="shared" si="4"/>
        <v>53.671399835387525</v>
      </c>
      <c r="L13">
        <f t="shared" si="5"/>
        <v>5.3406196896951021</v>
      </c>
      <c r="N13">
        <v>8</v>
      </c>
      <c r="O13">
        <v>4.7930000000000001</v>
      </c>
      <c r="P13">
        <v>3.7970000000000002</v>
      </c>
      <c r="Q13">
        <v>4.5720000000000001</v>
      </c>
      <c r="R13">
        <f>(O13*0.02825)/0.0315*120</f>
        <v>515.81809523809534</v>
      </c>
      <c r="S13">
        <f>(P13*0.02825)/0.0295*120</f>
        <v>436.3332203389831</v>
      </c>
      <c r="T13">
        <f>(Q13*0.02825)/0.0299*120</f>
        <v>518.36387959866215</v>
      </c>
      <c r="U13">
        <f t="shared" si="6"/>
        <v>49.288890344961906</v>
      </c>
      <c r="V13">
        <f t="shared" si="3"/>
        <v>41.693729726998349</v>
      </c>
      <c r="W13">
        <f t="shared" si="3"/>
        <v>49.532152237765374</v>
      </c>
      <c r="X13">
        <f t="shared" si="7"/>
        <v>46.838257436575212</v>
      </c>
      <c r="Y13">
        <f t="shared" si="8"/>
        <v>4.4569516603925257</v>
      </c>
      <c r="AA13">
        <v>8</v>
      </c>
      <c r="AB13">
        <v>8.7010000000000005</v>
      </c>
      <c r="AC13">
        <v>6.4649999999999999</v>
      </c>
      <c r="AD13">
        <v>7.9180000000000001</v>
      </c>
      <c r="AE13">
        <f>(AB13*0.02825)/0.0315*120</f>
        <v>936.39333333333343</v>
      </c>
      <c r="AF13">
        <f>(AC13*0.02825)/0.0295*120</f>
        <v>742.92711864406783</v>
      </c>
      <c r="AG13">
        <f>(AD13*0.02825)/0.0299*120</f>
        <v>897.72642140468236</v>
      </c>
      <c r="AH13">
        <f t="shared" si="9"/>
        <v>71.340992665732117</v>
      </c>
      <c r="AI13">
        <f t="shared" si="10"/>
        <v>56.601383452494957</v>
      </c>
      <c r="AJ13">
        <f t="shared" si="11"/>
        <v>68.395076903507828</v>
      </c>
      <c r="AK13">
        <f t="shared" si="12"/>
        <v>65.445817673911634</v>
      </c>
      <c r="AL13">
        <f t="shared" si="13"/>
        <v>7.7998472704441584</v>
      </c>
    </row>
    <row r="14" spans="1:40" x14ac:dyDescent="0.3">
      <c r="A14">
        <v>9</v>
      </c>
      <c r="B14">
        <v>5.9</v>
      </c>
      <c r="C14">
        <v>5.6230000000000002</v>
      </c>
      <c r="D14">
        <v>5.07</v>
      </c>
      <c r="E14">
        <f>(B14*0.027975)/0.0323*120</f>
        <v>613.19814241486063</v>
      </c>
      <c r="F14">
        <f>(C14*0.027975)/0.0329*120</f>
        <v>573.75109422492403</v>
      </c>
      <c r="G14">
        <f>(D14*0.028225)/0.0342*120</f>
        <v>502.10789473684213</v>
      </c>
      <c r="H14">
        <f t="shared" si="0"/>
        <v>58.594020411923388</v>
      </c>
      <c r="I14">
        <f t="shared" si="1"/>
        <v>54.82466596194282</v>
      </c>
      <c r="J14">
        <f t="shared" si="2"/>
        <v>47.978814999889359</v>
      </c>
      <c r="K14">
        <f t="shared" si="4"/>
        <v>53.799167124585189</v>
      </c>
      <c r="L14">
        <f t="shared" si="5"/>
        <v>5.3813922347275085</v>
      </c>
      <c r="N14">
        <v>9</v>
      </c>
      <c r="O14">
        <v>4.8209999999999997</v>
      </c>
      <c r="P14">
        <v>3.9630000000000001</v>
      </c>
      <c r="Q14">
        <v>4.9589999999999996</v>
      </c>
      <c r="R14">
        <f>(O14*0.028225)/0.0315*120</f>
        <v>518.37228571428568</v>
      </c>
      <c r="S14">
        <f>(P14*0.028225)/0.0295*120</f>
        <v>455.00613559322034</v>
      </c>
      <c r="T14">
        <f>(Q14*0.028225)/0.0299*120</f>
        <v>561.74357859531767</v>
      </c>
      <c r="U14">
        <f t="shared" si="6"/>
        <v>49.532955482387884</v>
      </c>
      <c r="V14">
        <f t="shared" si="3"/>
        <v>43.478016243666659</v>
      </c>
      <c r="W14">
        <f t="shared" si="3"/>
        <v>53.677290314118956</v>
      </c>
      <c r="X14">
        <f t="shared" si="7"/>
        <v>48.896087346724499</v>
      </c>
      <c r="Y14">
        <f t="shared" si="8"/>
        <v>5.1293760495519978</v>
      </c>
      <c r="AA14">
        <v>9</v>
      </c>
      <c r="AB14">
        <v>8.4589999999999996</v>
      </c>
      <c r="AC14">
        <v>7.069</v>
      </c>
      <c r="AD14">
        <v>8.218</v>
      </c>
      <c r="AE14">
        <f>(AB14*0.028225)/0.0315*120</f>
        <v>909.54390476190474</v>
      </c>
      <c r="AF14">
        <f>(AC14*0.028225)/0.0295*120</f>
        <v>811.61705084745768</v>
      </c>
      <c r="AG14">
        <f>(AD14*0.028225)/0.0299*120</f>
        <v>930.91525083612044</v>
      </c>
      <c r="AH14">
        <f t="shared" si="9"/>
        <v>69.295415429535012</v>
      </c>
      <c r="AI14">
        <f t="shared" si="10"/>
        <v>61.83466286093266</v>
      </c>
      <c r="AJ14">
        <f t="shared" si="11"/>
        <v>70.92363403091062</v>
      </c>
      <c r="AK14">
        <f t="shared" si="12"/>
        <v>67.351237440459428</v>
      </c>
      <c r="AL14">
        <f t="shared" si="13"/>
        <v>4.8463615498719355</v>
      </c>
    </row>
    <row r="15" spans="1:40" x14ac:dyDescent="0.3">
      <c r="A15" s="2">
        <v>10</v>
      </c>
      <c r="B15">
        <v>6.2</v>
      </c>
      <c r="C15">
        <v>5.8</v>
      </c>
      <c r="D15">
        <v>5.17</v>
      </c>
      <c r="E15">
        <f>(B15*0.02795)/0.0323*120</f>
        <v>643.80185758513926</v>
      </c>
      <c r="F15">
        <f>(C15*0.02795)/0.0329*120</f>
        <v>591.28267477203644</v>
      </c>
      <c r="G15">
        <f>(D15*0.0282)/0.0342*120</f>
        <v>511.55789473684217</v>
      </c>
      <c r="H15">
        <f t="shared" si="0"/>
        <v>61.518352022430456</v>
      </c>
      <c r="I15">
        <f t="shared" si="1"/>
        <v>56.499892479076983</v>
      </c>
      <c r="J15">
        <f t="shared" si="2"/>
        <v>48.881807775947152</v>
      </c>
      <c r="K15">
        <f t="shared" si="4"/>
        <v>55.633350759151533</v>
      </c>
      <c r="L15">
        <f t="shared" si="5"/>
        <v>6.3626828883428637</v>
      </c>
      <c r="N15" s="2">
        <v>10</v>
      </c>
      <c r="O15">
        <v>5.0970000000000004</v>
      </c>
      <c r="P15">
        <v>4.1020000000000003</v>
      </c>
      <c r="Q15">
        <v>5.5679999999999996</v>
      </c>
      <c r="R15">
        <f>(O15*0.0282)/0.0315*120</f>
        <v>547.56342857142863</v>
      </c>
      <c r="S15">
        <f>(P15*0.0282)/0.0295*120</f>
        <v>470.54806779661027</v>
      </c>
      <c r="T15">
        <f>(Q15*0.0282)/0.0299*120</f>
        <v>630.17096989966547</v>
      </c>
      <c r="U15">
        <f t="shared" si="6"/>
        <v>52.322309040575306</v>
      </c>
      <c r="V15">
        <f t="shared" si="3"/>
        <v>44.963122328919681</v>
      </c>
      <c r="W15">
        <f t="shared" si="3"/>
        <v>60.215855396902633</v>
      </c>
      <c r="X15">
        <f t="shared" si="7"/>
        <v>52.500428922132535</v>
      </c>
      <c r="Y15">
        <f t="shared" si="8"/>
        <v>7.6279264239988214</v>
      </c>
      <c r="AA15" s="2">
        <v>10</v>
      </c>
      <c r="AB15">
        <v>8.7799999999999994</v>
      </c>
      <c r="AC15">
        <v>7.3410000000000002</v>
      </c>
      <c r="AD15">
        <v>8.218</v>
      </c>
      <c r="AE15">
        <f>(AB15*0.0282)/0.0315*120</f>
        <v>943.22285714285704</v>
      </c>
      <c r="AF15">
        <f>(AC15*0.0282)/0.0295*120</f>
        <v>842.09979661016962</v>
      </c>
      <c r="AG15">
        <f>(AD15*0.0282)/0.0299*120</f>
        <v>930.0907023411371</v>
      </c>
      <c r="AH15">
        <f t="shared" si="9"/>
        <v>71.861313550836314</v>
      </c>
      <c r="AI15">
        <f t="shared" si="10"/>
        <v>64.157051609844089</v>
      </c>
      <c r="AJ15">
        <f t="shared" si="11"/>
        <v>70.860814160201215</v>
      </c>
      <c r="AK15">
        <f t="shared" si="12"/>
        <v>68.959726440293863</v>
      </c>
      <c r="AL15">
        <f t="shared" si="13"/>
        <v>4.1892139958400545</v>
      </c>
    </row>
    <row r="16" spans="1:40" x14ac:dyDescent="0.3">
      <c r="A16">
        <v>11</v>
      </c>
      <c r="B16">
        <v>6.4249999999999998</v>
      </c>
      <c r="C16">
        <v>6.1820000000000004</v>
      </c>
      <c r="D16">
        <v>5.35</v>
      </c>
      <c r="E16">
        <f>(B16*0.027925)/0.0323*120</f>
        <v>666.56888544891626</v>
      </c>
      <c r="F16">
        <f>(C16*0.027925)/0.0329*120</f>
        <v>629.66206686930093</v>
      </c>
      <c r="G16">
        <f>(D16*0.028175)/0.0342*120</f>
        <v>528.89912280701753</v>
      </c>
      <c r="H16">
        <f t="shared" si="0"/>
        <v>63.693850614313753</v>
      </c>
      <c r="I16">
        <f t="shared" si="1"/>
        <v>60.167227274137225</v>
      </c>
      <c r="J16">
        <f t="shared" si="2"/>
        <v>50.538845201908956</v>
      </c>
      <c r="K16">
        <f t="shared" si="4"/>
        <v>58.133307696786652</v>
      </c>
      <c r="L16">
        <f t="shared" si="5"/>
        <v>6.8092704077197101</v>
      </c>
      <c r="N16">
        <v>11</v>
      </c>
      <c r="O16">
        <v>5.899</v>
      </c>
      <c r="P16">
        <v>4.7910000000000004</v>
      </c>
      <c r="Q16">
        <v>6.0780000000000003</v>
      </c>
      <c r="R16">
        <f>(O16*0.028175)/0.0315*120</f>
        <v>633.15933333333328</v>
      </c>
      <c r="S16">
        <f>(P16*0.028175)/0.0295*120</f>
        <v>549.09732203389831</v>
      </c>
      <c r="T16">
        <f>(Q16*0.028175)/0.0299*120</f>
        <v>687.2815384615385</v>
      </c>
      <c r="U16">
        <f t="shared" si="6"/>
        <v>60.501407840589124</v>
      </c>
      <c r="V16">
        <f t="shared" si="3"/>
        <v>52.468879909977673</v>
      </c>
      <c r="W16">
        <f t="shared" si="3"/>
        <v>65.673043846418452</v>
      </c>
      <c r="X16">
        <f t="shared" si="7"/>
        <v>59.547777198995085</v>
      </c>
      <c r="Y16">
        <f t="shared" si="8"/>
        <v>6.6535362676956309</v>
      </c>
      <c r="AA16">
        <v>11</v>
      </c>
      <c r="AB16">
        <v>9.2449999999999992</v>
      </c>
      <c r="AC16">
        <v>8.1449999999999996</v>
      </c>
      <c r="AD16">
        <v>8.43</v>
      </c>
      <c r="AE16">
        <f>(AB16*0.028175)/0.0315*120</f>
        <v>992.29666666666651</v>
      </c>
      <c r="AF16">
        <f>(AC16*0.028175)/0.0295*120</f>
        <v>933.49983050847447</v>
      </c>
      <c r="AG16">
        <f>(AD16*0.028175)/0.0299*120</f>
        <v>953.23846153846148</v>
      </c>
      <c r="AH16">
        <f t="shared" si="9"/>
        <v>75.600099551004647</v>
      </c>
      <c r="AI16">
        <f t="shared" si="10"/>
        <v>71.120545385237591</v>
      </c>
      <c r="AJ16">
        <f t="shared" si="11"/>
        <v>72.624372336385491</v>
      </c>
      <c r="AK16">
        <f t="shared" si="12"/>
        <v>73.115005757542576</v>
      </c>
      <c r="AL16">
        <f t="shared" si="13"/>
        <v>2.2797241601732159</v>
      </c>
    </row>
    <row r="17" spans="1:38" x14ac:dyDescent="0.3">
      <c r="A17">
        <v>12</v>
      </c>
      <c r="B17">
        <v>6.8739999999999997</v>
      </c>
      <c r="C17">
        <v>6.3479999999999999</v>
      </c>
      <c r="D17">
        <v>5.79</v>
      </c>
      <c r="E17">
        <f>(B17*0.0279)/0.0323*120</f>
        <v>712.5124458204333</v>
      </c>
      <c r="F17">
        <f>(C17*0.0279)/0.0329*120</f>
        <v>645.99100303951366</v>
      </c>
      <c r="G17">
        <f>(D17*0.02815)/0.0342*120</f>
        <v>571.88947368421054</v>
      </c>
      <c r="H17">
        <f t="shared" si="0"/>
        <v>68.083977928795761</v>
      </c>
      <c r="I17">
        <f t="shared" si="1"/>
        <v>61.727535359048431</v>
      </c>
      <c r="J17">
        <f t="shared" si="2"/>
        <v>54.646779200035404</v>
      </c>
      <c r="K17">
        <f t="shared" si="4"/>
        <v>61.486097495959875</v>
      </c>
      <c r="L17">
        <f t="shared" si="5"/>
        <v>6.7218521703730829</v>
      </c>
      <c r="N17">
        <v>12</v>
      </c>
      <c r="O17">
        <v>6.5830000000000002</v>
      </c>
      <c r="P17">
        <v>5.1989999999999998</v>
      </c>
      <c r="Q17">
        <v>6.7889999999999997</v>
      </c>
      <c r="R17">
        <f>(O17*0.02815)/0.0315*120</f>
        <v>705.94838095238106</v>
      </c>
      <c r="S17">
        <f>(P17*0.02815)/0.0295*120</f>
        <v>595.3295593220339</v>
      </c>
      <c r="T17">
        <f>(Q17*0.02815)/0.0299*120</f>
        <v>766.99806020066887</v>
      </c>
      <c r="U17">
        <f t="shared" si="6"/>
        <v>67.456750081449101</v>
      </c>
      <c r="V17">
        <f t="shared" si="3"/>
        <v>56.886591686927524</v>
      </c>
      <c r="W17">
        <f t="shared" si="3"/>
        <v>73.290339429792922</v>
      </c>
      <c r="X17">
        <f t="shared" si="7"/>
        <v>65.87789373272318</v>
      </c>
      <c r="Y17">
        <f t="shared" si="8"/>
        <v>8.3150661771463934</v>
      </c>
      <c r="AA17">
        <v>12</v>
      </c>
      <c r="AB17">
        <v>10.013</v>
      </c>
      <c r="AC17">
        <v>8.8460000000000001</v>
      </c>
      <c r="AD17">
        <v>9.1199999999999992</v>
      </c>
      <c r="AE17">
        <f>(AB17*0.02815)/0.0315*120</f>
        <v>1073.7750476190479</v>
      </c>
      <c r="AF17">
        <f>(AC17*0.02815)/0.0295*120</f>
        <v>1012.941966101695</v>
      </c>
      <c r="AG17">
        <f>(AD17*0.02815)/0.0299*120</f>
        <v>1030.3464882943144</v>
      </c>
      <c r="AH17">
        <f t="shared" si="9"/>
        <v>81.807692419321626</v>
      </c>
      <c r="AI17">
        <f t="shared" si="10"/>
        <v>77.173002841903994</v>
      </c>
      <c r="AJ17">
        <f t="shared" si="11"/>
        <v>78.499001058566051</v>
      </c>
      <c r="AK17">
        <f t="shared" si="12"/>
        <v>79.15989877326389</v>
      </c>
      <c r="AL17">
        <f t="shared" si="13"/>
        <v>2.3869805637511017</v>
      </c>
    </row>
    <row r="18" spans="1:38" x14ac:dyDescent="0.3">
      <c r="A18">
        <v>24</v>
      </c>
      <c r="B18">
        <v>7.66</v>
      </c>
      <c r="C18">
        <v>7.8360000000000003</v>
      </c>
      <c r="D18">
        <v>7.31</v>
      </c>
      <c r="E18">
        <f>(B18*0.027875)/0.0323*120</f>
        <v>793.2724458204334</v>
      </c>
      <c r="F18">
        <f>(C18*0.027875)/0.0329*120</f>
        <v>796.69969604863229</v>
      </c>
      <c r="G18">
        <f>(D18*0.028125)/0.0342*120</f>
        <v>721.38157894736833</v>
      </c>
      <c r="H18">
        <f t="shared" si="0"/>
        <v>75.800982859422973</v>
      </c>
      <c r="I18">
        <f t="shared" si="1"/>
        <v>76.128473039084994</v>
      </c>
      <c r="J18">
        <f t="shared" si="2"/>
        <v>68.931466092130904</v>
      </c>
      <c r="K18">
        <f t="shared" si="4"/>
        <v>73.620307330212952</v>
      </c>
      <c r="L18">
        <f t="shared" si="5"/>
        <v>4.0639557787207643</v>
      </c>
      <c r="N18">
        <v>24</v>
      </c>
      <c r="O18">
        <v>7.8360000000000003</v>
      </c>
      <c r="P18">
        <v>7.31</v>
      </c>
      <c r="Q18">
        <v>6.923</v>
      </c>
      <c r="R18">
        <f>(O18*0.028125)/0.0315*120</f>
        <v>839.57142857142867</v>
      </c>
      <c r="S18">
        <f>(P18*0.028125)/0.0295*120</f>
        <v>836.31355932203383</v>
      </c>
      <c r="T18">
        <f>(Q18*0.02815)/0.0299*120</f>
        <v>782.13692307692304</v>
      </c>
      <c r="U18">
        <f t="shared" si="6"/>
        <v>80.225072485134419</v>
      </c>
      <c r="V18">
        <f t="shared" si="3"/>
        <v>79.913767469521261</v>
      </c>
      <c r="W18">
        <f t="shared" si="3"/>
        <v>74.736930309685718</v>
      </c>
      <c r="X18">
        <f t="shared" si="7"/>
        <v>78.291923421447123</v>
      </c>
      <c r="Y18">
        <f t="shared" si="8"/>
        <v>3.0826465450469351</v>
      </c>
      <c r="AA18">
        <v>24</v>
      </c>
      <c r="AB18">
        <v>10.365</v>
      </c>
      <c r="AC18">
        <v>10.443</v>
      </c>
      <c r="AD18">
        <v>10.898999999999999</v>
      </c>
      <c r="AE18">
        <f>(AB18*0.028125)/0.0315*120</f>
        <v>1110.5357142857144</v>
      </c>
      <c r="AF18">
        <f>(AC18*0.028125)/0.0295*120</f>
        <v>1194.75</v>
      </c>
      <c r="AG18">
        <f>(AD18*0.02815)/0.0299*120</f>
        <v>1231.3318394648827</v>
      </c>
      <c r="AH18">
        <f t="shared" si="9"/>
        <v>84.608377086435254</v>
      </c>
      <c r="AI18">
        <f t="shared" si="10"/>
        <v>91.024410312671421</v>
      </c>
      <c r="AJ18">
        <f t="shared" si="11"/>
        <v>93.811470672950776</v>
      </c>
      <c r="AK18">
        <f t="shared" si="12"/>
        <v>89.814752690685808</v>
      </c>
      <c r="AL18">
        <f t="shared" si="13"/>
        <v>4.7192887771741283</v>
      </c>
    </row>
    <row r="19" spans="1:38" x14ac:dyDescent="0.3">
      <c r="A19">
        <v>48</v>
      </c>
      <c r="B19">
        <v>8.2590000000000003</v>
      </c>
      <c r="C19">
        <v>8.1479999999999997</v>
      </c>
      <c r="D19">
        <v>7.99</v>
      </c>
      <c r="E19">
        <f>(B19*0.02785)/0.0323*120</f>
        <v>854.53801857585142</v>
      </c>
      <c r="F19">
        <f>(C19*0.02785)/0.0329*120</f>
        <v>827.67829787234041</v>
      </c>
      <c r="G19">
        <f>(D19*0.0281)/0.0342*120</f>
        <v>787.78596491228063</v>
      </c>
      <c r="H19">
        <f t="shared" si="0"/>
        <v>81.655201866744207</v>
      </c>
      <c r="I19">
        <f t="shared" si="1"/>
        <v>79.088626865453165</v>
      </c>
      <c r="J19">
        <f t="shared" si="2"/>
        <v>75.276723322275799</v>
      </c>
      <c r="K19">
        <f t="shared" si="4"/>
        <v>78.673517351491057</v>
      </c>
      <c r="L19">
        <f t="shared" si="5"/>
        <v>3.2094367211392947</v>
      </c>
      <c r="N19">
        <v>48</v>
      </c>
      <c r="O19">
        <v>8.4570000000000007</v>
      </c>
      <c r="P19">
        <v>8.2780000000000005</v>
      </c>
      <c r="Q19">
        <v>7.31</v>
      </c>
      <c r="R19">
        <f>(O19*0.0281)/0.0315*120</f>
        <v>905.3017142857143</v>
      </c>
      <c r="S19">
        <f>(P19*0.0281)/0.0295*120</f>
        <v>946.21749152542384</v>
      </c>
      <c r="T19">
        <f>(Q19*0.0281)/0.0299*120</f>
        <v>824.39197324414704</v>
      </c>
      <c r="U19">
        <f t="shared" si="6"/>
        <v>86.505916206638602</v>
      </c>
      <c r="V19">
        <f t="shared" si="3"/>
        <v>90.415614754178023</v>
      </c>
      <c r="W19">
        <f t="shared" si="3"/>
        <v>78.774602802062745</v>
      </c>
      <c r="X19">
        <f t="shared" si="7"/>
        <v>85.232044587626447</v>
      </c>
      <c r="Y19">
        <f t="shared" si="8"/>
        <v>5.9241329739984865</v>
      </c>
      <c r="AA19">
        <v>48</v>
      </c>
      <c r="AB19">
        <v>11.965</v>
      </c>
      <c r="AC19">
        <v>10.558999999999999</v>
      </c>
      <c r="AD19">
        <v>10.635</v>
      </c>
      <c r="AE19">
        <f>(AB19*0.0281)/0.0315*120</f>
        <v>1280.8247619047618</v>
      </c>
      <c r="AF19">
        <f>(AC19*0.0281)/0.0295*120</f>
        <v>1206.9473898305084</v>
      </c>
      <c r="AG19">
        <f>(AD19*0.0281)/0.0299*120</f>
        <v>1199.371906354515</v>
      </c>
      <c r="AH19">
        <f t="shared" si="9"/>
        <v>97.582187626071331</v>
      </c>
      <c r="AI19">
        <f t="shared" si="10"/>
        <v>91.953692770654939</v>
      </c>
      <c r="AJ19">
        <f t="shared" si="11"/>
        <v>91.376539461397186</v>
      </c>
      <c r="AK19">
        <f t="shared" si="12"/>
        <v>93.637473286041157</v>
      </c>
      <c r="AL19">
        <f t="shared" si="13"/>
        <v>3.4283895496175156</v>
      </c>
    </row>
    <row r="20" spans="1:38" x14ac:dyDescent="0.3">
      <c r="A20">
        <v>72</v>
      </c>
      <c r="B20">
        <v>8.75</v>
      </c>
      <c r="C20">
        <v>8.1999999999999993</v>
      </c>
      <c r="D20">
        <v>8.1479999999999997</v>
      </c>
      <c r="E20">
        <f>(B20*0.027825)/0.0323*120</f>
        <v>904.52786377708969</v>
      </c>
      <c r="F20">
        <f>(C20*0.027825)/0.0329*120</f>
        <v>832.21276595744678</v>
      </c>
      <c r="G20">
        <f>(D20*0.028075)/0.0342*120</f>
        <v>802.64947368421042</v>
      </c>
      <c r="H20">
        <f t="shared" si="0"/>
        <v>86.431971082931014</v>
      </c>
      <c r="I20">
        <f t="shared" si="1"/>
        <v>79.521917016153239</v>
      </c>
      <c r="J20">
        <f t="shared" si="2"/>
        <v>76.697002798246615</v>
      </c>
      <c r="K20">
        <f t="shared" si="4"/>
        <v>80.883630299110294</v>
      </c>
      <c r="L20">
        <f t="shared" si="5"/>
        <v>5.0083030234490638</v>
      </c>
      <c r="N20">
        <v>72</v>
      </c>
      <c r="O20">
        <v>8.9139999999999997</v>
      </c>
      <c r="P20">
        <v>8.8490000000000002</v>
      </c>
      <c r="Q20">
        <v>7.8159999999999998</v>
      </c>
      <c r="R20">
        <f>(O20*0.028075)/0.0315*120</f>
        <v>953.37352380952359</v>
      </c>
      <c r="S20">
        <f>(P20*0.028075)/0.0295*120</f>
        <v>1010.5857966101696</v>
      </c>
      <c r="T20">
        <f>(Q20*0.028075)/0.0299*120</f>
        <v>880.67237458193972</v>
      </c>
      <c r="U20">
        <f t="shared" si="6"/>
        <v>91.099407924313311</v>
      </c>
      <c r="V20">
        <f t="shared" ref="V20:W22" si="14">(S20*100)/$U$1</f>
        <v>96.566314701120831</v>
      </c>
      <c r="W20">
        <f t="shared" si="14"/>
        <v>84.152464795889202</v>
      </c>
      <c r="X20">
        <f t="shared" si="7"/>
        <v>90.606062473774443</v>
      </c>
      <c r="Y20">
        <f t="shared" si="8"/>
        <v>6.2216123045059932</v>
      </c>
      <c r="AA20">
        <v>72</v>
      </c>
      <c r="AB20">
        <v>11.042999999999999</v>
      </c>
      <c r="AC20">
        <v>11.266999999999999</v>
      </c>
      <c r="AD20">
        <v>11.784000000000001</v>
      </c>
      <c r="AE20">
        <f>(AB20*0.028075)/0.0315*120</f>
        <v>1181.0751428571427</v>
      </c>
      <c r="AF20">
        <f>(AC20*0.028075)/0.0295*120</f>
        <v>1286.729593220339</v>
      </c>
      <c r="AG20">
        <f>(AD20*0.028075)/0.0299*120</f>
        <v>1327.7690969899666</v>
      </c>
      <c r="AH20">
        <f t="shared" si="9"/>
        <v>89.982564062377548</v>
      </c>
      <c r="AI20">
        <f t="shared" si="10"/>
        <v>98.032058970282435</v>
      </c>
      <c r="AJ20">
        <f t="shared" si="11"/>
        <v>101.15873537133287</v>
      </c>
      <c r="AK20">
        <f t="shared" si="12"/>
        <v>96.391119467997612</v>
      </c>
      <c r="AL20">
        <f t="shared" si="13"/>
        <v>5.7659529237930887</v>
      </c>
    </row>
    <row r="21" spans="1:38" x14ac:dyDescent="0.3">
      <c r="A21">
        <v>120</v>
      </c>
      <c r="B21">
        <v>8.98</v>
      </c>
      <c r="C21">
        <v>8.3719999999999999</v>
      </c>
      <c r="D21">
        <v>8.2159999999999993</v>
      </c>
      <c r="E21">
        <f>(B21*0.027825)/0.0323*120</f>
        <v>928.30402476780171</v>
      </c>
      <c r="F21">
        <f>(C21*0.027825)/0.0329*120</f>
        <v>849.66893617021276</v>
      </c>
      <c r="G21">
        <f>(D21*0.028075)/0.0342*120</f>
        <v>809.34807017543847</v>
      </c>
      <c r="H21">
        <f t="shared" si="0"/>
        <v>88.703897179968067</v>
      </c>
      <c r="I21">
        <f t="shared" si="1"/>
        <v>81.189937714540832</v>
      </c>
      <c r="J21">
        <f t="shared" si="2"/>
        <v>77.337085786744495</v>
      </c>
      <c r="K21">
        <f t="shared" si="4"/>
        <v>82.410306893751127</v>
      </c>
      <c r="L21">
        <f t="shared" si="5"/>
        <v>5.7808369647010549</v>
      </c>
      <c r="N21">
        <v>120</v>
      </c>
      <c r="O21">
        <v>9.5670000000000002</v>
      </c>
      <c r="P21">
        <v>9.2449999999999992</v>
      </c>
      <c r="Q21">
        <v>8.452</v>
      </c>
      <c r="R21">
        <f>(O21*0.02805)/0.0315*120</f>
        <v>1022.3022857142856</v>
      </c>
      <c r="S21">
        <f>(P21*0.02805)/0.0295*120</f>
        <v>1054.8701694915253</v>
      </c>
      <c r="T21">
        <f>(Q21*0.02805)/0.0299*120</f>
        <v>951.48602006688952</v>
      </c>
      <c r="U21">
        <f t="shared" si="6"/>
        <v>97.685881370091892</v>
      </c>
      <c r="V21">
        <f t="shared" si="14"/>
        <v>100.79789870155614</v>
      </c>
      <c r="W21">
        <f t="shared" si="14"/>
        <v>90.919047898452916</v>
      </c>
      <c r="X21">
        <f t="shared" si="7"/>
        <v>96.467609323366972</v>
      </c>
      <c r="Y21">
        <f t="shared" si="8"/>
        <v>5.0508477884773715</v>
      </c>
      <c r="AA21">
        <v>120</v>
      </c>
      <c r="AB21">
        <v>11.542</v>
      </c>
      <c r="AC21">
        <v>11.018000000000001</v>
      </c>
      <c r="AD21">
        <v>11.997999999999999</v>
      </c>
      <c r="AE21">
        <f>(AB21*0.02805)/0.0315*120</f>
        <v>1233.3451428571427</v>
      </c>
      <c r="AF21">
        <f>(AC21*0.02805)/0.0295*120</f>
        <v>1257.1724745762713</v>
      </c>
      <c r="AG21">
        <f>(AD21*0.02805)/0.0299*120</f>
        <v>1350.6778595317724</v>
      </c>
      <c r="AH21">
        <f t="shared" si="9"/>
        <v>93.964858205121502</v>
      </c>
      <c r="AI21">
        <f t="shared" si="10"/>
        <v>95.780190968509729</v>
      </c>
      <c r="AJ21">
        <f t="shared" si="11"/>
        <v>102.90408511091091</v>
      </c>
      <c r="AK21">
        <f t="shared" si="12"/>
        <v>97.549711428180714</v>
      </c>
      <c r="AL21">
        <f t="shared" si="13"/>
        <v>4.7250234296977824</v>
      </c>
    </row>
    <row r="22" spans="1:38" x14ac:dyDescent="0.3">
      <c r="A22">
        <v>168</v>
      </c>
      <c r="B22">
        <v>9.0120000000000005</v>
      </c>
      <c r="C22">
        <v>8.4359999999999999</v>
      </c>
      <c r="D22">
        <v>8.3450000000000006</v>
      </c>
      <c r="E22">
        <f>(B22*0.027825)/0.0323*120</f>
        <v>931.61201238390083</v>
      </c>
      <c r="F22">
        <f>(C22*0.027825)/0.0329*120</f>
        <v>856.16425531914888</v>
      </c>
      <c r="G22">
        <f>(D22*0.028075)/0.0342*120</f>
        <v>822.05570175438595</v>
      </c>
      <c r="H22">
        <f t="shared" si="0"/>
        <v>89.019991245642785</v>
      </c>
      <c r="I22">
        <f t="shared" si="1"/>
        <v>81.810596579057162</v>
      </c>
      <c r="J22">
        <f t="shared" si="2"/>
        <v>78.551360867865498</v>
      </c>
      <c r="K22">
        <f t="shared" si="4"/>
        <v>83.127316230855143</v>
      </c>
      <c r="L22">
        <f t="shared" si="5"/>
        <v>5.3570858195201261</v>
      </c>
      <c r="N22">
        <v>168</v>
      </c>
      <c r="O22">
        <v>9.7509999999999994</v>
      </c>
      <c r="P22">
        <v>9.2449999999999992</v>
      </c>
      <c r="Q22">
        <v>8.9640000000000004</v>
      </c>
      <c r="R22">
        <f>(O22*0.02805)/0.0315*120</f>
        <v>1041.9639999999999</v>
      </c>
      <c r="S22">
        <f>(P22*0.02805)/0.0295*120</f>
        <v>1054.8701694915253</v>
      </c>
      <c r="T22">
        <f>(Q22*0.02805)/0.0299*120</f>
        <v>1009.1245484949833</v>
      </c>
      <c r="U22">
        <f t="shared" si="6"/>
        <v>99.564652371669908</v>
      </c>
      <c r="V22">
        <f t="shared" si="14"/>
        <v>100.79789870155614</v>
      </c>
      <c r="W22">
        <f t="shared" si="14"/>
        <v>96.426685442703757</v>
      </c>
      <c r="X22">
        <f t="shared" si="7"/>
        <v>98.929745505309938</v>
      </c>
      <c r="Y22">
        <f t="shared" si="8"/>
        <v>2.2537094722490276</v>
      </c>
    </row>
    <row r="24" spans="1:38" x14ac:dyDescent="0.3">
      <c r="M24" t="s">
        <v>21</v>
      </c>
      <c r="O24" t="s">
        <v>12</v>
      </c>
    </row>
    <row r="25" spans="1:38" x14ac:dyDescent="0.3">
      <c r="J25">
        <v>0</v>
      </c>
      <c r="M25">
        <v>0</v>
      </c>
      <c r="N25">
        <v>0</v>
      </c>
      <c r="O25">
        <v>0</v>
      </c>
      <c r="R25" t="s">
        <v>43</v>
      </c>
    </row>
    <row r="26" spans="1:38" x14ac:dyDescent="0.3">
      <c r="J26">
        <v>2</v>
      </c>
      <c r="K26">
        <v>0.28599999999999998</v>
      </c>
      <c r="L26">
        <v>0.28499999999999998</v>
      </c>
      <c r="M26">
        <f>7.31*150</f>
        <v>1096.5</v>
      </c>
      <c r="N26">
        <f>(M26*N27)/M27</f>
        <v>88.606060606060609</v>
      </c>
      <c r="O26">
        <v>1.4</v>
      </c>
      <c r="Q26">
        <v>0</v>
      </c>
      <c r="R26">
        <v>0</v>
      </c>
      <c r="S26">
        <v>0</v>
      </c>
      <c r="U26">
        <v>0</v>
      </c>
      <c r="V26">
        <v>0</v>
      </c>
    </row>
    <row r="27" spans="1:38" x14ac:dyDescent="0.3">
      <c r="J27">
        <v>4</v>
      </c>
      <c r="K27">
        <v>0.29299999999999998</v>
      </c>
      <c r="L27">
        <v>0.29699999999999999</v>
      </c>
      <c r="M27">
        <f>7.504*150</f>
        <v>1125.5999999999999</v>
      </c>
      <c r="N27">
        <f>(M27*N28)/M28</f>
        <v>90.957575757575754</v>
      </c>
      <c r="O27">
        <v>1.8</v>
      </c>
      <c r="Q27">
        <v>1</v>
      </c>
      <c r="R27">
        <v>11.420999999999999</v>
      </c>
      <c r="S27">
        <v>1046.52</v>
      </c>
      <c r="T27">
        <f>R27*150</f>
        <v>1713.1499999999999</v>
      </c>
      <c r="U27">
        <f>(T27*U28)/T28</f>
        <v>71.524298597194388</v>
      </c>
      <c r="V27">
        <v>2.4</v>
      </c>
    </row>
    <row r="28" spans="1:38" x14ac:dyDescent="0.3">
      <c r="J28">
        <v>6</v>
      </c>
      <c r="K28">
        <v>0.30099999999999999</v>
      </c>
      <c r="L28">
        <v>0.308</v>
      </c>
      <c r="M28">
        <f>7.725*150</f>
        <v>1158.75</v>
      </c>
      <c r="N28">
        <f>(M28*N29)/M29</f>
        <v>93.63636363636364</v>
      </c>
      <c r="O28">
        <v>2.7</v>
      </c>
      <c r="Q28">
        <v>2</v>
      </c>
      <c r="R28">
        <v>12.146000000000001</v>
      </c>
      <c r="T28">
        <f>R28*150</f>
        <v>1821.9</v>
      </c>
      <c r="U28">
        <f>(T28*U29)/T29</f>
        <v>76.064629258517044</v>
      </c>
      <c r="V28">
        <v>3.8</v>
      </c>
    </row>
    <row r="29" spans="1:38" x14ac:dyDescent="0.3">
      <c r="J29">
        <v>8</v>
      </c>
      <c r="K29">
        <v>0.32</v>
      </c>
      <c r="L29">
        <v>0.32500000000000001</v>
      </c>
      <c r="M29">
        <f>8.25*150</f>
        <v>1237.5</v>
      </c>
      <c r="N29">
        <v>100</v>
      </c>
      <c r="O29">
        <v>2</v>
      </c>
      <c r="Q29">
        <v>3</v>
      </c>
      <c r="R29">
        <v>15.592000000000001</v>
      </c>
      <c r="T29">
        <f>R29*150</f>
        <v>2338.8000000000002</v>
      </c>
      <c r="U29">
        <f>(T29*U30)/T30</f>
        <v>97.645290581162342</v>
      </c>
      <c r="V29">
        <v>4</v>
      </c>
    </row>
    <row r="30" spans="1:38" x14ac:dyDescent="0.3">
      <c r="J30">
        <v>10</v>
      </c>
      <c r="K30">
        <v>0.34100000000000003</v>
      </c>
      <c r="L30">
        <v>0.34200000000000003</v>
      </c>
      <c r="M30">
        <f>8.25*150</f>
        <v>1237.5</v>
      </c>
      <c r="N30">
        <v>100</v>
      </c>
      <c r="O30">
        <v>3.8</v>
      </c>
      <c r="Q30">
        <v>4</v>
      </c>
      <c r="R30">
        <v>15.773</v>
      </c>
      <c r="T30">
        <f>R30*150</f>
        <v>2365.9499999999998</v>
      </c>
      <c r="U30">
        <f>(T30*U31)/T31</f>
        <v>98.778807615230463</v>
      </c>
      <c r="V30">
        <v>2.2999999999999998</v>
      </c>
    </row>
    <row r="31" spans="1:38" x14ac:dyDescent="0.3">
      <c r="Q31">
        <v>5</v>
      </c>
      <c r="R31">
        <v>15.968</v>
      </c>
      <c r="T31">
        <f>R31*150</f>
        <v>2395.1999999999998</v>
      </c>
      <c r="U31">
        <f>100</f>
        <v>100</v>
      </c>
      <c r="V31">
        <v>3.1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43A99-AA5B-4FD8-B3C1-58715F26BB0B}">
  <dimension ref="A1:AN15"/>
  <sheetViews>
    <sheetView tabSelected="1" workbookViewId="0">
      <selection activeCell="L18" sqref="L18"/>
    </sheetView>
  </sheetViews>
  <sheetFormatPr defaultRowHeight="14.4" x14ac:dyDescent="0.3"/>
  <sheetData>
    <row r="1" spans="1:40" x14ac:dyDescent="0.3">
      <c r="A1" t="s">
        <v>26</v>
      </c>
      <c r="C1" s="5" t="s">
        <v>33</v>
      </c>
      <c r="H1" t="s">
        <v>21</v>
      </c>
      <c r="I1" t="s">
        <v>30</v>
      </c>
      <c r="K1" t="s">
        <v>31</v>
      </c>
    </row>
    <row r="2" spans="1:40" x14ac:dyDescent="0.3">
      <c r="B2" t="s">
        <v>27</v>
      </c>
      <c r="E2" t="s">
        <v>28</v>
      </c>
      <c r="G2" t="s">
        <v>29</v>
      </c>
      <c r="I2" t="s">
        <v>3</v>
      </c>
      <c r="J2" t="s">
        <v>12</v>
      </c>
      <c r="L2" t="s">
        <v>32</v>
      </c>
      <c r="O2" t="s">
        <v>28</v>
      </c>
      <c r="Q2" t="s">
        <v>29</v>
      </c>
      <c r="S2" t="s">
        <v>3</v>
      </c>
      <c r="T2" t="s">
        <v>12</v>
      </c>
      <c r="V2" t="s">
        <v>37</v>
      </c>
      <c r="Y2" t="s">
        <v>28</v>
      </c>
      <c r="AA2" t="s">
        <v>29</v>
      </c>
      <c r="AC2" t="s">
        <v>3</v>
      </c>
      <c r="AD2" t="s">
        <v>12</v>
      </c>
      <c r="AF2" t="s">
        <v>38</v>
      </c>
      <c r="AI2" t="s">
        <v>28</v>
      </c>
      <c r="AK2" t="s">
        <v>29</v>
      </c>
      <c r="AM2" t="s">
        <v>3</v>
      </c>
      <c r="AN2" t="s">
        <v>12</v>
      </c>
    </row>
    <row r="3" spans="1:40" x14ac:dyDescent="0.3">
      <c r="B3">
        <v>2.5</v>
      </c>
      <c r="C3">
        <f>(0.72-0.575)/0.72*100</f>
        <v>20.138888888888893</v>
      </c>
      <c r="D3">
        <f>(0.718-0.545)/0.718*100</f>
        <v>24.094707520891355</v>
      </c>
      <c r="E3">
        <v>4.5987</v>
      </c>
      <c r="F3">
        <v>5.1525999999999996</v>
      </c>
      <c r="G3">
        <f>(E3/3.4396)*0.04/0.01</f>
        <v>5.3479474357483427</v>
      </c>
      <c r="H3">
        <f>(F3/3.4396)/0.25</f>
        <v>5.9920921037329915</v>
      </c>
      <c r="I3">
        <f>AVERAGEA(G3:H3)</f>
        <v>5.6700197697406676</v>
      </c>
      <c r="J3">
        <f>STDEVA(G3:H3)</f>
        <v>0.45547906279710232</v>
      </c>
      <c r="L3">
        <v>10</v>
      </c>
      <c r="M3">
        <f>(0.714-0.515)/0.714*100</f>
        <v>27.87114845938375</v>
      </c>
      <c r="N3">
        <f>(0.682-0.442)/0.682*100</f>
        <v>35.19061583577713</v>
      </c>
      <c r="O3">
        <v>2.1848999999999998</v>
      </c>
      <c r="P3">
        <v>0.85240000000000005</v>
      </c>
      <c r="Q3">
        <f>(O3/3.4396)/0.25</f>
        <v>2.5408768461449003</v>
      </c>
      <c r="R3">
        <f>(P3/3.4396)/0.25</f>
        <v>0.99127805558785909</v>
      </c>
      <c r="S3">
        <f>AVERAGEA(Q3:R3)</f>
        <v>1.7660774508663797</v>
      </c>
      <c r="T3">
        <f>STDEVA(Q3:R3)</f>
        <v>1.0957318129213565</v>
      </c>
      <c r="V3">
        <v>5</v>
      </c>
      <c r="W3">
        <f>(0.717-0.533)/0.717*100</f>
        <v>25.662482566248251</v>
      </c>
      <c r="X3">
        <f>(0.717-0.528)/0.717*100</f>
        <v>26.359832635983256</v>
      </c>
      <c r="Y3">
        <v>3.5878000000000001</v>
      </c>
      <c r="Z3">
        <v>3.8813</v>
      </c>
      <c r="AA3">
        <f>(Y3/3.4396)/0.25</f>
        <v>4.1723456215839052</v>
      </c>
      <c r="AB3">
        <f>(Z3/3.4396)/0.25</f>
        <v>4.513664379579021</v>
      </c>
      <c r="AC3">
        <f>AVERAGEA(AA3:AB3)</f>
        <v>4.3430050005814635</v>
      </c>
      <c r="AD3">
        <f>STDEVA(AA3:AB3)</f>
        <v>0.24134880832451652</v>
      </c>
      <c r="AF3">
        <v>5</v>
      </c>
      <c r="AG3">
        <f>(0.723-0.549)/0.723*100</f>
        <v>24.066390041493769</v>
      </c>
      <c r="AH3">
        <f>(0.724-0.55)/0.724*100</f>
        <v>24.033149171270711</v>
      </c>
      <c r="AI3">
        <v>1.8672</v>
      </c>
      <c r="AJ3">
        <v>1.9621</v>
      </c>
      <c r="AK3">
        <f>(AI3/3.4396)/0.25</f>
        <v>2.1714152808466101</v>
      </c>
      <c r="AL3">
        <f>(AJ3/3.4396)/0.25</f>
        <v>2.2817769508082333</v>
      </c>
      <c r="AM3">
        <f>AVERAGE(AK3:AL3)</f>
        <v>2.2265961158274217</v>
      </c>
      <c r="AN3">
        <f>STDEVA(AK3:AL3)</f>
        <v>7.8037485212935478E-2</v>
      </c>
    </row>
    <row r="4" spans="1:40" x14ac:dyDescent="0.3">
      <c r="B4">
        <v>5</v>
      </c>
      <c r="C4">
        <f>(0.702-0.48)/0.702*100</f>
        <v>31.623931623931622</v>
      </c>
      <c r="D4">
        <f>(0.71-0.525)/0.71*100</f>
        <v>26.056338028169009</v>
      </c>
      <c r="L4">
        <v>15</v>
      </c>
      <c r="M4">
        <f>(0.728-0.398)/0.728*100</f>
        <v>45.329670329670321</v>
      </c>
      <c r="N4">
        <f>(0.724-0.46)/0.724*100</f>
        <v>36.46408839779005</v>
      </c>
      <c r="V4">
        <v>10</v>
      </c>
      <c r="W4">
        <f>(0.719-0.375)/0.719*100</f>
        <v>47.844228094575797</v>
      </c>
      <c r="X4">
        <f>(0.723-0.37)/0.723*100</f>
        <v>48.824343015214382</v>
      </c>
      <c r="AF4">
        <v>10</v>
      </c>
      <c r="AG4">
        <f>(0.735-0.452)/0.735*100</f>
        <v>38.503401360544217</v>
      </c>
      <c r="AH4">
        <f>(0.725-0.49)/0.725*100</f>
        <v>32.41379310344827</v>
      </c>
    </row>
    <row r="5" spans="1:40" x14ac:dyDescent="0.3">
      <c r="B5">
        <v>10</v>
      </c>
      <c r="C5">
        <f>(0.67-0.304)/0.67*100</f>
        <v>54.626865671641802</v>
      </c>
      <c r="D5">
        <f>(0.72-0.284)/0.72*100</f>
        <v>60.555555555555564</v>
      </c>
      <c r="L5">
        <v>20</v>
      </c>
      <c r="M5">
        <f>(0.714-0.359)/0.714*100</f>
        <v>49.719887955182074</v>
      </c>
      <c r="N5">
        <f>(0.716-0.403)/0.716*100</f>
        <v>43.715083798882674</v>
      </c>
      <c r="V5">
        <v>15</v>
      </c>
      <c r="W5">
        <f>(0.715-0.254)/0.715*100</f>
        <v>64.475524475524466</v>
      </c>
      <c r="X5">
        <f>(0.715-0.27)/0.715*100</f>
        <v>62.237762237762226</v>
      </c>
      <c r="AF5">
        <v>15</v>
      </c>
      <c r="AG5">
        <f>(0.723-0.414)/0.723*100</f>
        <v>42.738589211618262</v>
      </c>
      <c r="AH5">
        <f>(0.717-0.404)/0.717*100</f>
        <v>43.654114365411431</v>
      </c>
    </row>
    <row r="8" spans="1:40" x14ac:dyDescent="0.3">
      <c r="B8" s="5" t="s">
        <v>34</v>
      </c>
      <c r="F8" t="s">
        <v>39</v>
      </c>
      <c r="G8" t="s">
        <v>40</v>
      </c>
      <c r="N8" t="s">
        <v>3</v>
      </c>
      <c r="O8" t="s">
        <v>12</v>
      </c>
    </row>
    <row r="9" spans="1:40" x14ac:dyDescent="0.3">
      <c r="B9" t="s">
        <v>35</v>
      </c>
      <c r="C9" t="s">
        <v>36</v>
      </c>
      <c r="D9">
        <v>166.351</v>
      </c>
      <c r="E9">
        <f>(998.384*170)/1000</f>
        <v>169.72528</v>
      </c>
      <c r="F9">
        <f>AVERAGEA(D9:E9)</f>
        <v>168.03814</v>
      </c>
      <c r="G9">
        <f>STDEVA(D9:E9)</f>
        <v>2.3859762696221427</v>
      </c>
      <c r="L9">
        <f>(641.104*170)/1000</f>
        <v>108.98768000000001</v>
      </c>
      <c r="M9">
        <f>(648*170)/1000</f>
        <v>110.16</v>
      </c>
      <c r="N9">
        <f>AVERAGEA(L9:M9)</f>
        <v>109.57384</v>
      </c>
      <c r="O9">
        <f>STDEVA(L9:M9)</f>
        <v>0.82895542172060277</v>
      </c>
    </row>
    <row r="10" spans="1:40" x14ac:dyDescent="0.3">
      <c r="B10">
        <f>(170*978.535)/1000</f>
        <v>166.35094999999998</v>
      </c>
      <c r="C10">
        <v>978.53499999999997</v>
      </c>
      <c r="Y10" t="s">
        <v>3</v>
      </c>
      <c r="Z10" t="s">
        <v>12</v>
      </c>
      <c r="AH10" t="s">
        <v>41</v>
      </c>
      <c r="AI10" t="s">
        <v>12</v>
      </c>
    </row>
    <row r="11" spans="1:40" x14ac:dyDescent="0.3">
      <c r="B11" t="s">
        <v>34</v>
      </c>
      <c r="H11" t="s">
        <v>62</v>
      </c>
      <c r="W11">
        <f>(998*170)/1000</f>
        <v>169.66</v>
      </c>
      <c r="X11">
        <f>(989*170)/1000</f>
        <v>168.13</v>
      </c>
      <c r="Y11">
        <f>AVERAGEA(W11:X11)</f>
        <v>168.89499999999998</v>
      </c>
      <c r="Z11">
        <f>STDEVA(W11:X11)</f>
        <v>1.0818733752154186</v>
      </c>
      <c r="AF11">
        <f>(634.487*170)/1000</f>
        <v>107.86278999999999</v>
      </c>
      <c r="AG11">
        <f>(515.394*170)/1000</f>
        <v>87.616979999999998</v>
      </c>
      <c r="AH11">
        <f>AVERAGEA(AF11:AG11)</f>
        <v>97.739884999999987</v>
      </c>
      <c r="AI11">
        <f>STDEVA(AF11:AG11)</f>
        <v>14.315949541614597</v>
      </c>
    </row>
    <row r="12" spans="1:40" x14ac:dyDescent="0.3">
      <c r="A12" t="s">
        <v>60</v>
      </c>
      <c r="D12" t="s">
        <v>3</v>
      </c>
      <c r="E12" t="s">
        <v>61</v>
      </c>
      <c r="G12" t="s">
        <v>63</v>
      </c>
      <c r="K12" t="s">
        <v>28</v>
      </c>
      <c r="M12" t="s">
        <v>64</v>
      </c>
      <c r="O12" t="s">
        <v>3</v>
      </c>
      <c r="P12" t="s">
        <v>61</v>
      </c>
    </row>
    <row r="13" spans="1:40" x14ac:dyDescent="0.3">
      <c r="B13">
        <f>(200*859.917)/1000</f>
        <v>171.98339999999999</v>
      </c>
      <c r="C13">
        <f>(200*896.968)/1000</f>
        <v>179.39359999999999</v>
      </c>
      <c r="D13">
        <f>AVERAGEA(B13:C13)</f>
        <v>175.68849999999998</v>
      </c>
      <c r="E13">
        <f>STDEVA(B13:C13)</f>
        <v>5.2398026699485571</v>
      </c>
      <c r="H13">
        <v>10</v>
      </c>
      <c r="I13">
        <f>(0.7-0.435)/0.7*100</f>
        <v>37.857142857142854</v>
      </c>
      <c r="J13">
        <f>(0.699-0.405)/0.699*100</f>
        <v>42.060085836909863</v>
      </c>
      <c r="K13">
        <v>5.1115000000000004</v>
      </c>
      <c r="L13">
        <v>4.8394000000000004</v>
      </c>
      <c r="M13">
        <f>(K13/3.4396)*0.1/0.025</f>
        <v>5.9442958483544599</v>
      </c>
      <c r="N13">
        <f>(L13/3.4396)*0.1/0.025</f>
        <v>5.6278637050819862</v>
      </c>
      <c r="O13">
        <f>AVERAGEA(M13:N13)</f>
        <v>5.786079776718223</v>
      </c>
      <c r="P13">
        <f>STDEVA(M13:N13)</f>
        <v>0.22375131429335932</v>
      </c>
    </row>
    <row r="14" spans="1:40" x14ac:dyDescent="0.3">
      <c r="H14">
        <v>12.5</v>
      </c>
      <c r="I14">
        <f>(0.69-0.361)/0.69*100</f>
        <v>47.681159420289852</v>
      </c>
      <c r="J14">
        <f>(0.691-0.355)/0.691*100</f>
        <v>48.62518089725036</v>
      </c>
    </row>
    <row r="15" spans="1:40" x14ac:dyDescent="0.3">
      <c r="H15">
        <v>15</v>
      </c>
      <c r="I15">
        <f>(0.701-0.266)/0.701*100</f>
        <v>62.054208273894432</v>
      </c>
      <c r="J15">
        <f>(0.701-0.227)/0.701*100</f>
        <v>67.617689015691866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53A8CD-98CD-4998-9CC5-28E350148D82}">
  <dimension ref="A1:R14"/>
  <sheetViews>
    <sheetView zoomScaleNormal="100" workbookViewId="0">
      <selection activeCell="M59" sqref="M59"/>
    </sheetView>
  </sheetViews>
  <sheetFormatPr defaultRowHeight="14.4" x14ac:dyDescent="0.3"/>
  <sheetData>
    <row r="1" spans="1:18" x14ac:dyDescent="0.3">
      <c r="A1" t="s">
        <v>44</v>
      </c>
      <c r="C1" t="s">
        <v>47</v>
      </c>
      <c r="H1" t="s">
        <v>48</v>
      </c>
    </row>
    <row r="2" spans="1:18" x14ac:dyDescent="0.3">
      <c r="A2" t="s">
        <v>49</v>
      </c>
      <c r="B2" t="s">
        <v>45</v>
      </c>
      <c r="C2" t="s">
        <v>46</v>
      </c>
      <c r="D2" t="s">
        <v>3</v>
      </c>
      <c r="E2" t="s">
        <v>12</v>
      </c>
      <c r="I2" t="s">
        <v>45</v>
      </c>
      <c r="J2" t="s">
        <v>46</v>
      </c>
      <c r="K2" t="s">
        <v>3</v>
      </c>
      <c r="L2" t="s">
        <v>12</v>
      </c>
      <c r="N2" t="s">
        <v>52</v>
      </c>
      <c r="O2" t="s">
        <v>50</v>
      </c>
      <c r="P2">
        <v>1.84</v>
      </c>
      <c r="Q2">
        <v>1.85</v>
      </c>
    </row>
    <row r="3" spans="1:18" x14ac:dyDescent="0.3">
      <c r="A3">
        <v>0</v>
      </c>
      <c r="B3">
        <v>0</v>
      </c>
      <c r="C3">
        <v>0</v>
      </c>
      <c r="D3">
        <v>0</v>
      </c>
      <c r="E3">
        <v>0</v>
      </c>
      <c r="H3">
        <v>0</v>
      </c>
      <c r="I3">
        <v>0</v>
      </c>
      <c r="J3">
        <v>0</v>
      </c>
      <c r="K3">
        <f>AVERAGEA(I3:J3)</f>
        <v>0</v>
      </c>
      <c r="L3">
        <f>STDEVA(I3:J3)</f>
        <v>0</v>
      </c>
      <c r="O3" t="s">
        <v>51</v>
      </c>
      <c r="P3">
        <f>(P2/0.03)</f>
        <v>61.333333333333336</v>
      </c>
      <c r="Q3">
        <f>(Q2/0.03)</f>
        <v>61.666666666666671</v>
      </c>
      <c r="R3">
        <f>AVERAGEA(P3:Q3)</f>
        <v>61.5</v>
      </c>
    </row>
    <row r="4" spans="1:18" x14ac:dyDescent="0.3">
      <c r="A4">
        <v>1</v>
      </c>
      <c r="B4" s="2">
        <f>(0.27*0.03)/0.0202</f>
        <v>0.40099009900990096</v>
      </c>
      <c r="C4" s="2">
        <f>(0.4*0.03)/0.0204</f>
        <v>0.58823529411764708</v>
      </c>
      <c r="D4">
        <f>AVERAGE(B4:C4)</f>
        <v>0.49461269656377405</v>
      </c>
      <c r="E4">
        <f>STDEVA(B4:C5)</f>
        <v>1.6424853509945052</v>
      </c>
      <c r="F4">
        <f>(D4*100)/61.5</f>
        <v>0.8042482870955675</v>
      </c>
      <c r="H4" s="2">
        <v>1</v>
      </c>
      <c r="I4" s="2">
        <f>(0.967*0.03)/0.0202</f>
        <v>1.4361386138613861</v>
      </c>
      <c r="J4" s="2">
        <f>(0.891*0.03)/0.0204</f>
        <v>1.3102941176470588</v>
      </c>
      <c r="K4">
        <f t="shared" ref="K4:K14" si="0">AVERAGEA(I4:J4)</f>
        <v>1.3732163657542225</v>
      </c>
      <c r="L4">
        <f t="shared" ref="L4:L14" si="1">STDEVA(I4:J4)</f>
        <v>8.898549664815561E-2</v>
      </c>
      <c r="M4">
        <f>(K4*100)/61.5</f>
        <v>2.23287213943776</v>
      </c>
    </row>
    <row r="5" spans="1:18" x14ac:dyDescent="0.3">
      <c r="A5">
        <v>2</v>
      </c>
      <c r="B5">
        <f>(0.2*0.03)/0.0202*8</f>
        <v>2.3762376237623766</v>
      </c>
      <c r="C5">
        <f>(0.33*0.03)/0.0204*8</f>
        <v>3.8823529411764706</v>
      </c>
      <c r="D5">
        <f t="shared" ref="D5:D14" si="2">AVERAGE(B5:C5)</f>
        <v>3.1292952824694238</v>
      </c>
      <c r="E5">
        <f t="shared" ref="E5:E14" si="3">STDEVA(B5:C6)</f>
        <v>0.95340933982078602</v>
      </c>
      <c r="F5">
        <f t="shared" ref="F5:F14" si="4">(D5*100)/61.5</f>
        <v>5.0882850121454046</v>
      </c>
      <c r="H5">
        <v>2</v>
      </c>
      <c r="I5">
        <f>(0.584*0.03)/0.0202*8</f>
        <v>6.9386138613861377</v>
      </c>
      <c r="J5">
        <f>(0.309*0.03)/0.0204*8</f>
        <v>3.6352941176470579</v>
      </c>
      <c r="K5">
        <f t="shared" si="0"/>
        <v>5.286953989516598</v>
      </c>
      <c r="L5">
        <f t="shared" si="1"/>
        <v>2.3357997912253108</v>
      </c>
      <c r="M5">
        <f t="shared" ref="M5:M14" si="5">(K5*100)/61.5</f>
        <v>8.5966731536855256</v>
      </c>
    </row>
    <row r="6" spans="1:18" x14ac:dyDescent="0.3">
      <c r="A6">
        <v>3</v>
      </c>
      <c r="B6">
        <f>(0.22*0.02975)/0.0202*8</f>
        <v>2.5920792079207922</v>
      </c>
      <c r="C6">
        <f>(0.37*0.02975)/0.0204*8</f>
        <v>4.3166666666666664</v>
      </c>
      <c r="D6">
        <f t="shared" si="2"/>
        <v>3.4543729372937291</v>
      </c>
      <c r="E6">
        <f t="shared" si="3"/>
        <v>0.92225936076382709</v>
      </c>
      <c r="F6">
        <f t="shared" si="4"/>
        <v>5.6168665647052505</v>
      </c>
      <c r="H6">
        <v>3</v>
      </c>
      <c r="I6">
        <f>(0.746*0.02975)/0.0202*8</f>
        <v>8.7895049504950489</v>
      </c>
      <c r="J6">
        <f>(0.382*0.02975)/0.0204*8</f>
        <v>4.4566666666666661</v>
      </c>
      <c r="K6">
        <f t="shared" si="0"/>
        <v>6.623085808580857</v>
      </c>
      <c r="L6">
        <f t="shared" si="1"/>
        <v>3.0637793322797342</v>
      </c>
      <c r="M6">
        <f t="shared" si="5"/>
        <v>10.769245217204647</v>
      </c>
    </row>
    <row r="7" spans="1:18" x14ac:dyDescent="0.3">
      <c r="A7">
        <v>4</v>
      </c>
      <c r="B7">
        <f>(0.27*0.0295)/0.0202*8</f>
        <v>3.1544554455445546</v>
      </c>
      <c r="C7">
        <f>(0.39*0.0295)/0.0204*8</f>
        <v>4.5117647058823529</v>
      </c>
      <c r="D7">
        <f t="shared" si="2"/>
        <v>3.8331100757134537</v>
      </c>
      <c r="E7">
        <f t="shared" si="3"/>
        <v>0.80434693060817164</v>
      </c>
      <c r="F7">
        <f t="shared" si="4"/>
        <v>6.2326993101031771</v>
      </c>
      <c r="H7">
        <v>4</v>
      </c>
      <c r="I7">
        <f>(0.853*0.0295)/0.0202*8</f>
        <v>9.9657425742574262</v>
      </c>
      <c r="J7">
        <f>(0.554*0.0295)/0.0204*8</f>
        <v>6.4090196078431365</v>
      </c>
      <c r="K7">
        <f t="shared" si="0"/>
        <v>8.1873810910502804</v>
      </c>
      <c r="L7">
        <f t="shared" si="1"/>
        <v>2.5149829283534797</v>
      </c>
      <c r="M7">
        <f t="shared" si="5"/>
        <v>13.312814782195577</v>
      </c>
    </row>
    <row r="8" spans="1:18" x14ac:dyDescent="0.3">
      <c r="A8">
        <v>5</v>
      </c>
      <c r="B8">
        <f>(0.35*0.02925)/0.0202*9</f>
        <v>4.5612623762376243</v>
      </c>
      <c r="C8">
        <f>(0.35*0.02925)/0.0204*10</f>
        <v>5.0183823529411766</v>
      </c>
      <c r="D8">
        <f t="shared" si="2"/>
        <v>4.7898223645894005</v>
      </c>
      <c r="E8">
        <f t="shared" si="3"/>
        <v>0.27881424977074387</v>
      </c>
      <c r="F8">
        <f t="shared" si="4"/>
        <v>7.7883290481128462</v>
      </c>
      <c r="H8">
        <v>5</v>
      </c>
      <c r="I8">
        <f>(0.782*0.02925)/0.0202*9</f>
        <v>10.191163366336635</v>
      </c>
      <c r="J8">
        <f>(0.597*0.02925)/0.0204*10</f>
        <v>8.5599264705882341</v>
      </c>
      <c r="K8">
        <f t="shared" si="0"/>
        <v>9.3755449184624347</v>
      </c>
      <c r="L8">
        <f t="shared" si="1"/>
        <v>1.1534586707053878</v>
      </c>
      <c r="M8">
        <f t="shared" si="5"/>
        <v>15.24478848530477</v>
      </c>
    </row>
    <row r="9" spans="1:18" x14ac:dyDescent="0.3">
      <c r="A9">
        <v>6</v>
      </c>
      <c r="B9">
        <f>(0.36*0.029)/0.0202*10</f>
        <v>5.1683168316831685</v>
      </c>
      <c r="C9">
        <f>(0.36*0.02905)/0.0204*10</f>
        <v>5.1264705882352937</v>
      </c>
      <c r="D9">
        <f t="shared" si="2"/>
        <v>5.1473937099592311</v>
      </c>
      <c r="E9">
        <f t="shared" si="3"/>
        <v>1.2919467382115528</v>
      </c>
      <c r="F9">
        <f t="shared" si="4"/>
        <v>8.369745869852407</v>
      </c>
      <c r="H9">
        <v>6</v>
      </c>
      <c r="I9">
        <f>(0.885*0.029)/0.0202*10</f>
        <v>12.705445544554458</v>
      </c>
      <c r="J9">
        <f>(0.633*0.02905)/0.0204*10</f>
        <v>9.0140441176470567</v>
      </c>
      <c r="K9">
        <f t="shared" si="0"/>
        <v>10.859744831100757</v>
      </c>
      <c r="L9">
        <f t="shared" si="1"/>
        <v>2.6102149810479216</v>
      </c>
      <c r="M9">
        <f t="shared" si="5"/>
        <v>17.658121676586596</v>
      </c>
    </row>
    <row r="10" spans="1:18" x14ac:dyDescent="0.3">
      <c r="A10">
        <v>8</v>
      </c>
      <c r="B10">
        <f>(0.33*0.0288)/0.0202*15</f>
        <v>7.0574257425742575</v>
      </c>
      <c r="C10">
        <f>(0.27*0.02885)/0.0204*20</f>
        <v>7.6367647058823529</v>
      </c>
      <c r="D10">
        <f t="shared" si="2"/>
        <v>7.3470952242283047</v>
      </c>
      <c r="E10">
        <f t="shared" si="3"/>
        <v>0.39387691677125969</v>
      </c>
      <c r="F10">
        <f t="shared" si="4"/>
        <v>11.946496299558218</v>
      </c>
      <c r="H10">
        <v>8</v>
      </c>
      <c r="I10">
        <f>(0.632*0.0288)/0.0202*15</f>
        <v>13.516039603960394</v>
      </c>
      <c r="J10">
        <f>(0.366*0.02885)/0.0204*20</f>
        <v>10.352058823529411</v>
      </c>
      <c r="K10">
        <f t="shared" si="0"/>
        <v>11.934049213744903</v>
      </c>
      <c r="L10">
        <f t="shared" si="1"/>
        <v>2.2372722653866619</v>
      </c>
      <c r="M10">
        <f t="shared" si="5"/>
        <v>19.404958071129922</v>
      </c>
    </row>
    <row r="11" spans="1:18" x14ac:dyDescent="0.3">
      <c r="A11">
        <v>25</v>
      </c>
      <c r="B11">
        <f>(0.14*0.0286)/0.0202*40</f>
        <v>7.9287128712871304</v>
      </c>
      <c r="C11">
        <f>(0.14*0.0286)/0.0204*40</f>
        <v>7.8509803921568633</v>
      </c>
      <c r="D11">
        <f t="shared" si="2"/>
        <v>7.8898466317219969</v>
      </c>
      <c r="E11">
        <f t="shared" si="3"/>
        <v>0.58799487797149208</v>
      </c>
      <c r="F11">
        <f t="shared" si="4"/>
        <v>12.829018913369101</v>
      </c>
      <c r="H11">
        <v>25</v>
      </c>
      <c r="I11">
        <f>(0.23*0.0286)/0.0202*40</f>
        <v>13.025742574257427</v>
      </c>
      <c r="J11">
        <f>(0.25*0.0286)/0.0204*40</f>
        <v>14.019607843137255</v>
      </c>
      <c r="K11">
        <f t="shared" si="0"/>
        <v>13.52267520869734</v>
      </c>
      <c r="L11">
        <f t="shared" si="1"/>
        <v>0.70276887121071785</v>
      </c>
      <c r="M11">
        <f t="shared" si="5"/>
        <v>21.988089770239576</v>
      </c>
    </row>
    <row r="12" spans="1:18" x14ac:dyDescent="0.3">
      <c r="A12">
        <v>32</v>
      </c>
      <c r="B12">
        <f>(0.16*0.02855)/0.0202*40</f>
        <v>9.0455445544554465</v>
      </c>
      <c r="C12">
        <f>(0.14*0.02855)/0.0204*40</f>
        <v>7.8372549019607849</v>
      </c>
      <c r="D12">
        <f t="shared" si="2"/>
        <v>8.4413997282081148</v>
      </c>
      <c r="E12">
        <f t="shared" si="3"/>
        <v>0.7015909406284766</v>
      </c>
      <c r="F12">
        <f t="shared" si="4"/>
        <v>13.725853216598562</v>
      </c>
      <c r="H12">
        <v>32</v>
      </c>
      <c r="I12">
        <f>(0.23*0.0286)/0.0202*40</f>
        <v>13.025742574257427</v>
      </c>
      <c r="J12">
        <f>(0.25*0.0286)/0.0204*40</f>
        <v>14.019607843137255</v>
      </c>
      <c r="K12">
        <f t="shared" si="0"/>
        <v>13.52267520869734</v>
      </c>
      <c r="L12">
        <f t="shared" si="1"/>
        <v>0.70276887121071785</v>
      </c>
      <c r="M12">
        <f t="shared" si="5"/>
        <v>21.988089770239576</v>
      </c>
    </row>
    <row r="13" spans="1:18" x14ac:dyDescent="0.3">
      <c r="A13">
        <v>50</v>
      </c>
      <c r="B13">
        <f>(0.16*0.02855)/0.0202*40</f>
        <v>9.0455445544554465</v>
      </c>
      <c r="C13">
        <f>(0.14*0.0285)/0.0204*40</f>
        <v>7.8235294117647056</v>
      </c>
      <c r="D13">
        <f t="shared" si="2"/>
        <v>8.4345369831100765</v>
      </c>
      <c r="E13">
        <f t="shared" si="3"/>
        <v>1.17111389105736</v>
      </c>
      <c r="F13">
        <f t="shared" si="4"/>
        <v>13.714694281479799</v>
      </c>
      <c r="H13">
        <v>50</v>
      </c>
      <c r="I13">
        <f>(0.23*0.0286)/0.0202*40</f>
        <v>13.025742574257427</v>
      </c>
      <c r="J13">
        <f>(0.25*0.0286)/0.0204*40</f>
        <v>14.019607843137255</v>
      </c>
      <c r="K13">
        <f t="shared" si="0"/>
        <v>13.52267520869734</v>
      </c>
      <c r="L13">
        <f t="shared" si="1"/>
        <v>0.70276887121071785</v>
      </c>
      <c r="M13">
        <f t="shared" si="5"/>
        <v>21.988089770239576</v>
      </c>
    </row>
    <row r="14" spans="1:18" x14ac:dyDescent="0.3">
      <c r="A14">
        <v>74</v>
      </c>
      <c r="B14">
        <f>(0.18*0.04)/0.0202*20</f>
        <v>7.1287128712871279</v>
      </c>
      <c r="C14">
        <f>(0.16*0.04)/0.0204*20</f>
        <v>6.2745098039215685</v>
      </c>
      <c r="D14">
        <f t="shared" si="2"/>
        <v>6.7016113376043478</v>
      </c>
      <c r="E14">
        <f t="shared" si="3"/>
        <v>0.6040127814445363</v>
      </c>
      <c r="F14">
        <f t="shared" si="4"/>
        <v>10.89692900423471</v>
      </c>
      <c r="H14">
        <v>74</v>
      </c>
      <c r="I14">
        <f>(0.152*0.04)/0.0202*20</f>
        <v>6.0198019801980207</v>
      </c>
      <c r="J14">
        <f>(0.149*0.04)/0.0204*20</f>
        <v>5.8431372549019596</v>
      </c>
      <c r="K14">
        <f t="shared" si="0"/>
        <v>5.9314696175499897</v>
      </c>
      <c r="L14">
        <f t="shared" si="1"/>
        <v>0.12492082525330343</v>
      </c>
      <c r="M14">
        <f t="shared" si="5"/>
        <v>9.6446660447967307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6311E-1651-4B1F-AF14-FF78F3C50A66}">
  <dimension ref="A1:S16"/>
  <sheetViews>
    <sheetView workbookViewId="0">
      <selection activeCell="O22" sqref="O22"/>
    </sheetView>
  </sheetViews>
  <sheetFormatPr defaultRowHeight="14.4" x14ac:dyDescent="0.3"/>
  <sheetData>
    <row r="1" spans="1:19" x14ac:dyDescent="0.3">
      <c r="B1" t="s">
        <v>53</v>
      </c>
      <c r="E1">
        <v>1000</v>
      </c>
      <c r="F1" t="s">
        <v>51</v>
      </c>
    </row>
    <row r="3" spans="1:19" x14ac:dyDescent="0.3">
      <c r="B3" t="s">
        <v>58</v>
      </c>
      <c r="D3" t="s">
        <v>9</v>
      </c>
      <c r="E3" t="s">
        <v>55</v>
      </c>
      <c r="F3" t="s">
        <v>2</v>
      </c>
      <c r="G3" t="s">
        <v>55</v>
      </c>
      <c r="H3" t="s">
        <v>54</v>
      </c>
      <c r="J3" t="s">
        <v>56</v>
      </c>
      <c r="K3" t="s">
        <v>10</v>
      </c>
      <c r="L3" t="s">
        <v>2</v>
      </c>
      <c r="M3" t="s">
        <v>10</v>
      </c>
      <c r="N3" t="s">
        <v>59</v>
      </c>
      <c r="P3" t="s">
        <v>56</v>
      </c>
      <c r="Q3" t="s">
        <v>10</v>
      </c>
      <c r="R3" t="s">
        <v>57</v>
      </c>
      <c r="S3" t="s">
        <v>10</v>
      </c>
    </row>
    <row r="4" spans="1:19" x14ac:dyDescent="0.3">
      <c r="B4">
        <v>32.5</v>
      </c>
      <c r="C4">
        <v>30.2</v>
      </c>
      <c r="H4">
        <v>30.5</v>
      </c>
      <c r="I4">
        <v>30.2</v>
      </c>
      <c r="N4">
        <v>30.1</v>
      </c>
      <c r="O4">
        <v>30.8</v>
      </c>
    </row>
    <row r="5" spans="1:19" x14ac:dyDescent="0.3">
      <c r="A5">
        <v>0</v>
      </c>
      <c r="B5">
        <v>0</v>
      </c>
      <c r="C5">
        <v>0</v>
      </c>
      <c r="D5">
        <v>0</v>
      </c>
      <c r="E5">
        <f>STDEVA(B6:C6)</f>
        <v>0.77357481861808319</v>
      </c>
      <c r="F5">
        <v>100</v>
      </c>
      <c r="H5">
        <v>0</v>
      </c>
      <c r="I5">
        <v>0</v>
      </c>
      <c r="J5">
        <v>0</v>
      </c>
      <c r="K5">
        <v>0</v>
      </c>
      <c r="L5">
        <v>100</v>
      </c>
      <c r="M5">
        <v>0</v>
      </c>
      <c r="N5">
        <v>0</v>
      </c>
      <c r="O5">
        <v>0</v>
      </c>
      <c r="P5">
        <v>0</v>
      </c>
      <c r="Q5">
        <v>0</v>
      </c>
      <c r="R5">
        <v>100</v>
      </c>
      <c r="S5">
        <v>0</v>
      </c>
    </row>
    <row r="6" spans="1:19" x14ac:dyDescent="0.3">
      <c r="A6">
        <v>1</v>
      </c>
      <c r="B6">
        <v>5.1539999999999999</v>
      </c>
      <c r="C6">
        <v>6.2480000000000002</v>
      </c>
      <c r="D6">
        <f>AVERAGEA(B6:C6)</f>
        <v>5.7010000000000005</v>
      </c>
      <c r="E6">
        <f t="shared" ref="E6:E15" si="0">STDEVA(B7:C7)</f>
        <v>0.47588286373854649</v>
      </c>
      <c r="F6">
        <f>(D6*$F$5)/1000</f>
        <v>0.57010000000000005</v>
      </c>
      <c r="G6">
        <v>0.1</v>
      </c>
      <c r="H6">
        <v>3.2160000000000002</v>
      </c>
      <c r="I6">
        <v>2.9870000000000001</v>
      </c>
      <c r="J6">
        <f>AVERAGEA(H6:I6)</f>
        <v>3.1015000000000001</v>
      </c>
      <c r="K6">
        <f>STDEVA(H6:I6)</f>
        <v>0.16192745289171945</v>
      </c>
      <c r="L6">
        <f>(J6*100)/1000</f>
        <v>0.31015000000000004</v>
      </c>
      <c r="M6">
        <v>0.1</v>
      </c>
      <c r="N6">
        <v>1.254</v>
      </c>
      <c r="O6">
        <v>2.359</v>
      </c>
      <c r="P6">
        <f>AVERAGEA(N6:O6)</f>
        <v>1.8065</v>
      </c>
      <c r="Q6">
        <f>STDEVA(N6:O6)</f>
        <v>0.78135299321113527</v>
      </c>
      <c r="R6">
        <f>(P6*100)/1000</f>
        <v>0.18065000000000001</v>
      </c>
      <c r="S6">
        <v>0.1</v>
      </c>
    </row>
    <row r="7" spans="1:19" x14ac:dyDescent="0.3">
      <c r="A7">
        <v>2</v>
      </c>
      <c r="B7">
        <v>8.8740000000000006</v>
      </c>
      <c r="C7">
        <v>9.5470000000000006</v>
      </c>
      <c r="D7">
        <f t="shared" ref="D7:D16" si="1">AVERAGEA(B7:C7)</f>
        <v>9.2104999999999997</v>
      </c>
      <c r="E7">
        <f t="shared" si="0"/>
        <v>0.8633773798287746</v>
      </c>
      <c r="F7">
        <f t="shared" ref="F7:F16" si="2">(D7*$F$5)/1000</f>
        <v>0.92104999999999992</v>
      </c>
      <c r="G7">
        <v>0.1</v>
      </c>
      <c r="H7">
        <v>5.2779999999999996</v>
      </c>
      <c r="I7">
        <v>4.899</v>
      </c>
      <c r="J7">
        <f t="shared" ref="J7:J16" si="3">AVERAGEA(H7:I7)</f>
        <v>5.0884999999999998</v>
      </c>
      <c r="K7">
        <f t="shared" ref="K7:K16" si="4">STDEVA(H7:I7)</f>
        <v>0.2679934700697012</v>
      </c>
      <c r="L7">
        <f t="shared" ref="L7:L16" si="5">(J7*100)/1000</f>
        <v>0.50884999999999991</v>
      </c>
      <c r="M7">
        <v>0.1</v>
      </c>
      <c r="N7">
        <v>3.8969999999999998</v>
      </c>
      <c r="O7">
        <v>4.758</v>
      </c>
      <c r="P7">
        <f t="shared" ref="P7:P16" si="6">AVERAGEA(N7:O7)</f>
        <v>4.3274999999999997</v>
      </c>
      <c r="Q7">
        <f t="shared" ref="Q7:Q16" si="7">STDEVA(N7:O7)</f>
        <v>0.60881893860161751</v>
      </c>
      <c r="R7">
        <f t="shared" ref="R7:R16" si="8">(P7*100)/1000</f>
        <v>0.43274999999999997</v>
      </c>
      <c r="S7">
        <v>0.1</v>
      </c>
    </row>
    <row r="8" spans="1:19" x14ac:dyDescent="0.3">
      <c r="A8">
        <v>4</v>
      </c>
      <c r="B8">
        <v>12.196999999999999</v>
      </c>
      <c r="C8">
        <v>13.417999999999999</v>
      </c>
      <c r="D8">
        <f t="shared" si="1"/>
        <v>12.807499999999999</v>
      </c>
      <c r="E8">
        <f t="shared" si="0"/>
        <v>0.65407377259755572</v>
      </c>
      <c r="F8">
        <f t="shared" si="2"/>
        <v>1.2807500000000001</v>
      </c>
      <c r="G8">
        <v>0.3</v>
      </c>
      <c r="H8">
        <v>9.1240000000000006</v>
      </c>
      <c r="I8">
        <v>7.8780000000000001</v>
      </c>
      <c r="J8">
        <f t="shared" si="3"/>
        <v>8.5010000000000012</v>
      </c>
      <c r="K8">
        <f t="shared" si="4"/>
        <v>0.88105504935843848</v>
      </c>
      <c r="L8">
        <f t="shared" si="5"/>
        <v>0.85010000000000019</v>
      </c>
      <c r="M8">
        <v>0.2</v>
      </c>
      <c r="N8">
        <v>5.181</v>
      </c>
      <c r="O8">
        <v>6.8419999999999996</v>
      </c>
      <c r="P8">
        <f t="shared" si="6"/>
        <v>6.0114999999999998</v>
      </c>
      <c r="Q8">
        <f t="shared" si="7"/>
        <v>1.1745043635508525</v>
      </c>
      <c r="R8">
        <f t="shared" si="8"/>
        <v>0.60114999999999996</v>
      </c>
      <c r="S8">
        <v>0.1</v>
      </c>
    </row>
    <row r="9" spans="1:19" x14ac:dyDescent="0.3">
      <c r="A9">
        <v>6</v>
      </c>
      <c r="B9">
        <v>15.926</v>
      </c>
      <c r="C9">
        <v>16.850999999999999</v>
      </c>
      <c r="D9">
        <f t="shared" si="1"/>
        <v>16.388500000000001</v>
      </c>
      <c r="E9">
        <f t="shared" si="0"/>
        <v>0.20930360723121763</v>
      </c>
      <c r="F9">
        <f t="shared" si="2"/>
        <v>1.6388500000000001</v>
      </c>
      <c r="G9">
        <v>0.2</v>
      </c>
      <c r="H9">
        <v>15.872999999999999</v>
      </c>
      <c r="I9">
        <v>14.831</v>
      </c>
      <c r="J9">
        <f t="shared" si="3"/>
        <v>15.352</v>
      </c>
      <c r="K9">
        <f t="shared" si="4"/>
        <v>0.73680526599638241</v>
      </c>
      <c r="L9">
        <f t="shared" si="5"/>
        <v>1.5352000000000001</v>
      </c>
      <c r="M9">
        <v>0.4</v>
      </c>
      <c r="N9">
        <v>8.8420000000000005</v>
      </c>
      <c r="O9">
        <v>10.147</v>
      </c>
      <c r="P9">
        <f t="shared" si="6"/>
        <v>9.4945000000000004</v>
      </c>
      <c r="Q9">
        <f t="shared" si="7"/>
        <v>0.92277434944844439</v>
      </c>
      <c r="R9">
        <f t="shared" si="8"/>
        <v>0.94945000000000002</v>
      </c>
      <c r="S9">
        <v>0.2</v>
      </c>
    </row>
    <row r="10" spans="1:19" x14ac:dyDescent="0.3">
      <c r="A10">
        <v>10</v>
      </c>
      <c r="B10">
        <v>18.658000000000001</v>
      </c>
      <c r="C10">
        <v>18.954000000000001</v>
      </c>
      <c r="D10">
        <f t="shared" si="1"/>
        <v>18.806000000000001</v>
      </c>
      <c r="E10">
        <f t="shared" si="0"/>
        <v>3.6405099052198011</v>
      </c>
      <c r="F10">
        <f t="shared" si="2"/>
        <v>1.8806</v>
      </c>
      <c r="G10">
        <v>0.5</v>
      </c>
      <c r="H10">
        <v>26.149000000000001</v>
      </c>
      <c r="I10">
        <v>24.843</v>
      </c>
      <c r="J10">
        <f t="shared" si="3"/>
        <v>25.496000000000002</v>
      </c>
      <c r="K10">
        <f t="shared" si="4"/>
        <v>0.92348145622963174</v>
      </c>
      <c r="L10">
        <f t="shared" si="5"/>
        <v>2.5496000000000003</v>
      </c>
      <c r="M10">
        <v>0.7</v>
      </c>
      <c r="N10">
        <v>16.286999999999999</v>
      </c>
      <c r="O10">
        <v>18.367000000000001</v>
      </c>
      <c r="P10">
        <f t="shared" si="6"/>
        <v>17.326999999999998</v>
      </c>
      <c r="Q10">
        <f t="shared" si="7"/>
        <v>1.4707821048680201</v>
      </c>
      <c r="R10">
        <f t="shared" si="8"/>
        <v>1.7326999999999999</v>
      </c>
      <c r="S10">
        <v>0.3</v>
      </c>
    </row>
    <row r="11" spans="1:19" x14ac:dyDescent="0.3">
      <c r="A11">
        <v>24</v>
      </c>
      <c r="B11">
        <f>(20.116*0.03)/0.0325*3</f>
        <v>55.705846153846153</v>
      </c>
      <c r="C11">
        <f>(20.42*0.03)/0.0302*3</f>
        <v>60.854304635761586</v>
      </c>
      <c r="D11">
        <f t="shared" si="1"/>
        <v>58.280075394803873</v>
      </c>
      <c r="E11">
        <f t="shared" si="0"/>
        <v>0.48606008630036485</v>
      </c>
      <c r="F11">
        <f t="shared" si="2"/>
        <v>5.828007539480387</v>
      </c>
      <c r="G11">
        <v>0.35</v>
      </c>
      <c r="H11">
        <f>(18.927*0.03)/0.0305*3</f>
        <v>55.850163934426227</v>
      </c>
      <c r="I11">
        <f>(17.848*0.03)/0.0302*3</f>
        <v>53.189403973509918</v>
      </c>
      <c r="J11">
        <f t="shared" si="3"/>
        <v>54.519783953968073</v>
      </c>
      <c r="K11">
        <f t="shared" si="4"/>
        <v>1.8814414114735751</v>
      </c>
      <c r="L11">
        <f t="shared" si="5"/>
        <v>5.4519783953968073</v>
      </c>
      <c r="M11">
        <v>0.2</v>
      </c>
      <c r="N11">
        <f>(12.925*0.03)/0.0301*3</f>
        <v>38.646179401993358</v>
      </c>
      <c r="O11">
        <f>(13.92*0.03)/0.0308*3</f>
        <v>40.675324675324667</v>
      </c>
      <c r="P11">
        <f t="shared" si="6"/>
        <v>39.660752038659012</v>
      </c>
      <c r="Q11">
        <f t="shared" si="7"/>
        <v>1.4348223827851994</v>
      </c>
      <c r="R11">
        <f t="shared" si="8"/>
        <v>3.9660752038659011</v>
      </c>
      <c r="S11">
        <v>0.35</v>
      </c>
    </row>
    <row r="12" spans="1:19" x14ac:dyDescent="0.3">
      <c r="A12">
        <v>48</v>
      </c>
      <c r="B12">
        <f>(11.116*0.03)/0.0325*6</f>
        <v>61.565538461538452</v>
      </c>
      <c r="C12">
        <f>(10.214*0.03)/0.0302*6</f>
        <v>60.878145695364239</v>
      </c>
      <c r="D12">
        <f t="shared" si="1"/>
        <v>61.221842078451346</v>
      </c>
      <c r="E12">
        <f t="shared" si="0"/>
        <v>2.549396608708042</v>
      </c>
      <c r="F12">
        <f t="shared" si="2"/>
        <v>6.1221842078451347</v>
      </c>
      <c r="G12">
        <v>0.47</v>
      </c>
      <c r="H12">
        <f>(10.135*0.03)/0.0305*6</f>
        <v>59.813114754098358</v>
      </c>
      <c r="I12">
        <f>(9.052*0.03)/0.0302*6</f>
        <v>53.952317880794695</v>
      </c>
      <c r="J12">
        <f t="shared" si="3"/>
        <v>56.882716317446523</v>
      </c>
      <c r="K12">
        <f t="shared" si="4"/>
        <v>4.144209212269935</v>
      </c>
      <c r="L12">
        <f t="shared" si="5"/>
        <v>5.6882716317446524</v>
      </c>
      <c r="M12">
        <v>0.4</v>
      </c>
      <c r="N12">
        <f>(6.531*0.03)/0.0301*6</f>
        <v>39.055813953488375</v>
      </c>
      <c r="O12">
        <f>(6.978*0.03)/0.0308*6</f>
        <v>40.780519480519473</v>
      </c>
      <c r="P12">
        <f t="shared" si="6"/>
        <v>39.918166717003928</v>
      </c>
      <c r="Q12">
        <f t="shared" si="7"/>
        <v>1.2195509737136079</v>
      </c>
      <c r="R12">
        <f t="shared" si="8"/>
        <v>3.9918166717003927</v>
      </c>
      <c r="S12">
        <v>0.3</v>
      </c>
    </row>
    <row r="13" spans="1:19" x14ac:dyDescent="0.3">
      <c r="A13">
        <v>120</v>
      </c>
      <c r="B13">
        <f>(11.918*0.03)/0.0325*6</f>
        <v>66.007384615384609</v>
      </c>
      <c r="C13">
        <f>(10.435*0.03)/0.0301*6</f>
        <v>62.401993355481721</v>
      </c>
      <c r="D13">
        <f t="shared" si="1"/>
        <v>64.204688985433165</v>
      </c>
      <c r="E13">
        <f t="shared" si="0"/>
        <v>3.4693719862848371</v>
      </c>
      <c r="F13">
        <f t="shared" si="2"/>
        <v>6.4204688985433167</v>
      </c>
      <c r="G13">
        <v>0.5</v>
      </c>
      <c r="H13">
        <f>(10.542*0.03)/0.0305*6</f>
        <v>62.215081967213109</v>
      </c>
      <c r="I13">
        <f>(9.135*0.03)/0.0302*6</f>
        <v>54.447019867549656</v>
      </c>
      <c r="J13">
        <f t="shared" si="3"/>
        <v>58.331050917381383</v>
      </c>
      <c r="K13">
        <f t="shared" si="4"/>
        <v>5.4928493873502386</v>
      </c>
      <c r="L13">
        <f t="shared" si="5"/>
        <v>5.8331050917381377</v>
      </c>
      <c r="M13">
        <v>0.2</v>
      </c>
      <c r="N13">
        <f>(6.702*0.03)/0.0301*6</f>
        <v>40.078405315614617</v>
      </c>
      <c r="O13">
        <f>(7.559*0.03)/0.0308*6</f>
        <v>44.175974025974028</v>
      </c>
      <c r="P13">
        <f t="shared" si="6"/>
        <v>42.127189670794323</v>
      </c>
      <c r="Q13">
        <f t="shared" si="7"/>
        <v>2.8974186214729558</v>
      </c>
      <c r="R13">
        <f t="shared" si="8"/>
        <v>4.2127189670794323</v>
      </c>
      <c r="S13">
        <v>0.2</v>
      </c>
    </row>
    <row r="14" spans="1:19" x14ac:dyDescent="0.3">
      <c r="A14">
        <v>144</v>
      </c>
      <c r="B14">
        <f>(12.601*0.03)/0.0325*6</f>
        <v>69.790153846153856</v>
      </c>
      <c r="C14">
        <f>(10.85*0.03)/0.0301*6</f>
        <v>64.883720930232556</v>
      </c>
      <c r="D14">
        <f t="shared" si="1"/>
        <v>67.336937388193206</v>
      </c>
      <c r="E14">
        <f t="shared" si="0"/>
        <v>3.5227687582140854</v>
      </c>
      <c r="F14">
        <f t="shared" si="2"/>
        <v>6.733693738819321</v>
      </c>
      <c r="G14">
        <v>0.54</v>
      </c>
      <c r="H14">
        <f>(10.612*0.03)/0.0305*6</f>
        <v>62.628196721311468</v>
      </c>
      <c r="I14">
        <f>(9.847*0.03)/0.0302*6</f>
        <v>58.690728476821178</v>
      </c>
      <c r="J14">
        <f t="shared" si="3"/>
        <v>60.659462599066323</v>
      </c>
      <c r="K14">
        <f t="shared" si="4"/>
        <v>2.784210496385775</v>
      </c>
      <c r="L14">
        <f t="shared" si="5"/>
        <v>6.0659462599066316</v>
      </c>
      <c r="M14">
        <v>0.25</v>
      </c>
      <c r="N14">
        <f>(7.033*0.03)/0.0301*6</f>
        <v>42.057807308970105</v>
      </c>
      <c r="O14">
        <f>(7.205*0.03)/0.0308*6</f>
        <v>42.107142857142854</v>
      </c>
      <c r="P14">
        <f t="shared" si="6"/>
        <v>42.08247508305648</v>
      </c>
      <c r="Q14">
        <f t="shared" si="7"/>
        <v>3.4885500666506475E-2</v>
      </c>
      <c r="R14">
        <f t="shared" si="8"/>
        <v>4.2082475083056483</v>
      </c>
      <c r="S14">
        <v>0.4</v>
      </c>
    </row>
    <row r="15" spans="1:19" x14ac:dyDescent="0.3">
      <c r="A15">
        <v>240</v>
      </c>
      <c r="B15">
        <f>(12.755*0.03)/0.0325*6</f>
        <v>70.643076923076919</v>
      </c>
      <c r="C15">
        <f>(10.98*0.03)/0.0301*6</f>
        <v>65.661129568106332</v>
      </c>
      <c r="D15">
        <f t="shared" si="1"/>
        <v>68.152103245591633</v>
      </c>
      <c r="E15">
        <f t="shared" si="0"/>
        <v>3.5227687582140854</v>
      </c>
      <c r="F15">
        <f t="shared" si="2"/>
        <v>6.8152103245591631</v>
      </c>
      <c r="G15">
        <v>0.7</v>
      </c>
      <c r="H15">
        <f>(11.846*0.03)/0.0305*6</f>
        <v>69.91081967213114</v>
      </c>
      <c r="I15">
        <f>(9.951*0.03)/0.0302*6</f>
        <v>59.310596026490074</v>
      </c>
      <c r="J15">
        <f t="shared" si="3"/>
        <v>64.610707849310614</v>
      </c>
      <c r="K15">
        <f t="shared" si="4"/>
        <v>7.4954900219267842</v>
      </c>
      <c r="L15">
        <f t="shared" si="5"/>
        <v>6.4610707849310609</v>
      </c>
      <c r="M15">
        <v>0.6</v>
      </c>
      <c r="N15">
        <f>(7.065*0.03)/0.0301*6</f>
        <v>42.249169435215947</v>
      </c>
      <c r="O15">
        <f>(7.425*0.03)/0.0308*6</f>
        <v>43.392857142857139</v>
      </c>
      <c r="P15">
        <f t="shared" si="6"/>
        <v>42.821013289036543</v>
      </c>
      <c r="Q15">
        <f t="shared" si="7"/>
        <v>0.8087093336327843</v>
      </c>
      <c r="R15">
        <f t="shared" si="8"/>
        <v>4.2821013289036545</v>
      </c>
      <c r="S15">
        <v>0.42</v>
      </c>
    </row>
    <row r="16" spans="1:19" x14ac:dyDescent="0.3">
      <c r="A16">
        <v>360</v>
      </c>
      <c r="B16">
        <f>(12.755*0.03)/0.0325*6</f>
        <v>70.643076923076919</v>
      </c>
      <c r="C16">
        <f>(10.98*0.03)/0.0301*6</f>
        <v>65.661129568106332</v>
      </c>
      <c r="D16">
        <f t="shared" si="1"/>
        <v>68.152103245591633</v>
      </c>
      <c r="E16">
        <v>0.1</v>
      </c>
      <c r="F16">
        <f t="shared" si="2"/>
        <v>6.8152103245591631</v>
      </c>
      <c r="G16">
        <v>0.6</v>
      </c>
      <c r="H16">
        <f>(11.846*0.03)/0.0305*6</f>
        <v>69.91081967213114</v>
      </c>
      <c r="I16">
        <f>(10.01*0.03)/0.0302*6</f>
        <v>59.662251655629127</v>
      </c>
      <c r="J16">
        <f t="shared" si="3"/>
        <v>64.78653566388013</v>
      </c>
      <c r="K16">
        <f t="shared" si="4"/>
        <v>7.2468319419201386</v>
      </c>
      <c r="L16">
        <f t="shared" si="5"/>
        <v>6.4786535663880134</v>
      </c>
      <c r="M16">
        <v>0.8</v>
      </c>
      <c r="N16">
        <f>(7.065*0.03)/0.0301*6</f>
        <v>42.249169435215947</v>
      </c>
      <c r="O16">
        <f>(7.44*0.03)/0.0308*6</f>
        <v>43.480519480519483</v>
      </c>
      <c r="P16">
        <f t="shared" si="6"/>
        <v>42.864844457867719</v>
      </c>
      <c r="Q16">
        <f t="shared" si="7"/>
        <v>0.87069596704849284</v>
      </c>
      <c r="R16">
        <f t="shared" si="8"/>
        <v>4.2864844457867717</v>
      </c>
      <c r="S16">
        <v>0.28999999999999998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Saliha</dc:creator>
  <cp:lastModifiedBy>Saliha</cp:lastModifiedBy>
  <dcterms:created xsi:type="dcterms:W3CDTF">2020-08-13T20:57:01Z</dcterms:created>
  <dcterms:modified xsi:type="dcterms:W3CDTF">2022-01-10T17:46:54Z</dcterms:modified>
</cp:coreProperties>
</file>