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lih\Desktop\"/>
    </mc:Choice>
  </mc:AlternateContent>
  <xr:revisionPtr revIDLastSave="0" documentId="13_ncr:1_{29ADCE26-89C8-473D-B1F4-E937BE0FA4EA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YAV10M8 FORCECAST" sheetId="1" r:id="rId1"/>
    <sheet name="YAV10M8 REGRESSION" sheetId="3" r:id="rId2"/>
    <sheet name="AL 050M10 FORCECAST " sheetId="4" r:id="rId3"/>
    <sheet name="AL 050M10 REGRESSION" sheetId="8" r:id="rId4"/>
    <sheet name="DIN18516 FORCECAST" sheetId="5" r:id="rId5"/>
    <sheet name="DIN18516 REGRESSION " sheetId="9" r:id="rId6"/>
    <sheet name="RY300AM12TN FORCECAST" sheetId="6" r:id="rId7"/>
    <sheet name=" RY300AM12TN REGRESSION " sheetId="10" r:id="rId8"/>
    <sheet name="Y4CA075A20M12HTN1 FORCECAST" sheetId="7" r:id="rId9"/>
    <sheet name="Y4CA075A20M12HTN REGRESSIO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8" l="1"/>
  <c r="I6" i="8"/>
  <c r="C16" i="7"/>
  <c r="C16" i="6"/>
  <c r="C16" i="4"/>
  <c r="C16" i="1"/>
  <c r="D7" i="7"/>
  <c r="E7" i="5"/>
  <c r="E8" i="5"/>
  <c r="E9" i="5"/>
  <c r="E10" i="5"/>
  <c r="E11" i="5"/>
  <c r="E12" i="5"/>
  <c r="E13" i="5"/>
  <c r="E14" i="5"/>
  <c r="E6" i="5"/>
  <c r="C16" i="5"/>
  <c r="D9" i="4"/>
  <c r="D10" i="4"/>
  <c r="D11" i="4"/>
  <c r="D12" i="4"/>
  <c r="D13" i="4"/>
  <c r="D14" i="4"/>
  <c r="D8" i="4"/>
  <c r="H5" i="4"/>
  <c r="H6" i="4"/>
  <c r="H7" i="4" s="1"/>
  <c r="H8" i="4" s="1"/>
  <c r="H9" i="4" s="1"/>
  <c r="H10" i="4" s="1"/>
  <c r="H11" i="4" s="1"/>
  <c r="H12" i="4" s="1"/>
  <c r="H13" i="4" s="1"/>
  <c r="H14" i="4" s="1"/>
  <c r="H4" i="4"/>
  <c r="F5" i="4"/>
  <c r="F6" i="4" s="1"/>
  <c r="F7" i="4" s="1"/>
  <c r="F8" i="4" s="1"/>
  <c r="F9" i="4" s="1"/>
  <c r="F10" i="4" s="1"/>
  <c r="F11" i="4" s="1"/>
  <c r="F12" i="4" s="1"/>
  <c r="F13" i="4" s="1"/>
  <c r="F14" i="4" s="1"/>
  <c r="F4" i="4"/>
  <c r="E9" i="4"/>
  <c r="E10" i="4"/>
  <c r="E11" i="4"/>
  <c r="E12" i="4"/>
  <c r="E13" i="4"/>
  <c r="E14" i="4"/>
  <c r="E8" i="4"/>
  <c r="E6" i="1"/>
  <c r="H5" i="7"/>
  <c r="H6" i="7" s="1"/>
  <c r="H7" i="7" s="1"/>
  <c r="H8" i="7" s="1"/>
  <c r="H9" i="7" s="1"/>
  <c r="H10" i="7" s="1"/>
  <c r="H11" i="7" s="1"/>
  <c r="H12" i="7" s="1"/>
  <c r="H13" i="7" s="1"/>
  <c r="H14" i="7" s="1"/>
  <c r="H4" i="7"/>
  <c r="F4" i="7"/>
  <c r="G4" i="7" s="1"/>
  <c r="E8" i="7"/>
  <c r="E9" i="7"/>
  <c r="E10" i="7"/>
  <c r="E11" i="7"/>
  <c r="E12" i="7"/>
  <c r="E13" i="7"/>
  <c r="E14" i="7"/>
  <c r="E7" i="7"/>
  <c r="D8" i="7"/>
  <c r="D9" i="7"/>
  <c r="D10" i="7"/>
  <c r="D11" i="7"/>
  <c r="D12" i="7"/>
  <c r="D13" i="7"/>
  <c r="D14" i="7"/>
  <c r="H5" i="6"/>
  <c r="H6" i="6"/>
  <c r="H7" i="6"/>
  <c r="H8" i="6"/>
  <c r="H9" i="6" s="1"/>
  <c r="H10" i="6" s="1"/>
  <c r="H11" i="6" s="1"/>
  <c r="H12" i="6" s="1"/>
  <c r="H13" i="6" s="1"/>
  <c r="H14" i="6" s="1"/>
  <c r="H4" i="6"/>
  <c r="F5" i="6"/>
  <c r="F6" i="6" s="1"/>
  <c r="F7" i="6" s="1"/>
  <c r="F8" i="6" s="1"/>
  <c r="F9" i="6" s="1"/>
  <c r="F10" i="6" s="1"/>
  <c r="F11" i="6" s="1"/>
  <c r="F12" i="6" s="1"/>
  <c r="F13" i="6" s="1"/>
  <c r="F14" i="6" s="1"/>
  <c r="F4" i="6"/>
  <c r="E7" i="6"/>
  <c r="E8" i="6"/>
  <c r="E9" i="6"/>
  <c r="E10" i="6"/>
  <c r="E11" i="6"/>
  <c r="E12" i="6"/>
  <c r="E13" i="6"/>
  <c r="E14" i="6"/>
  <c r="E6" i="6"/>
  <c r="I4" i="6"/>
  <c r="H4" i="5"/>
  <c r="D16" i="11"/>
  <c r="B16" i="11"/>
  <c r="D15" i="11"/>
  <c r="B15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E16" i="11" s="1"/>
  <c r="D16" i="10"/>
  <c r="B16" i="10"/>
  <c r="D15" i="10"/>
  <c r="B15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16" i="10" s="1"/>
  <c r="D16" i="9"/>
  <c r="B16" i="9"/>
  <c r="D15" i="9"/>
  <c r="B15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E16" i="9" s="1"/>
  <c r="D16" i="8"/>
  <c r="B16" i="8"/>
  <c r="D15" i="8"/>
  <c r="B15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E16" i="8" s="1"/>
  <c r="I4" i="7"/>
  <c r="I3" i="7"/>
  <c r="K3" i="7" s="1"/>
  <c r="G3" i="7"/>
  <c r="J3" i="7" s="1"/>
  <c r="I3" i="6"/>
  <c r="K3" i="6" s="1"/>
  <c r="I4" i="4"/>
  <c r="G4" i="4"/>
  <c r="I3" i="4"/>
  <c r="K3" i="4" s="1"/>
  <c r="G3" i="4"/>
  <c r="J3" i="4" s="1"/>
  <c r="D16" i="3"/>
  <c r="D15" i="3"/>
  <c r="B15" i="3"/>
  <c r="B16" i="3"/>
  <c r="E2" i="3"/>
  <c r="F2" i="3"/>
  <c r="F15" i="3" s="1"/>
  <c r="F3" i="3"/>
  <c r="F4" i="3"/>
  <c r="F5" i="3"/>
  <c r="F6" i="3"/>
  <c r="F7" i="3"/>
  <c r="F8" i="3"/>
  <c r="F9" i="3"/>
  <c r="F10" i="3"/>
  <c r="F11" i="3"/>
  <c r="F12" i="3"/>
  <c r="F13" i="3"/>
  <c r="E3" i="3"/>
  <c r="E16" i="3" s="1"/>
  <c r="E4" i="3"/>
  <c r="E5" i="3"/>
  <c r="E6" i="3"/>
  <c r="E7" i="3"/>
  <c r="E8" i="3"/>
  <c r="E9" i="3"/>
  <c r="E10" i="3"/>
  <c r="E11" i="3"/>
  <c r="E12" i="3"/>
  <c r="E13" i="3"/>
  <c r="E8" i="1"/>
  <c r="M3" i="1"/>
  <c r="L4" i="1"/>
  <c r="G3" i="1"/>
  <c r="J3" i="1" s="1"/>
  <c r="G4" i="1"/>
  <c r="H4" i="1"/>
  <c r="I4" i="1" s="1"/>
  <c r="K4" i="1" s="1"/>
  <c r="I3" i="1"/>
  <c r="K3" i="1" s="1"/>
  <c r="F4" i="1"/>
  <c r="D6" i="1"/>
  <c r="D7" i="1"/>
  <c r="E7" i="1"/>
  <c r="D8" i="1"/>
  <c r="D9" i="1"/>
  <c r="E9" i="1"/>
  <c r="D10" i="1"/>
  <c r="E10" i="1"/>
  <c r="D11" i="1"/>
  <c r="E11" i="1"/>
  <c r="D12" i="1"/>
  <c r="E12" i="1"/>
  <c r="D13" i="1"/>
  <c r="E13" i="1"/>
  <c r="D14" i="1"/>
  <c r="E14" i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6" i="11"/>
  <c r="F16" i="10"/>
  <c r="F16" i="9"/>
  <c r="F15" i="9"/>
  <c r="F16" i="8"/>
  <c r="L3" i="7"/>
  <c r="M3" i="7"/>
  <c r="D12" i="6"/>
  <c r="G3" i="6"/>
  <c r="J3" i="6" s="1"/>
  <c r="D14" i="6"/>
  <c r="D13" i="6"/>
  <c r="G5" i="6"/>
  <c r="D11" i="6"/>
  <c r="L3" i="6"/>
  <c r="M3" i="6"/>
  <c r="D7" i="6"/>
  <c r="D9" i="6"/>
  <c r="D8" i="6"/>
  <c r="D6" i="6"/>
  <c r="D10" i="6"/>
  <c r="M3" i="4"/>
  <c r="L3" i="4"/>
  <c r="F4" i="5"/>
  <c r="D8" i="5"/>
  <c r="D10" i="5"/>
  <c r="I3" i="5"/>
  <c r="K3" i="5" s="1"/>
  <c r="D14" i="5"/>
  <c r="G3" i="5"/>
  <c r="J3" i="5" s="1"/>
  <c r="D6" i="5"/>
  <c r="D7" i="5"/>
  <c r="D11" i="5"/>
  <c r="D12" i="5"/>
  <c r="D9" i="5"/>
  <c r="D13" i="5"/>
  <c r="F15" i="11"/>
  <c r="E15" i="11"/>
  <c r="E15" i="10"/>
  <c r="F15" i="10"/>
  <c r="I6" i="10" s="1"/>
  <c r="I7" i="10" s="1"/>
  <c r="E15" i="9"/>
  <c r="I6" i="9" s="1"/>
  <c r="I7" i="9" s="1"/>
  <c r="E15" i="8"/>
  <c r="F15" i="8"/>
  <c r="J4" i="7"/>
  <c r="L4" i="7"/>
  <c r="K4" i="7"/>
  <c r="M4" i="7"/>
  <c r="K4" i="6"/>
  <c r="M4" i="6"/>
  <c r="J4" i="4"/>
  <c r="L4" i="4"/>
  <c r="K4" i="4"/>
  <c r="M4" i="4"/>
  <c r="E15" i="3"/>
  <c r="I6" i="3" s="1"/>
  <c r="I7" i="3" s="1"/>
  <c r="F16" i="3"/>
  <c r="M4" i="1"/>
  <c r="L3" i="1"/>
  <c r="J4" i="1"/>
  <c r="F5" i="1"/>
  <c r="G5" i="1" s="1"/>
  <c r="L5" i="1" s="1"/>
  <c r="H5" i="1"/>
  <c r="G4" i="6" l="1"/>
  <c r="L4" i="6" s="1"/>
  <c r="L3" i="5"/>
  <c r="M3" i="5"/>
  <c r="I6" i="11"/>
  <c r="I7" i="11" s="1"/>
  <c r="G13" i="10"/>
  <c r="G3" i="10"/>
  <c r="G10" i="10"/>
  <c r="G6" i="10"/>
  <c r="G5" i="10"/>
  <c r="G12" i="10"/>
  <c r="G7" i="10"/>
  <c r="G2" i="10"/>
  <c r="G9" i="10"/>
  <c r="G4" i="10"/>
  <c r="G11" i="10"/>
  <c r="G8" i="10"/>
  <c r="G13" i="9"/>
  <c r="G3" i="9"/>
  <c r="G9" i="9"/>
  <c r="G10" i="9"/>
  <c r="G11" i="9"/>
  <c r="G8" i="9"/>
  <c r="G5" i="9"/>
  <c r="G6" i="9"/>
  <c r="G12" i="9"/>
  <c r="G7" i="9"/>
  <c r="G2" i="9"/>
  <c r="G4" i="9"/>
  <c r="I5" i="7"/>
  <c r="G5" i="7"/>
  <c r="G6" i="6"/>
  <c r="J5" i="6"/>
  <c r="L5" i="6"/>
  <c r="I5" i="6"/>
  <c r="I5" i="4"/>
  <c r="G5" i="4"/>
  <c r="G11" i="3"/>
  <c r="G10" i="3"/>
  <c r="G2" i="3"/>
  <c r="G8" i="3"/>
  <c r="G7" i="3"/>
  <c r="G3" i="3"/>
  <c r="G6" i="3"/>
  <c r="G4" i="3"/>
  <c r="G9" i="3"/>
  <c r="G12" i="3"/>
  <c r="G5" i="3"/>
  <c r="G13" i="3"/>
  <c r="J5" i="1"/>
  <c r="F6" i="1"/>
  <c r="G6" i="1" s="1"/>
  <c r="L6" i="1" s="1"/>
  <c r="H6" i="1"/>
  <c r="I5" i="1"/>
  <c r="J4" i="6" l="1"/>
  <c r="G13" i="11"/>
  <c r="G3" i="11"/>
  <c r="G11" i="11"/>
  <c r="G10" i="11"/>
  <c r="G5" i="11"/>
  <c r="G4" i="11"/>
  <c r="G8" i="11"/>
  <c r="G12" i="11"/>
  <c r="G7" i="11"/>
  <c r="G2" i="11"/>
  <c r="G9" i="11"/>
  <c r="G6" i="11"/>
  <c r="G13" i="8"/>
  <c r="G3" i="8"/>
  <c r="G8" i="8"/>
  <c r="G10" i="8"/>
  <c r="G4" i="8"/>
  <c r="G5" i="8"/>
  <c r="G12" i="8"/>
  <c r="G7" i="8"/>
  <c r="G2" i="8"/>
  <c r="G9" i="8"/>
  <c r="G6" i="8"/>
  <c r="G11" i="8"/>
  <c r="K5" i="7"/>
  <c r="M5" i="7"/>
  <c r="J5" i="7"/>
  <c r="L5" i="7"/>
  <c r="G6" i="7"/>
  <c r="I6" i="7"/>
  <c r="I6" i="6"/>
  <c r="G7" i="6"/>
  <c r="K5" i="6"/>
  <c r="M5" i="6"/>
  <c r="J6" i="6"/>
  <c r="L6" i="6"/>
  <c r="K5" i="4"/>
  <c r="M5" i="4"/>
  <c r="J5" i="4"/>
  <c r="L5" i="4"/>
  <c r="G6" i="4"/>
  <c r="I6" i="4"/>
  <c r="J6" i="1"/>
  <c r="K5" i="1"/>
  <c r="M5" i="1"/>
  <c r="I6" i="1"/>
  <c r="H7" i="1"/>
  <c r="I7" i="1" s="1"/>
  <c r="F7" i="1"/>
  <c r="G7" i="1" s="1"/>
  <c r="L7" i="1" s="1"/>
  <c r="G7" i="7" l="1"/>
  <c r="J6" i="7"/>
  <c r="L6" i="7"/>
  <c r="I7" i="7"/>
  <c r="K6" i="7"/>
  <c r="M6" i="7"/>
  <c r="G8" i="6"/>
  <c r="I7" i="6"/>
  <c r="L7" i="6"/>
  <c r="J7" i="6"/>
  <c r="M6" i="6"/>
  <c r="K6" i="6"/>
  <c r="L6" i="4"/>
  <c r="J6" i="4"/>
  <c r="I7" i="4"/>
  <c r="G7" i="4"/>
  <c r="M6" i="4"/>
  <c r="K6" i="4"/>
  <c r="K6" i="1"/>
  <c r="M6" i="1"/>
  <c r="K7" i="1"/>
  <c r="M7" i="1"/>
  <c r="J7" i="1"/>
  <c r="H8" i="1"/>
  <c r="F8" i="1"/>
  <c r="G8" i="1" s="1"/>
  <c r="L8" i="1" s="1"/>
  <c r="M7" i="7" l="1"/>
  <c r="K7" i="7"/>
  <c r="G8" i="7"/>
  <c r="I8" i="7"/>
  <c r="L7" i="7"/>
  <c r="J7" i="7"/>
  <c r="M7" i="6"/>
  <c r="K7" i="6"/>
  <c r="I8" i="6"/>
  <c r="L8" i="6"/>
  <c r="J8" i="6"/>
  <c r="G9" i="6"/>
  <c r="M7" i="4"/>
  <c r="K7" i="4"/>
  <c r="L7" i="4"/>
  <c r="J7" i="4"/>
  <c r="I8" i="4"/>
  <c r="G8" i="4"/>
  <c r="J8" i="1"/>
  <c r="H9" i="1"/>
  <c r="I8" i="1"/>
  <c r="F9" i="1"/>
  <c r="G9" i="1" s="1"/>
  <c r="L9" i="1" s="1"/>
  <c r="L8" i="7" l="1"/>
  <c r="J8" i="7"/>
  <c r="I9" i="7"/>
  <c r="M8" i="7"/>
  <c r="K8" i="7"/>
  <c r="G9" i="7"/>
  <c r="M8" i="6"/>
  <c r="K8" i="6"/>
  <c r="I9" i="6"/>
  <c r="J9" i="6"/>
  <c r="L9" i="6"/>
  <c r="G10" i="6"/>
  <c r="M8" i="4"/>
  <c r="K8" i="4"/>
  <c r="I9" i="4"/>
  <c r="J8" i="4"/>
  <c r="L8" i="4"/>
  <c r="G9" i="4"/>
  <c r="K8" i="1"/>
  <c r="M8" i="1"/>
  <c r="J9" i="1"/>
  <c r="H10" i="1"/>
  <c r="I9" i="1"/>
  <c r="F10" i="1"/>
  <c r="G10" i="1" s="1"/>
  <c r="L10" i="1" s="1"/>
  <c r="I10" i="7" l="1"/>
  <c r="G10" i="7"/>
  <c r="K9" i="7"/>
  <c r="M9" i="7"/>
  <c r="J9" i="7"/>
  <c r="L9" i="7"/>
  <c r="I10" i="6"/>
  <c r="K9" i="6"/>
  <c r="M9" i="6"/>
  <c r="L10" i="6"/>
  <c r="J10" i="6"/>
  <c r="G11" i="6"/>
  <c r="I10" i="4"/>
  <c r="K9" i="4"/>
  <c r="M9" i="4"/>
  <c r="J9" i="4"/>
  <c r="L9" i="4"/>
  <c r="G10" i="4"/>
  <c r="J10" i="1"/>
  <c r="K9" i="1"/>
  <c r="M9" i="1"/>
  <c r="H11" i="1"/>
  <c r="I10" i="1"/>
  <c r="F11" i="1"/>
  <c r="G11" i="1" s="1"/>
  <c r="L11" i="1" s="1"/>
  <c r="J11" i="1"/>
  <c r="I11" i="7" l="1"/>
  <c r="J10" i="7"/>
  <c r="L10" i="7"/>
  <c r="G11" i="7"/>
  <c r="K10" i="7"/>
  <c r="M10" i="7"/>
  <c r="G12" i="6"/>
  <c r="I11" i="6"/>
  <c r="L11" i="6"/>
  <c r="J11" i="6"/>
  <c r="M10" i="6"/>
  <c r="K10" i="6"/>
  <c r="J10" i="4"/>
  <c r="L10" i="4"/>
  <c r="I11" i="4"/>
  <c r="G11" i="4"/>
  <c r="K10" i="4"/>
  <c r="M10" i="4"/>
  <c r="M10" i="1"/>
  <c r="K10" i="1"/>
  <c r="H12" i="1"/>
  <c r="I11" i="1"/>
  <c r="F12" i="1"/>
  <c r="G12" i="1" s="1"/>
  <c r="L12" i="1" s="1"/>
  <c r="J12" i="1"/>
  <c r="G12" i="7" l="1"/>
  <c r="L11" i="7"/>
  <c r="J11" i="7"/>
  <c r="I12" i="7"/>
  <c r="M11" i="7"/>
  <c r="K11" i="7"/>
  <c r="I12" i="6"/>
  <c r="M11" i="6"/>
  <c r="K11" i="6"/>
  <c r="L12" i="6"/>
  <c r="J12" i="6"/>
  <c r="G14" i="6"/>
  <c r="G13" i="6"/>
  <c r="L11" i="4"/>
  <c r="J11" i="4"/>
  <c r="M11" i="4"/>
  <c r="K11" i="4"/>
  <c r="G12" i="4"/>
  <c r="I12" i="4"/>
  <c r="M11" i="1"/>
  <c r="K11" i="1"/>
  <c r="H13" i="1"/>
  <c r="I12" i="1"/>
  <c r="F13" i="1"/>
  <c r="G13" i="1" s="1"/>
  <c r="L13" i="1" s="1"/>
  <c r="J13" i="1"/>
  <c r="M12" i="7" l="1"/>
  <c r="K12" i="7"/>
  <c r="I14" i="7"/>
  <c r="I13" i="7"/>
  <c r="G14" i="7"/>
  <c r="G13" i="7"/>
  <c r="L12" i="7"/>
  <c r="J12" i="7"/>
  <c r="L14" i="6"/>
  <c r="J14" i="6"/>
  <c r="G16" i="6"/>
  <c r="G17" i="6" s="1"/>
  <c r="J13" i="6"/>
  <c r="L13" i="6"/>
  <c r="M12" i="6"/>
  <c r="K12" i="6"/>
  <c r="I14" i="6"/>
  <c r="I13" i="6"/>
  <c r="M12" i="4"/>
  <c r="K12" i="4"/>
  <c r="I13" i="4"/>
  <c r="I14" i="4"/>
  <c r="G14" i="4"/>
  <c r="G13" i="4"/>
  <c r="J12" i="4"/>
  <c r="L12" i="4"/>
  <c r="K12" i="1"/>
  <c r="M12" i="1"/>
  <c r="H14" i="1"/>
  <c r="I14" i="1" s="1"/>
  <c r="I13" i="1"/>
  <c r="F14" i="1"/>
  <c r="G14" i="1" s="1"/>
  <c r="L14" i="1" s="1"/>
  <c r="L16" i="1" s="1"/>
  <c r="L19" i="1" s="1"/>
  <c r="L14" i="7" l="1"/>
  <c r="J14" i="7"/>
  <c r="G16" i="7"/>
  <c r="G17" i="7" s="1"/>
  <c r="J13" i="7"/>
  <c r="L13" i="7"/>
  <c r="K13" i="7"/>
  <c r="M13" i="7"/>
  <c r="M14" i="7"/>
  <c r="M16" i="7" s="1"/>
  <c r="M19" i="7" s="1"/>
  <c r="K14" i="7"/>
  <c r="I16" i="7"/>
  <c r="I17" i="7" s="1"/>
  <c r="M14" i="6"/>
  <c r="K14" i="6"/>
  <c r="I16" i="6"/>
  <c r="I17" i="6" s="1"/>
  <c r="J16" i="6"/>
  <c r="J18" i="6" s="1"/>
  <c r="K13" i="6"/>
  <c r="M13" i="6"/>
  <c r="L16" i="6"/>
  <c r="L19" i="6" s="1"/>
  <c r="L14" i="4"/>
  <c r="J14" i="4"/>
  <c r="G16" i="4"/>
  <c r="G17" i="4" s="1"/>
  <c r="L13" i="4"/>
  <c r="J13" i="4"/>
  <c r="K14" i="4"/>
  <c r="M14" i="4"/>
  <c r="I16" i="4"/>
  <c r="I17" i="4" s="1"/>
  <c r="K13" i="4"/>
  <c r="M13" i="4"/>
  <c r="K13" i="1"/>
  <c r="M13" i="1"/>
  <c r="K14" i="1"/>
  <c r="K16" i="1" s="1"/>
  <c r="K18" i="1" s="1"/>
  <c r="M14" i="1"/>
  <c r="M16" i="1" s="1"/>
  <c r="M19" i="1" s="1"/>
  <c r="G16" i="1"/>
  <c r="G17" i="1" s="1"/>
  <c r="J14" i="1"/>
  <c r="J16" i="1" s="1"/>
  <c r="J18" i="1" s="1"/>
  <c r="I16" i="1"/>
  <c r="I17" i="1" s="1"/>
  <c r="M16" i="4" l="1"/>
  <c r="M19" i="4" s="1"/>
  <c r="K16" i="4"/>
  <c r="K18" i="4" s="1"/>
  <c r="J16" i="7"/>
  <c r="J18" i="7" s="1"/>
  <c r="K16" i="7"/>
  <c r="K18" i="7" s="1"/>
  <c r="L16" i="7"/>
  <c r="L19" i="7" s="1"/>
  <c r="K16" i="6"/>
  <c r="K18" i="6" s="1"/>
  <c r="M16" i="6"/>
  <c r="M19" i="6" s="1"/>
  <c r="J16" i="4"/>
  <c r="J18" i="4" s="1"/>
  <c r="L16" i="4"/>
  <c r="L19" i="4" s="1"/>
  <c r="H5" i="5" l="1"/>
  <c r="I5" i="5" s="1"/>
  <c r="I4" i="5"/>
  <c r="G4" i="5"/>
  <c r="K4" i="5" l="1"/>
  <c r="M4" i="5"/>
  <c r="K5" i="5"/>
  <c r="M5" i="5"/>
  <c r="J4" i="5"/>
  <c r="L4" i="5"/>
  <c r="F5" i="5"/>
  <c r="G5" i="5" s="1"/>
  <c r="J5" i="5" l="1"/>
  <c r="L5" i="5"/>
  <c r="H6" i="5"/>
  <c r="H7" i="5" s="1"/>
  <c r="F6" i="5"/>
  <c r="F7" i="5" s="1"/>
  <c r="G6" i="5" l="1"/>
  <c r="I6" i="5"/>
  <c r="M6" i="5" s="1"/>
  <c r="G7" i="5"/>
  <c r="F8" i="5"/>
  <c r="H8" i="5"/>
  <c r="I7" i="5"/>
  <c r="K6" i="5" l="1"/>
  <c r="L6" i="5"/>
  <c r="J6" i="5"/>
  <c r="G8" i="5"/>
  <c r="F9" i="5"/>
  <c r="L7" i="5"/>
  <c r="J7" i="5"/>
  <c r="M7" i="5"/>
  <c r="K7" i="5"/>
  <c r="I8" i="5"/>
  <c r="H9" i="5"/>
  <c r="I9" i="5" l="1"/>
  <c r="H10" i="5"/>
  <c r="K8" i="5"/>
  <c r="M8" i="5"/>
  <c r="G9" i="5"/>
  <c r="F10" i="5"/>
  <c r="J8" i="5"/>
  <c r="L8" i="5"/>
  <c r="H11" i="5" l="1"/>
  <c r="I10" i="5"/>
  <c r="J9" i="5"/>
  <c r="L9" i="5"/>
  <c r="M9" i="5"/>
  <c r="K9" i="5"/>
  <c r="G10" i="5"/>
  <c r="F11" i="5"/>
  <c r="M10" i="5" l="1"/>
  <c r="K10" i="5"/>
  <c r="F12" i="5"/>
  <c r="G11" i="5"/>
  <c r="I11" i="5"/>
  <c r="H12" i="5"/>
  <c r="L10" i="5"/>
  <c r="J10" i="5"/>
  <c r="M11" i="5" l="1"/>
  <c r="K11" i="5"/>
  <c r="J11" i="5"/>
  <c r="L11" i="5"/>
  <c r="F13" i="5"/>
  <c r="G12" i="5"/>
  <c r="I12" i="5"/>
  <c r="H13" i="5"/>
  <c r="J12" i="5" l="1"/>
  <c r="L12" i="5"/>
  <c r="I13" i="5"/>
  <c r="H14" i="5"/>
  <c r="I14" i="5" s="1"/>
  <c r="K12" i="5"/>
  <c r="M12" i="5"/>
  <c r="G13" i="5"/>
  <c r="F14" i="5"/>
  <c r="G14" i="5" s="1"/>
  <c r="K13" i="5" l="1"/>
  <c r="M13" i="5"/>
  <c r="L14" i="5"/>
  <c r="J14" i="5"/>
  <c r="J13" i="5"/>
  <c r="L13" i="5"/>
  <c r="M14" i="5"/>
  <c r="K14" i="5"/>
  <c r="I16" i="5"/>
  <c r="I17" i="5" s="1"/>
  <c r="G16" i="5"/>
  <c r="G17" i="5" s="1"/>
  <c r="K16" i="5" l="1"/>
  <c r="K18" i="5" s="1"/>
  <c r="M16" i="5"/>
  <c r="M19" i="5" s="1"/>
  <c r="L16" i="5"/>
  <c r="L19" i="5" s="1"/>
  <c r="J16" i="5"/>
  <c r="J18" i="5" s="1"/>
</calcChain>
</file>

<file path=xl/sharedStrings.xml><?xml version="1.0" encoding="utf-8"?>
<sst xmlns="http://schemas.openxmlformats.org/spreadsheetml/2006/main" count="286" uniqueCount="76">
  <si>
    <t>Month</t>
  </si>
  <si>
    <t>3-Month Moving Average</t>
  </si>
  <si>
    <t>January</t>
  </si>
  <si>
    <t>February</t>
  </si>
  <si>
    <t>March</t>
  </si>
  <si>
    <t>April</t>
  </si>
  <si>
    <t>May</t>
  </si>
  <si>
    <t>June</t>
  </si>
  <si>
    <t>July</t>
  </si>
  <si>
    <t>Agust</t>
  </si>
  <si>
    <t>September</t>
  </si>
  <si>
    <t>October</t>
  </si>
  <si>
    <t>November</t>
  </si>
  <si>
    <t>December</t>
  </si>
  <si>
    <t>YAV10M8 Monthly Sales</t>
  </si>
  <si>
    <t>-</t>
  </si>
  <si>
    <t>3-Month Weighted Moving Average (0,1-0,3-0,6)</t>
  </si>
  <si>
    <t>Exponential Smoothing with 0,4</t>
  </si>
  <si>
    <t>Sum</t>
  </si>
  <si>
    <t>Mean Absolute Deviation (MAD)</t>
  </si>
  <si>
    <t>Mean Squared Error (MSE)</t>
  </si>
  <si>
    <t>Mean Absolute Percent Error (MAPE)</t>
  </si>
  <si>
    <t>Exponential Smoothing with 0,2</t>
  </si>
  <si>
    <t>Absolute Deviation of a = 0.4</t>
  </si>
  <si>
    <t>Absolute Deviation of a = 0.2</t>
  </si>
  <si>
    <t>Mean Squared Error with a = 0.4 (MSE)</t>
  </si>
  <si>
    <t>Mean Squared Error with a = 0.2 (MSE)</t>
  </si>
  <si>
    <t>Mean Absolute Percent Error r with a = 0.4 (MAPE)</t>
  </si>
  <si>
    <t>Mean Absolute Percent Error r with a = 0.2 (MAPE)</t>
  </si>
  <si>
    <t xml:space="preserve">X^2 </t>
  </si>
  <si>
    <t>X*Y</t>
  </si>
  <si>
    <t xml:space="preserve">SUM </t>
  </si>
  <si>
    <t xml:space="preserve">AVERAGE </t>
  </si>
  <si>
    <t>b =</t>
  </si>
  <si>
    <t>a =</t>
  </si>
  <si>
    <t>Number (X)</t>
  </si>
  <si>
    <t>YAV10M8 Monthly Sales (Y)</t>
  </si>
  <si>
    <t xml:space="preserve">FORECASTING </t>
  </si>
  <si>
    <t>AL 05010 Monthly Sales</t>
  </si>
  <si>
    <t>3-Month Weighted Moving Average (3-4-5)</t>
  </si>
  <si>
    <t>Exponential Smoothing with 0,1</t>
  </si>
  <si>
    <t>Absolute Deviation of a = 0.1</t>
  </si>
  <si>
    <t>Exponential Smoothing with 0,25</t>
  </si>
  <si>
    <t>Absolute Deviation of a = 0.25</t>
  </si>
  <si>
    <t>Mean Squared Error with a = 0.1 (MSE)</t>
  </si>
  <si>
    <t>Mean Squared Error with a = 0.25(MSE)</t>
  </si>
  <si>
    <t>Mean Absolute Percent Error r with a = 0.1 (MAPE)</t>
  </si>
  <si>
    <t>Mean Absolute Percent Error r with a = 0.25 (MAPE)</t>
  </si>
  <si>
    <t>4-Month Moving Average</t>
  </si>
  <si>
    <t>4-Month Weighted Moving Average (2-3-4-5)</t>
  </si>
  <si>
    <t>Exponential Smoothing with 0,15</t>
  </si>
  <si>
    <t>Absolute Deviation of a = 0.15</t>
  </si>
  <si>
    <t>Exponential Smoothing with 0,85</t>
  </si>
  <si>
    <t>Absolute Deviation of a = 0.85</t>
  </si>
  <si>
    <t>Mean Squared Error with a = 0.15 (MSE)</t>
  </si>
  <si>
    <t>Mean Squared Error with a = 0.85 (MSE)</t>
  </si>
  <si>
    <t>Mean Absolute Percent Error r with a = 0.15 (MAPE)</t>
  </si>
  <si>
    <t>Mean Absolute Percent Error r with a = 0.85 (MAPE)</t>
  </si>
  <si>
    <t>Exponential Smoothing with 0,05</t>
  </si>
  <si>
    <t>Absolute Deviation of a = 0.05</t>
  </si>
  <si>
    <t>Exponential Smoothing with 0,5</t>
  </si>
  <si>
    <t>Absolute Deviation of a = 0.5</t>
  </si>
  <si>
    <t>Mean Squared Error with a = 0.05 (MSE)</t>
  </si>
  <si>
    <t>Mean Squared Error with a = 0.5 (MSE)</t>
  </si>
  <si>
    <t>Mean Absolute Percent Error r with a = 0.05(MAPE)</t>
  </si>
  <si>
    <t>Mean Absolute Percent Error r with a = 0.5 (MAPE)</t>
  </si>
  <si>
    <t>5-Month Moving Average</t>
  </si>
  <si>
    <t>5-Month Weighted Moving Average (0.10-0.15-0.20-0.25-0.30)</t>
  </si>
  <si>
    <t>MONTH</t>
  </si>
  <si>
    <t>AL 050M10 Monthly Sales (Y)</t>
  </si>
  <si>
    <t>DIN 18516 Monthly Sales</t>
  </si>
  <si>
    <t>DIN18516 Monthly Sales (Y)</t>
  </si>
  <si>
    <t>RY300AM12TN Monthly Sales</t>
  </si>
  <si>
    <t>RY300AM12TN  Monthly Sales (Y)</t>
  </si>
  <si>
    <t>Y4CA075A20M12HTN15 Monthly Sales</t>
  </si>
  <si>
    <t>Y4CA075A20M12HTN15 Monthly Sales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</si>
</sst>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2"/>
    </font>
    <font>
      <b/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8" borderId="1" xfId="0" applyFont="1" applyFill="1" applyBorder="1" applyAlignment="1">
      <alignment horizontal="center"/>
    </xf>
    <xf numFmtId="10" fontId="8" fillId="8" borderId="2" xfId="0" applyNumberFormat="1" applyFont="1" applyFill="1" applyBorder="1" applyAlignment="1">
      <alignment horizontal="center"/>
    </xf>
    <xf numFmtId="10" fontId="8" fillId="8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0" fontId="8" fillId="8" borderId="2" xfId="0" applyNumberFormat="1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10" fontId="3" fillId="8" borderId="2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4" borderId="0" xfId="0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4" fontId="8" fillId="8" borderId="4" xfId="0" applyNumberFormat="1" applyFont="1" applyFill="1" applyBorder="1" applyAlignment="1">
      <alignment horizontal="center" vertical="center"/>
    </xf>
    <xf numFmtId="164" fontId="8" fillId="8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/>
              <a:t>IMPACT OF DIFFERENT </a:t>
            </a:r>
            <a:r>
              <a:rPr lang="el-GR" sz="3200"/>
              <a:t>α</a:t>
            </a:r>
            <a:endParaRPr lang="tr-TR" sz="3200"/>
          </a:p>
        </c:rich>
      </c:tx>
      <c:overlay val="0"/>
      <c:spPr>
        <a:noFill/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'YAV10M8 FORCECAST'!$C$2</c:f>
              <c:strCache>
                <c:ptCount val="1"/>
                <c:pt idx="0">
                  <c:v>YAV10M8 Monthly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'YAV10M8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'YAV10M8 FORCECAST'!$C$3:$C$14</c:f>
              <c:numCache>
                <c:formatCode>#.##0.000</c:formatCode>
                <c:ptCount val="12"/>
                <c:pt idx="0">
                  <c:v>30471</c:v>
                </c:pt>
                <c:pt idx="1">
                  <c:v>31296</c:v>
                </c:pt>
                <c:pt idx="2">
                  <c:v>30692</c:v>
                </c:pt>
                <c:pt idx="3">
                  <c:v>31567</c:v>
                </c:pt>
                <c:pt idx="4">
                  <c:v>33398</c:v>
                </c:pt>
                <c:pt idx="5">
                  <c:v>32961</c:v>
                </c:pt>
                <c:pt idx="6">
                  <c:v>33327</c:v>
                </c:pt>
                <c:pt idx="7">
                  <c:v>34681</c:v>
                </c:pt>
                <c:pt idx="8">
                  <c:v>33942</c:v>
                </c:pt>
                <c:pt idx="9">
                  <c:v>33472</c:v>
                </c:pt>
                <c:pt idx="10">
                  <c:v>34882</c:v>
                </c:pt>
                <c:pt idx="11">
                  <c:v>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63D-A37F-5193F54E38A6}"/>
            </c:ext>
          </c:extLst>
        </c:ser>
        <c:ser>
          <c:idx val="1"/>
          <c:order val="1"/>
          <c:tx>
            <c:strRef>
              <c:f>'YAV10M8 FORCECAST'!$F$2</c:f>
              <c:strCache>
                <c:ptCount val="1"/>
                <c:pt idx="0">
                  <c:v>Exponential Smoothing with 0,4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'YAV10M8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'YAV10M8 FORCECAST'!$F$3:$F$14</c:f>
              <c:numCache>
                <c:formatCode>#.##0.000</c:formatCode>
                <c:ptCount val="12"/>
                <c:pt idx="0">
                  <c:v>31752</c:v>
                </c:pt>
                <c:pt idx="1">
                  <c:v>31239.599999999999</c:v>
                </c:pt>
                <c:pt idx="2">
                  <c:v>31262.16</c:v>
                </c:pt>
                <c:pt idx="3">
                  <c:v>31034.096000000001</c:v>
                </c:pt>
                <c:pt idx="4">
                  <c:v>31247.257600000001</c:v>
                </c:pt>
                <c:pt idx="5">
                  <c:v>32107.55456</c:v>
                </c:pt>
                <c:pt idx="6">
                  <c:v>32448.932735999999</c:v>
                </c:pt>
                <c:pt idx="7">
                  <c:v>32800.159641599996</c:v>
                </c:pt>
                <c:pt idx="8">
                  <c:v>33552.495784959996</c:v>
                </c:pt>
                <c:pt idx="9">
                  <c:v>33708.297470975995</c:v>
                </c:pt>
                <c:pt idx="10">
                  <c:v>33613.7784825856</c:v>
                </c:pt>
                <c:pt idx="11">
                  <c:v>34121.067089551361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63D-A37F-5193F54E38A6}"/>
            </c:ext>
          </c:extLst>
        </c:ser>
        <c:ser>
          <c:idx val="2"/>
          <c:order val="2"/>
          <c:tx>
            <c:strRef>
              <c:f>'YAV10M8 FORCECAST'!$H$2</c:f>
              <c:strCache>
                <c:ptCount val="1"/>
                <c:pt idx="0">
                  <c:v>Exponential Smoothing with 0,2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'YAV10M8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'YAV10M8 FORCECAST'!$H$3:$H$14</c:f>
              <c:numCache>
                <c:formatCode>#.##0.000</c:formatCode>
                <c:ptCount val="12"/>
                <c:pt idx="0">
                  <c:v>31752</c:v>
                </c:pt>
                <c:pt idx="1">
                  <c:v>31495.8</c:v>
                </c:pt>
                <c:pt idx="2">
                  <c:v>31455.84</c:v>
                </c:pt>
                <c:pt idx="3">
                  <c:v>31303.072</c:v>
                </c:pt>
                <c:pt idx="4">
                  <c:v>31355.857599999999</c:v>
                </c:pt>
                <c:pt idx="5">
                  <c:v>31764.286079999998</c:v>
                </c:pt>
                <c:pt idx="6">
                  <c:v>32003.628863999998</c:v>
                </c:pt>
                <c:pt idx="7">
                  <c:v>32268.303091199999</c:v>
                </c:pt>
                <c:pt idx="8">
                  <c:v>32750.842472960001</c:v>
                </c:pt>
                <c:pt idx="9">
                  <c:v>32989.073978368004</c:v>
                </c:pt>
                <c:pt idx="10">
                  <c:v>33085.659182694406</c:v>
                </c:pt>
                <c:pt idx="11">
                  <c:v>33444.927346155528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63D-A37F-5193F54E38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7098600"/>
        <c:axId val="574388912"/>
      </c:lineChart>
      <c:catAx>
        <c:axId val="4470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8912"/>
        <c:crosses val="autoZero"/>
        <c:auto val="1"/>
        <c:lblAlgn val="ctr"/>
        <c:lblOffset val="100"/>
        <c:noMultiLvlLbl val="0"/>
      </c:catAx>
      <c:valAx>
        <c:axId val="574388912"/>
        <c:scaling>
          <c:orientation val="minMax"/>
          <c:max val="36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86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800"/>
              <a:t>IMPACT OF DIFFERENT </a:t>
            </a:r>
            <a:r>
              <a:rPr lang="el-GR" sz="2800"/>
              <a:t>α</a:t>
            </a:r>
            <a:endParaRPr lang="tr-TR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'DIN18516 FORCECAST'!$C$2</c:f>
              <c:strCache>
                <c:ptCount val="1"/>
                <c:pt idx="0">
                  <c:v>DIN 18516 Monthly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'DIN18516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'DIN18516 FORCECAST'!$C$3:$C$14</c:f>
              <c:numCache>
                <c:formatCode>#,##0.00</c:formatCode>
                <c:ptCount val="12"/>
                <c:pt idx="0">
                  <c:v>13632</c:v>
                </c:pt>
                <c:pt idx="1">
                  <c:v>12054</c:v>
                </c:pt>
                <c:pt idx="2">
                  <c:v>13566</c:v>
                </c:pt>
                <c:pt idx="3">
                  <c:v>12566</c:v>
                </c:pt>
                <c:pt idx="4">
                  <c:v>14375</c:v>
                </c:pt>
                <c:pt idx="5">
                  <c:v>13894</c:v>
                </c:pt>
                <c:pt idx="6">
                  <c:v>14796</c:v>
                </c:pt>
                <c:pt idx="7">
                  <c:v>14800</c:v>
                </c:pt>
                <c:pt idx="8">
                  <c:v>13608</c:v>
                </c:pt>
                <c:pt idx="9">
                  <c:v>13252</c:v>
                </c:pt>
                <c:pt idx="10">
                  <c:v>12409</c:v>
                </c:pt>
                <c:pt idx="11">
                  <c:v>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0643-A6E4-9013908F81BA}"/>
            </c:ext>
          </c:extLst>
        </c:ser>
        <c:ser>
          <c:idx val="1"/>
          <c:order val="1"/>
          <c:tx>
            <c:strRef>
              <c:f>'DIN18516 FORCECAST'!$F$2</c:f>
              <c:strCache>
                <c:ptCount val="1"/>
                <c:pt idx="0">
                  <c:v>Exponential Smoothing with 0,4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'DIN18516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'DIN18516 FORCECAST'!$F$3:$F$14</c:f>
              <c:numCache>
                <c:formatCode>#,##0.00</c:formatCode>
                <c:ptCount val="12"/>
                <c:pt idx="0">
                  <c:v>13752</c:v>
                </c:pt>
                <c:pt idx="1">
                  <c:v>13704</c:v>
                </c:pt>
                <c:pt idx="2">
                  <c:v>13044</c:v>
                </c:pt>
                <c:pt idx="3">
                  <c:v>13252.8</c:v>
                </c:pt>
                <c:pt idx="4">
                  <c:v>12978.08</c:v>
                </c:pt>
                <c:pt idx="5">
                  <c:v>13536.848</c:v>
                </c:pt>
                <c:pt idx="6">
                  <c:v>13679.7088</c:v>
                </c:pt>
                <c:pt idx="7">
                  <c:v>14126.225280000001</c:v>
                </c:pt>
                <c:pt idx="8">
                  <c:v>14395.735168000001</c:v>
                </c:pt>
                <c:pt idx="9">
                  <c:v>14080.641100800001</c:v>
                </c:pt>
                <c:pt idx="10">
                  <c:v>13749.184660480001</c:v>
                </c:pt>
                <c:pt idx="11">
                  <c:v>13213.110796288001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0643-A6E4-9013908F81BA}"/>
            </c:ext>
          </c:extLst>
        </c:ser>
        <c:ser>
          <c:idx val="2"/>
          <c:order val="2"/>
          <c:tx>
            <c:strRef>
              <c:f>'DIN18516 FORCECAST'!$H$2</c:f>
              <c:strCache>
                <c:ptCount val="1"/>
                <c:pt idx="0">
                  <c:v>Exponential Smoothing with 0,2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'DIN18516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'DIN18516 FORCECAST'!$H$3:$H$14</c:f>
              <c:numCache>
                <c:formatCode>#,##0.00</c:formatCode>
                <c:ptCount val="12"/>
                <c:pt idx="0">
                  <c:v>13752</c:v>
                </c:pt>
                <c:pt idx="1">
                  <c:v>13728</c:v>
                </c:pt>
                <c:pt idx="2">
                  <c:v>13393.2</c:v>
                </c:pt>
                <c:pt idx="3">
                  <c:v>13427.76</c:v>
                </c:pt>
                <c:pt idx="4">
                  <c:v>13255.407999999999</c:v>
                </c:pt>
                <c:pt idx="5">
                  <c:v>13479.3264</c:v>
                </c:pt>
                <c:pt idx="6">
                  <c:v>13562.261119999999</c:v>
                </c:pt>
                <c:pt idx="7">
                  <c:v>13809.008895999999</c:v>
                </c:pt>
                <c:pt idx="8">
                  <c:v>14007.2071168</c:v>
                </c:pt>
                <c:pt idx="9">
                  <c:v>13927.365693440001</c:v>
                </c:pt>
                <c:pt idx="10">
                  <c:v>13792.292554752001</c:v>
                </c:pt>
                <c:pt idx="11">
                  <c:v>13515.634043801601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0643-A6E4-9013908F81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7098600"/>
        <c:axId val="574388912"/>
      </c:lineChart>
      <c:catAx>
        <c:axId val="4470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8912"/>
        <c:crosses val="autoZero"/>
        <c:auto val="1"/>
        <c:lblAlgn val="ctr"/>
        <c:lblOffset val="100"/>
        <c:noMultiLvlLbl val="0"/>
      </c:catAx>
      <c:valAx>
        <c:axId val="574388912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86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'DIN18516 REGRESSION '!$D$1</c:f>
              <c:strCache>
                <c:ptCount val="1"/>
                <c:pt idx="0">
                  <c:v>DIN18516 Monthly Sales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898580569642445E-2"/>
                  <c:y val="0.57306719257806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'DIN18516 REGRESSION 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'DIN18516 REGRESSION '!$D$2:$D$13</c:f>
              <c:numCache>
                <c:formatCode>#,##0.00</c:formatCode>
                <c:ptCount val="12"/>
                <c:pt idx="0">
                  <c:v>13632</c:v>
                </c:pt>
                <c:pt idx="1">
                  <c:v>12054</c:v>
                </c:pt>
                <c:pt idx="2">
                  <c:v>13566</c:v>
                </c:pt>
                <c:pt idx="3">
                  <c:v>12566</c:v>
                </c:pt>
                <c:pt idx="4">
                  <c:v>14375</c:v>
                </c:pt>
                <c:pt idx="5">
                  <c:v>13894</c:v>
                </c:pt>
                <c:pt idx="6">
                  <c:v>14796</c:v>
                </c:pt>
                <c:pt idx="7">
                  <c:v>14800</c:v>
                </c:pt>
                <c:pt idx="8">
                  <c:v>13608</c:v>
                </c:pt>
                <c:pt idx="9">
                  <c:v>13252</c:v>
                </c:pt>
                <c:pt idx="10">
                  <c:v>12409</c:v>
                </c:pt>
                <c:pt idx="11">
                  <c:v>13456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1-CD4B-ABEB-784DCB88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9392"/>
        <c:axId val="33334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'DIN18516 REGRESSION 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'DIN18516 REGRESSION '!$D$2</c15:sqref>
                        </c15:formulaRef>
                      </c:ext>
                    </c:extLst>
                    <c:numCache>
                      <c:formatCode>#,##0.00</c:formatCode>
                      <c:ptCount val="1"/>
                      <c:pt idx="0">
                        <c:v>13632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431-CD4B-ABEB-784DCB88C52C}"/>
                  </c:ext>
                </c:extLst>
              </c15:ser>
            </c15:filteredScatterSeries>
          </c:ext>
        </c:extLst>
      </c:scatterChart>
      <c:valAx>
        <c:axId val="379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464"/>
        <c:crosses val="autoZero"/>
        <c:crossBetween val="midCat"/>
      </c:valAx>
      <c:valAx>
        <c:axId val="333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9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LEAST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'DIN18516 REGRESSION '!$D$1</c:f>
              <c:strCache>
                <c:ptCount val="1"/>
                <c:pt idx="0">
                  <c:v>DIN18516 Monthly Sales (Y)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'DIN18516 REGRESSION 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'DIN18516 REGRESSION '!$D$2:$D$13</c:f>
              <c:numCache>
                <c:formatCode>#,##0.00</c:formatCode>
                <c:ptCount val="12"/>
                <c:pt idx="0">
                  <c:v>13632</c:v>
                </c:pt>
                <c:pt idx="1">
                  <c:v>12054</c:v>
                </c:pt>
                <c:pt idx="2">
                  <c:v>13566</c:v>
                </c:pt>
                <c:pt idx="3">
                  <c:v>12566</c:v>
                </c:pt>
                <c:pt idx="4">
                  <c:v>14375</c:v>
                </c:pt>
                <c:pt idx="5">
                  <c:v>13894</c:v>
                </c:pt>
                <c:pt idx="6">
                  <c:v>14796</c:v>
                </c:pt>
                <c:pt idx="7">
                  <c:v>14800</c:v>
                </c:pt>
                <c:pt idx="8">
                  <c:v>13608</c:v>
                </c:pt>
                <c:pt idx="9">
                  <c:v>13252</c:v>
                </c:pt>
                <c:pt idx="10">
                  <c:v>12409</c:v>
                </c:pt>
                <c:pt idx="11">
                  <c:v>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0-F84C-BDB0-094198BD3951}"/>
            </c:ext>
          </c:extLst>
        </c:ser>
        <c:ser>
          <c:idx val="1"/>
          <c:order val="1"/>
          <c:tx>
            <c:strRef>
              <c:f>'DIN18516 REGRESSION '!$G$1</c:f>
              <c:strCache>
                <c:ptCount val="1"/>
                <c:pt idx="0">
                  <c:v>FORECASTING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'DIN18516 REGRESSION 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'DIN18516 REGRESSION '!$G$2:$G$13</c:f>
              <c:numCache>
                <c:formatCode>#,##0.00</c:formatCode>
                <c:ptCount val="12"/>
                <c:pt idx="0">
                  <c:v>13410</c:v>
                </c:pt>
                <c:pt idx="1">
                  <c:v>13432.545454545456</c:v>
                </c:pt>
                <c:pt idx="2">
                  <c:v>13455.09090909091</c:v>
                </c:pt>
                <c:pt idx="3">
                  <c:v>13477.636363636364</c:v>
                </c:pt>
                <c:pt idx="4">
                  <c:v>13500.181818181818</c:v>
                </c:pt>
                <c:pt idx="5">
                  <c:v>13522.727272727274</c:v>
                </c:pt>
                <c:pt idx="6">
                  <c:v>13545.272727272728</c:v>
                </c:pt>
                <c:pt idx="7">
                  <c:v>13567.818181818182</c:v>
                </c:pt>
                <c:pt idx="8">
                  <c:v>13590.363636363636</c:v>
                </c:pt>
                <c:pt idx="9">
                  <c:v>13612.909090909092</c:v>
                </c:pt>
                <c:pt idx="10">
                  <c:v>13635.454545454546</c:v>
                </c:pt>
                <c:pt idx="11">
                  <c:v>13658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0-F84C-BDB0-094198BD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6936"/>
        <c:axId val="576087264"/>
      </c:lineChart>
      <c:catAx>
        <c:axId val="57608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264"/>
        <c:crosses val="autoZero"/>
        <c:auto val="1"/>
        <c:lblAlgn val="ctr"/>
        <c:lblOffset val="100"/>
        <c:noMultiLvlLbl val="0"/>
      </c:catAx>
      <c:valAx>
        <c:axId val="57608726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/>
              <a:t>GRAPH OF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'RY300AM12TN FORCECAST'!$C$2</c:f>
              <c:strCache>
                <c:ptCount val="1"/>
                <c:pt idx="0">
                  <c:v>RY300AM12TN Monthly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'RY300AM12TN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'RY300AM12TN FORCECAST'!$C$6:$C$14</c:f>
              <c:numCache>
                <c:formatCode>#,##0.00</c:formatCode>
                <c:ptCount val="9"/>
                <c:pt idx="0">
                  <c:v>20369</c:v>
                </c:pt>
                <c:pt idx="1">
                  <c:v>20334</c:v>
                </c:pt>
                <c:pt idx="2">
                  <c:v>20328</c:v>
                </c:pt>
                <c:pt idx="3">
                  <c:v>20319</c:v>
                </c:pt>
                <c:pt idx="4">
                  <c:v>20318</c:v>
                </c:pt>
                <c:pt idx="5">
                  <c:v>20308</c:v>
                </c:pt>
                <c:pt idx="6">
                  <c:v>20270</c:v>
                </c:pt>
                <c:pt idx="7">
                  <c:v>20110</c:v>
                </c:pt>
                <c:pt idx="8">
                  <c:v>20037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1-FD46-A0AD-50526A6454C8}"/>
            </c:ext>
          </c:extLst>
        </c:ser>
        <c:ser>
          <c:idx val="1"/>
          <c:order val="1"/>
          <c:tx>
            <c:strRef>
              <c:f>'RY300AM12TN FORCECAST'!$D$2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'RY300AM12TN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'RY300AM12TN FORCECAST'!$D$6:$D$14</c:f>
              <c:numCache>
                <c:formatCode>#.##0.000</c:formatCode>
                <c:ptCount val="9"/>
                <c:pt idx="0">
                  <c:v>20739</c:v>
                </c:pt>
                <c:pt idx="1">
                  <c:v>20556.333333333332</c:v>
                </c:pt>
                <c:pt idx="2">
                  <c:v>20404</c:v>
                </c:pt>
                <c:pt idx="3">
                  <c:v>20343.666666666668</c:v>
                </c:pt>
                <c:pt idx="4">
                  <c:v>20327</c:v>
                </c:pt>
                <c:pt idx="5">
                  <c:v>20321.666666666668</c:v>
                </c:pt>
                <c:pt idx="6">
                  <c:v>20315</c:v>
                </c:pt>
                <c:pt idx="7">
                  <c:v>20298.666666666668</c:v>
                </c:pt>
                <c:pt idx="8">
                  <c:v>20229.333333333332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1-FD46-A0AD-50526A6454C8}"/>
            </c:ext>
          </c:extLst>
        </c:ser>
        <c:ser>
          <c:idx val="2"/>
          <c:order val="2"/>
          <c:tx>
            <c:strRef>
              <c:f>'RY300AM12TN FORCECAST'!$E$2</c:f>
              <c:strCache>
                <c:ptCount val="1"/>
                <c:pt idx="0">
                  <c:v>3-Month Weighted Moving Average (3-4-5)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'RY300AM12TN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'RY300AM12TN FORCECAST'!$E$6:$E$14</c:f>
              <c:numCache>
                <c:formatCode>#.##0.000</c:formatCode>
                <c:ptCount val="9"/>
                <c:pt idx="0">
                  <c:v>22587.272727272728</c:v>
                </c:pt>
                <c:pt idx="1">
                  <c:v>22386.727272727272</c:v>
                </c:pt>
                <c:pt idx="2">
                  <c:v>22243</c:v>
                </c:pt>
                <c:pt idx="3">
                  <c:v>22189.363636363636</c:v>
                </c:pt>
                <c:pt idx="4">
                  <c:v>22173.545454545456</c:v>
                </c:pt>
                <c:pt idx="5">
                  <c:v>22168.18181818182</c:v>
                </c:pt>
                <c:pt idx="6">
                  <c:v>22160.81818181818</c:v>
                </c:pt>
                <c:pt idx="7">
                  <c:v>22139.636363636364</c:v>
                </c:pt>
                <c:pt idx="8">
                  <c:v>22050.363636363636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1-FD46-A0AD-50526A64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5280"/>
        <c:axId val="573772488"/>
      </c:lineChart>
      <c:catAx>
        <c:axId val="57378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2488"/>
        <c:crosses val="autoZero"/>
        <c:auto val="1"/>
        <c:lblAlgn val="ctr"/>
        <c:lblOffset val="100"/>
        <c:noMultiLvlLbl val="0"/>
      </c:catAx>
      <c:valAx>
        <c:axId val="573772488"/>
        <c:scaling>
          <c:orientation val="minMax"/>
          <c:max val="23000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52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/>
              <a:t>IMPACT OF DIFFERENT </a:t>
            </a:r>
            <a:r>
              <a:rPr lang="el-GR" sz="1800"/>
              <a:t>α</a:t>
            </a:r>
            <a:endParaRPr lang="tr-T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'RY300AM12TN FORCECAST'!$C$2</c:f>
              <c:strCache>
                <c:ptCount val="1"/>
                <c:pt idx="0">
                  <c:v>RY300AM12TN Monthly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'RY300AM12TN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'RY300AM12TN FORCECAST'!$C$3:$C$14</c:f>
              <c:numCache>
                <c:formatCode>#,##0.00</c:formatCode>
                <c:ptCount val="12"/>
                <c:pt idx="0">
                  <c:v>20917</c:v>
                </c:pt>
                <c:pt idx="1">
                  <c:v>20791</c:v>
                </c:pt>
                <c:pt idx="2">
                  <c:v>20509</c:v>
                </c:pt>
                <c:pt idx="3">
                  <c:v>20369</c:v>
                </c:pt>
                <c:pt idx="4">
                  <c:v>20334</c:v>
                </c:pt>
                <c:pt idx="5">
                  <c:v>20328</c:v>
                </c:pt>
                <c:pt idx="6">
                  <c:v>20319</c:v>
                </c:pt>
                <c:pt idx="7">
                  <c:v>20318</c:v>
                </c:pt>
                <c:pt idx="8">
                  <c:v>20308</c:v>
                </c:pt>
                <c:pt idx="9">
                  <c:v>20270</c:v>
                </c:pt>
                <c:pt idx="10">
                  <c:v>20110</c:v>
                </c:pt>
                <c:pt idx="11">
                  <c:v>20037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8649-9B70-FCA4872850F4}"/>
            </c:ext>
          </c:extLst>
        </c:ser>
        <c:ser>
          <c:idx val="1"/>
          <c:order val="1"/>
          <c:tx>
            <c:strRef>
              <c:f>'RY300AM12TN FORCECAST'!$F$2</c:f>
              <c:strCache>
                <c:ptCount val="1"/>
                <c:pt idx="0">
                  <c:v>Exponential Smoothing with 0,1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'RY300AM12TN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'RY300AM12TN FORCECAST'!$F$3:$F$14</c:f>
              <c:numCache>
                <c:formatCode>#.##0.000</c:formatCode>
                <c:ptCount val="12"/>
                <c:pt idx="0">
                  <c:v>20997</c:v>
                </c:pt>
                <c:pt idx="1">
                  <c:v>20989</c:v>
                </c:pt>
                <c:pt idx="2">
                  <c:v>20969.2</c:v>
                </c:pt>
                <c:pt idx="3">
                  <c:v>20923.18</c:v>
                </c:pt>
                <c:pt idx="4">
                  <c:v>20867.761999999999</c:v>
                </c:pt>
                <c:pt idx="5">
                  <c:v>20814.3858</c:v>
                </c:pt>
                <c:pt idx="6">
                  <c:v>20765.747220000001</c:v>
                </c:pt>
                <c:pt idx="7">
                  <c:v>20721.072498000001</c:v>
                </c:pt>
                <c:pt idx="8">
                  <c:v>20680.765248200001</c:v>
                </c:pt>
                <c:pt idx="9">
                  <c:v>20643.48872338</c:v>
                </c:pt>
                <c:pt idx="10">
                  <c:v>20606.139851042</c:v>
                </c:pt>
                <c:pt idx="11">
                  <c:v>20556.525865937801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D-8649-9B70-FCA4872850F4}"/>
            </c:ext>
          </c:extLst>
        </c:ser>
        <c:ser>
          <c:idx val="2"/>
          <c:order val="2"/>
          <c:tx>
            <c:strRef>
              <c:f>'RY300AM12TN FORCECAST'!$H$2</c:f>
              <c:strCache>
                <c:ptCount val="1"/>
                <c:pt idx="0">
                  <c:v>Exponential Smoothing with 0,25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'RY300AM12TN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'RY300AM12TN FORCECAST'!$H$3:$H$14</c:f>
              <c:numCache>
                <c:formatCode>#.##0.000</c:formatCode>
                <c:ptCount val="12"/>
                <c:pt idx="0">
                  <c:v>20997</c:v>
                </c:pt>
                <c:pt idx="1">
                  <c:v>20977</c:v>
                </c:pt>
                <c:pt idx="2">
                  <c:v>20930.5</c:v>
                </c:pt>
                <c:pt idx="3">
                  <c:v>20825.125</c:v>
                </c:pt>
                <c:pt idx="4">
                  <c:v>20711.09375</c:v>
                </c:pt>
                <c:pt idx="5">
                  <c:v>20616.8203125</c:v>
                </c:pt>
                <c:pt idx="6">
                  <c:v>20544.615234375</c:v>
                </c:pt>
                <c:pt idx="7">
                  <c:v>20488.21142578125</c:v>
                </c:pt>
                <c:pt idx="8">
                  <c:v>20445.658569335938</c:v>
                </c:pt>
                <c:pt idx="9">
                  <c:v>20411.243927001953</c:v>
                </c:pt>
                <c:pt idx="10">
                  <c:v>20375.932945251465</c:v>
                </c:pt>
                <c:pt idx="11">
                  <c:v>20309.449708938599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D-8649-9B70-FCA4872850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7098600"/>
        <c:axId val="574388912"/>
      </c:lineChart>
      <c:catAx>
        <c:axId val="4470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8912"/>
        <c:crosses val="autoZero"/>
        <c:auto val="1"/>
        <c:lblAlgn val="ctr"/>
        <c:lblOffset val="100"/>
        <c:noMultiLvlLbl val="0"/>
      </c:catAx>
      <c:valAx>
        <c:axId val="57438891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86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 RY300AM12TN REGRESSION '!$D$1</c:f>
              <c:strCache>
                <c:ptCount val="1"/>
                <c:pt idx="0">
                  <c:v>RY300AM12TN  Monthly Sales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18309816098279E-2"/>
                  <c:y val="-0.16788596253054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RY300AM12TN REGRESSION 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RY300AM12TN REGRESSION '!$D$2:$D$13</c:f>
              <c:numCache>
                <c:formatCode>#,##0.00</c:formatCode>
                <c:ptCount val="12"/>
                <c:pt idx="0">
                  <c:v>20917</c:v>
                </c:pt>
                <c:pt idx="1">
                  <c:v>20791</c:v>
                </c:pt>
                <c:pt idx="2">
                  <c:v>20509</c:v>
                </c:pt>
                <c:pt idx="3">
                  <c:v>20369</c:v>
                </c:pt>
                <c:pt idx="4">
                  <c:v>20334</c:v>
                </c:pt>
                <c:pt idx="5">
                  <c:v>20328</c:v>
                </c:pt>
                <c:pt idx="6">
                  <c:v>20319</c:v>
                </c:pt>
                <c:pt idx="7">
                  <c:v>20318</c:v>
                </c:pt>
                <c:pt idx="8">
                  <c:v>20308</c:v>
                </c:pt>
                <c:pt idx="9">
                  <c:v>20270</c:v>
                </c:pt>
                <c:pt idx="10">
                  <c:v>20110</c:v>
                </c:pt>
                <c:pt idx="11">
                  <c:v>20037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D-604A-815D-C4611448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9392"/>
        <c:axId val="33334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 RY300AM12TN REGRESSION 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 RY300AM12TN REGRESSION '!$D$2</c15:sqref>
                        </c15:formulaRef>
                      </c:ext>
                    </c:extLst>
                    <c:numCache>
                      <c:formatCode>#,##0.00</c:formatCode>
                      <c:ptCount val="1"/>
                      <c:pt idx="0">
                        <c:v>20917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82D-604A-815D-C46114481FF9}"/>
                  </c:ext>
                </c:extLst>
              </c15:ser>
            </c15:filteredScatterSeries>
          </c:ext>
        </c:extLst>
      </c:scatterChart>
      <c:valAx>
        <c:axId val="379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464"/>
        <c:crosses val="autoZero"/>
        <c:crossBetween val="midCat"/>
      </c:valAx>
      <c:valAx>
        <c:axId val="333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9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/>
              <a:t>LEAST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RY300AM12TN REGRESSION '!$D$1</c:f>
              <c:strCache>
                <c:ptCount val="1"/>
                <c:pt idx="0">
                  <c:v>RY300AM12TN  Monthly Sales (Y)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 RY300AM12TN REGRESSION 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RY300AM12TN REGRESSION '!$D$2:$D$13</c:f>
              <c:numCache>
                <c:formatCode>#,##0.00</c:formatCode>
                <c:ptCount val="12"/>
                <c:pt idx="0">
                  <c:v>20917</c:v>
                </c:pt>
                <c:pt idx="1">
                  <c:v>20791</c:v>
                </c:pt>
                <c:pt idx="2">
                  <c:v>20509</c:v>
                </c:pt>
                <c:pt idx="3">
                  <c:v>20369</c:v>
                </c:pt>
                <c:pt idx="4">
                  <c:v>20334</c:v>
                </c:pt>
                <c:pt idx="5">
                  <c:v>20328</c:v>
                </c:pt>
                <c:pt idx="6">
                  <c:v>20319</c:v>
                </c:pt>
                <c:pt idx="7">
                  <c:v>20318</c:v>
                </c:pt>
                <c:pt idx="8">
                  <c:v>20308</c:v>
                </c:pt>
                <c:pt idx="9">
                  <c:v>20270</c:v>
                </c:pt>
                <c:pt idx="10">
                  <c:v>20110</c:v>
                </c:pt>
                <c:pt idx="11">
                  <c:v>20037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9C47-A73C-AA24EA204C5B}"/>
            </c:ext>
          </c:extLst>
        </c:ser>
        <c:ser>
          <c:idx val="1"/>
          <c:order val="1"/>
          <c:tx>
            <c:strRef>
              <c:f>' RY300AM12TN REGRESSION '!$G$1</c:f>
              <c:strCache>
                <c:ptCount val="1"/>
                <c:pt idx="0">
                  <c:v>FORECASTING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 RY300AM12TN REGRESSION 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RY300AM12TN REGRESSION '!$G$2:$G$13</c:f>
              <c:numCache>
                <c:formatCode>#,##0.00</c:formatCode>
                <c:ptCount val="12"/>
                <c:pt idx="0">
                  <c:v>20727.320512820515</c:v>
                </c:pt>
                <c:pt idx="1">
                  <c:v>20664.928904428907</c:v>
                </c:pt>
                <c:pt idx="2">
                  <c:v>20602.537296037299</c:v>
                </c:pt>
                <c:pt idx="3">
                  <c:v>20540.14568764569</c:v>
                </c:pt>
                <c:pt idx="4">
                  <c:v>20477.754079254082</c:v>
                </c:pt>
                <c:pt idx="5">
                  <c:v>20415.362470862474</c:v>
                </c:pt>
                <c:pt idx="6">
                  <c:v>20352.970862470866</c:v>
                </c:pt>
                <c:pt idx="7">
                  <c:v>20290.579254079257</c:v>
                </c:pt>
                <c:pt idx="8">
                  <c:v>20228.187645687649</c:v>
                </c:pt>
                <c:pt idx="9">
                  <c:v>20165.796037296041</c:v>
                </c:pt>
                <c:pt idx="10">
                  <c:v>20103.404428904432</c:v>
                </c:pt>
                <c:pt idx="11">
                  <c:v>20041.012820512824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3-9C47-A73C-AA24EA20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6936"/>
        <c:axId val="576087264"/>
      </c:lineChart>
      <c:catAx>
        <c:axId val="57608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264"/>
        <c:crosses val="autoZero"/>
        <c:auto val="1"/>
        <c:lblAlgn val="ctr"/>
        <c:lblOffset val="100"/>
        <c:noMultiLvlLbl val="0"/>
      </c:catAx>
      <c:valAx>
        <c:axId val="57608726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400"/>
              <a:t>GRAPH OF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'Y4CA075A20M12HTN1 FORCECAST'!$C$2</c:f>
              <c:strCache>
                <c:ptCount val="1"/>
                <c:pt idx="0">
                  <c:v>Y4CA075A20M12HTN15 Monthly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'Y4CA075A20M12HTN1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'Y4CA075A20M12HTN1 FORCECAST'!$C$6:$C$14</c:f>
              <c:numCache>
                <c:formatCode>#.##0.000</c:formatCode>
                <c:ptCount val="9"/>
                <c:pt idx="0">
                  <c:v>41390</c:v>
                </c:pt>
                <c:pt idx="1">
                  <c:v>43299</c:v>
                </c:pt>
                <c:pt idx="2">
                  <c:v>43507</c:v>
                </c:pt>
                <c:pt idx="3">
                  <c:v>44166</c:v>
                </c:pt>
                <c:pt idx="4">
                  <c:v>43967</c:v>
                </c:pt>
                <c:pt idx="5">
                  <c:v>42290</c:v>
                </c:pt>
                <c:pt idx="6">
                  <c:v>43429</c:v>
                </c:pt>
                <c:pt idx="7">
                  <c:v>44846</c:v>
                </c:pt>
                <c:pt idx="8">
                  <c:v>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3-9A4F-BF66-09AC62C1A641}"/>
            </c:ext>
          </c:extLst>
        </c:ser>
        <c:ser>
          <c:idx val="1"/>
          <c:order val="1"/>
          <c:tx>
            <c:strRef>
              <c:f>'Y4CA075A20M12HTN1 FORCECAST'!$D$2</c:f>
              <c:strCache>
                <c:ptCount val="1"/>
                <c:pt idx="0">
                  <c:v>4-Month Moving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'Y4CA075A20M12HTN1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'Y4CA075A20M12HTN1 FORCECAST'!$D$6:$D$14</c:f>
              <c:numCache>
                <c:formatCode>#.##0.000</c:formatCode>
                <c:ptCount val="9"/>
                <c:pt idx="0">
                  <c:v>0</c:v>
                </c:pt>
                <c:pt idx="1">
                  <c:v>42019.25</c:v>
                </c:pt>
                <c:pt idx="2">
                  <c:v>42369.5</c:v>
                </c:pt>
                <c:pt idx="3">
                  <c:v>42939.75</c:v>
                </c:pt>
                <c:pt idx="4">
                  <c:v>43090.5</c:v>
                </c:pt>
                <c:pt idx="5">
                  <c:v>43734.75</c:v>
                </c:pt>
                <c:pt idx="6">
                  <c:v>43482.5</c:v>
                </c:pt>
                <c:pt idx="7">
                  <c:v>43463</c:v>
                </c:pt>
                <c:pt idx="8">
                  <c:v>43633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3-9A4F-BF66-09AC62C1A641}"/>
            </c:ext>
          </c:extLst>
        </c:ser>
        <c:ser>
          <c:idx val="2"/>
          <c:order val="2"/>
          <c:tx>
            <c:strRef>
              <c:f>'Y4CA075A20M12HTN1 FORCECAST'!$E$2</c:f>
              <c:strCache>
                <c:ptCount val="1"/>
                <c:pt idx="0">
                  <c:v>4-Month Weighted Moving Average (2-3-4-5)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'Y4CA075A20M12HTN1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'Y4CA075A20M12HTN1 FORCECAST'!$E$6:$E$14</c:f>
              <c:numCache>
                <c:formatCode>#.##0.000</c:formatCode>
                <c:ptCount val="9"/>
                <c:pt idx="0">
                  <c:v>0</c:v>
                </c:pt>
                <c:pt idx="1">
                  <c:v>42048.285714285717</c:v>
                </c:pt>
                <c:pt idx="2">
                  <c:v>42514</c:v>
                </c:pt>
                <c:pt idx="3">
                  <c:v>43001.928571428572</c:v>
                </c:pt>
                <c:pt idx="4">
                  <c:v>43395.357142857145</c:v>
                </c:pt>
                <c:pt idx="5">
                  <c:v>43829.857142857145</c:v>
                </c:pt>
                <c:pt idx="6">
                  <c:v>43345</c:v>
                </c:pt>
                <c:pt idx="7">
                  <c:v>43324.142857142855</c:v>
                </c:pt>
                <c:pt idx="8">
                  <c:v>43767.857142857145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3-9A4F-BF66-09AC62C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5280"/>
        <c:axId val="573772488"/>
      </c:lineChart>
      <c:catAx>
        <c:axId val="57378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2488"/>
        <c:crosses val="autoZero"/>
        <c:auto val="1"/>
        <c:lblAlgn val="ctr"/>
        <c:lblOffset val="100"/>
        <c:noMultiLvlLbl val="0"/>
      </c:catAx>
      <c:valAx>
        <c:axId val="573772488"/>
        <c:scaling>
          <c:orientation val="minMax"/>
          <c:min val="4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52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856877903744175E-2"/>
          <c:y val="0.9394152357343335"/>
          <c:w val="0.89999996355255441"/>
          <c:h val="4.858802745839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400"/>
              <a:t>IMPACT OF DIFFERENT </a:t>
            </a:r>
            <a:r>
              <a:rPr lang="el-GR" sz="2400"/>
              <a:t>α</a:t>
            </a:r>
            <a:endParaRPr lang="tr-T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'Y4CA075A20M12HTN1 FORCECAST'!$C$2</c:f>
              <c:strCache>
                <c:ptCount val="1"/>
                <c:pt idx="0">
                  <c:v>Y4CA075A20M12HTN15 Monthly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'Y4CA075A20M12HTN1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'Y4CA075A20M12HTN1 FORCECAST'!$C$3:$C$14</c:f>
              <c:numCache>
                <c:formatCode>#.##0.000</c:formatCode>
                <c:ptCount val="12"/>
                <c:pt idx="0">
                  <c:v>41898</c:v>
                </c:pt>
                <c:pt idx="1">
                  <c:v>41226</c:v>
                </c:pt>
                <c:pt idx="2">
                  <c:v>43563</c:v>
                </c:pt>
                <c:pt idx="3">
                  <c:v>41390</c:v>
                </c:pt>
                <c:pt idx="4">
                  <c:v>43299</c:v>
                </c:pt>
                <c:pt idx="5">
                  <c:v>43507</c:v>
                </c:pt>
                <c:pt idx="6">
                  <c:v>44166</c:v>
                </c:pt>
                <c:pt idx="7">
                  <c:v>43967</c:v>
                </c:pt>
                <c:pt idx="8">
                  <c:v>42290</c:v>
                </c:pt>
                <c:pt idx="9">
                  <c:v>43429</c:v>
                </c:pt>
                <c:pt idx="10">
                  <c:v>44846</c:v>
                </c:pt>
                <c:pt idx="11">
                  <c:v>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C-534F-B8D6-7A0104D7E4AA}"/>
            </c:ext>
          </c:extLst>
        </c:ser>
        <c:ser>
          <c:idx val="1"/>
          <c:order val="1"/>
          <c:tx>
            <c:strRef>
              <c:f>'Y4CA075A20M12HTN1 FORCECAST'!$F$2</c:f>
              <c:strCache>
                <c:ptCount val="1"/>
                <c:pt idx="0">
                  <c:v>Exponential Smoothing with 0,15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'Y4CA075A20M12HTN1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'Y4CA075A20M12HTN1 FORCECAST'!$F$3:$F$14</c:f>
              <c:numCache>
                <c:formatCode>#.##0.000</c:formatCode>
                <c:ptCount val="12"/>
                <c:pt idx="0">
                  <c:v>42126</c:v>
                </c:pt>
                <c:pt idx="1">
                  <c:v>42091.8</c:v>
                </c:pt>
                <c:pt idx="2">
                  <c:v>41961.93</c:v>
                </c:pt>
                <c:pt idx="3">
                  <c:v>42202.090499999998</c:v>
                </c:pt>
                <c:pt idx="4">
                  <c:v>42080.276924999998</c:v>
                </c:pt>
                <c:pt idx="5">
                  <c:v>42263.085386250001</c:v>
                </c:pt>
                <c:pt idx="6">
                  <c:v>42449.6725783125</c:v>
                </c:pt>
                <c:pt idx="7">
                  <c:v>42707.121691565626</c:v>
                </c:pt>
                <c:pt idx="8">
                  <c:v>42896.103437830781</c:v>
                </c:pt>
                <c:pt idx="9">
                  <c:v>42805.187922156161</c:v>
                </c:pt>
                <c:pt idx="10">
                  <c:v>42898.75973383274</c:v>
                </c:pt>
                <c:pt idx="11">
                  <c:v>43190.845773757828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C-534F-B8D6-7A0104D7E4AA}"/>
            </c:ext>
          </c:extLst>
        </c:ser>
        <c:ser>
          <c:idx val="2"/>
          <c:order val="2"/>
          <c:tx>
            <c:strRef>
              <c:f>'Y4CA075A20M12HTN1 FORCECAST'!$H$2</c:f>
              <c:strCache>
                <c:ptCount val="1"/>
                <c:pt idx="0">
                  <c:v>Exponential Smoothing with 0,85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'Y4CA075A20M12HTN1 FORCECAST'!$B$3:$B$14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'Y4CA075A20M12HTN1 FORCECAST'!$H$3:$H$14</c:f>
              <c:numCache>
                <c:formatCode>#.##0.000</c:formatCode>
                <c:ptCount val="12"/>
                <c:pt idx="0">
                  <c:v>42126</c:v>
                </c:pt>
                <c:pt idx="1">
                  <c:v>41932.199999999997</c:v>
                </c:pt>
                <c:pt idx="2">
                  <c:v>41331.93</c:v>
                </c:pt>
                <c:pt idx="3">
                  <c:v>43228.339500000002</c:v>
                </c:pt>
                <c:pt idx="4">
                  <c:v>41665.750925</c:v>
                </c:pt>
                <c:pt idx="5">
                  <c:v>43054.012638749999</c:v>
                </c:pt>
                <c:pt idx="6">
                  <c:v>43439.051895812503</c:v>
                </c:pt>
                <c:pt idx="7">
                  <c:v>44056.957784371873</c:v>
                </c:pt>
                <c:pt idx="8">
                  <c:v>43980.493667655785</c:v>
                </c:pt>
                <c:pt idx="9">
                  <c:v>42543.574050148367</c:v>
                </c:pt>
                <c:pt idx="10">
                  <c:v>43296.186107522255</c:v>
                </c:pt>
                <c:pt idx="11">
                  <c:v>44613.52791612834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C-534F-B8D6-7A0104D7E4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7098600"/>
        <c:axId val="574388912"/>
      </c:lineChart>
      <c:catAx>
        <c:axId val="4470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8912"/>
        <c:crosses val="autoZero"/>
        <c:auto val="1"/>
        <c:lblAlgn val="ctr"/>
        <c:lblOffset val="100"/>
        <c:noMultiLvlLbl val="0"/>
      </c:catAx>
      <c:valAx>
        <c:axId val="57438891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86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400" b="1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'Y4CA075A20M12HTN REGRESSION'!$D$1</c:f>
              <c:strCache>
                <c:ptCount val="1"/>
                <c:pt idx="0">
                  <c:v>Y4CA075A20M12HTN15 Monthly Sales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34030758331407"/>
                  <c:y val="0.3543638349006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'Y4CA075A20M12HTN REGRESSION'!$B$2:$B$13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'Y4CA075A20M12HTN REGRESSION'!$D$2:$D$13</c:f>
              <c:numCache>
                <c:formatCode>#.##0.000</c:formatCode>
                <c:ptCount val="12"/>
                <c:pt idx="0">
                  <c:v>41898</c:v>
                </c:pt>
                <c:pt idx="1">
                  <c:v>41226</c:v>
                </c:pt>
                <c:pt idx="2">
                  <c:v>43563</c:v>
                </c:pt>
                <c:pt idx="3">
                  <c:v>41390</c:v>
                </c:pt>
                <c:pt idx="4">
                  <c:v>43299</c:v>
                </c:pt>
                <c:pt idx="5">
                  <c:v>43507</c:v>
                </c:pt>
                <c:pt idx="6">
                  <c:v>44166</c:v>
                </c:pt>
                <c:pt idx="7">
                  <c:v>43967</c:v>
                </c:pt>
                <c:pt idx="8">
                  <c:v>42290</c:v>
                </c:pt>
                <c:pt idx="9">
                  <c:v>43429</c:v>
                </c:pt>
                <c:pt idx="10">
                  <c:v>44846</c:v>
                </c:pt>
                <c:pt idx="11">
                  <c:v>42148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7-894E-887B-A863BC58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9392"/>
        <c:axId val="33334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'Y4CA075A20M12HTN REGRESSION'!$D$1</c15:sqref>
                        </c15:formulaRef>
                      </c:ext>
                    </c:extLst>
                    <c:strCache>
                      <c:ptCount val="1"/>
                      <c:pt idx="0">
                        <c:v>Y4CA075A20M12HTN15 Monthly Sales (Y)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'Y4CA075A20M12HTN REGRESSION'!$B$2:$B$13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'Y4CA075A20M12HTN REGRESSION'!$D$2</c15:sqref>
                        </c15:formulaRef>
                      </c:ext>
                    </c:extLst>
                    <c:numCache>
                      <c:formatCode>#.##0.000</c:formatCode>
                      <c:ptCount val="1"/>
                      <c:pt idx="0">
                        <c:v>41898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207-894E-887B-A863BC58D440}"/>
                  </c:ext>
                </c:extLst>
              </c15:ser>
            </c15:filteredScatterSeries>
          </c:ext>
        </c:extLst>
      </c:scatterChart>
      <c:valAx>
        <c:axId val="379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464"/>
        <c:crosses val="autoZero"/>
        <c:crossBetween val="midCat"/>
      </c:valAx>
      <c:valAx>
        <c:axId val="333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9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GRAPH</a:t>
            </a:r>
            <a:r>
              <a:rPr lang="tr-TR" sz="1800" b="1" baseline="0"/>
              <a:t> OF MOVING AVERAGES</a:t>
            </a:r>
            <a:endParaRPr lang="tr-T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'YAV10M8 FORCECAST'!$C$2</c:f>
              <c:strCache>
                <c:ptCount val="1"/>
                <c:pt idx="0">
                  <c:v>YAV10M8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'YAV10M8 FORCECAST'!$B$5:$B$14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'YAV10M8 FORCECAST'!$C$5:$C$14</c:f>
              <c:numCache>
                <c:formatCode>#.##0.000</c:formatCode>
                <c:ptCount val="10"/>
                <c:pt idx="0">
                  <c:v>30692</c:v>
                </c:pt>
                <c:pt idx="1">
                  <c:v>31567</c:v>
                </c:pt>
                <c:pt idx="2">
                  <c:v>33398</c:v>
                </c:pt>
                <c:pt idx="3">
                  <c:v>32961</c:v>
                </c:pt>
                <c:pt idx="4">
                  <c:v>33327</c:v>
                </c:pt>
                <c:pt idx="5">
                  <c:v>34681</c:v>
                </c:pt>
                <c:pt idx="6">
                  <c:v>33942</c:v>
                </c:pt>
                <c:pt idx="7">
                  <c:v>33472</c:v>
                </c:pt>
                <c:pt idx="8">
                  <c:v>34882</c:v>
                </c:pt>
                <c:pt idx="9">
                  <c:v>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81E-85B2-B3F89A7973B4}"/>
            </c:ext>
          </c:extLst>
        </c:ser>
        <c:ser>
          <c:idx val="1"/>
          <c:order val="1"/>
          <c:tx>
            <c:strRef>
              <c:f>'YAV10M8 FORCECAST'!$D$2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'YAV10M8 FORCECAST'!$B$5:$B$14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'YAV10M8 FORCECAST'!$D$6:$D$14</c:f>
              <c:numCache>
                <c:formatCode>#.##0.000</c:formatCode>
                <c:ptCount val="9"/>
                <c:pt idx="0">
                  <c:v>30819.666666666668</c:v>
                </c:pt>
                <c:pt idx="1">
                  <c:v>31185</c:v>
                </c:pt>
                <c:pt idx="2">
                  <c:v>31885.666666666668</c:v>
                </c:pt>
                <c:pt idx="3">
                  <c:v>32642</c:v>
                </c:pt>
                <c:pt idx="4">
                  <c:v>33228.666666666664</c:v>
                </c:pt>
                <c:pt idx="5">
                  <c:v>33656.333333333336</c:v>
                </c:pt>
                <c:pt idx="6">
                  <c:v>33983.333333333336</c:v>
                </c:pt>
                <c:pt idx="7">
                  <c:v>34031.666666666664</c:v>
                </c:pt>
                <c:pt idx="8">
                  <c:v>34098.666666666664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81E-85B2-B3F89A7973B4}"/>
            </c:ext>
          </c:extLst>
        </c:ser>
        <c:ser>
          <c:idx val="2"/>
          <c:order val="2"/>
          <c:tx>
            <c:strRef>
              <c:f>'YAV10M8 FORCECAST'!$E$2</c:f>
              <c:strCache>
                <c:ptCount val="1"/>
                <c:pt idx="0">
                  <c:v>3-Month Weighted Moving Average (0,1-0,3-0,6)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'YAV10M8 FORCECAST'!$B$5:$B$14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'YAV10M8 FORCECAST'!$E$6:$E$14</c:f>
              <c:numCache>
                <c:formatCode>#.##0.000</c:formatCode>
                <c:ptCount val="9"/>
                <c:pt idx="0">
                  <c:v>30851.1</c:v>
                </c:pt>
                <c:pt idx="1">
                  <c:v>31277.4</c:v>
                </c:pt>
                <c:pt idx="2">
                  <c:v>32578.1</c:v>
                </c:pt>
                <c:pt idx="3">
                  <c:v>32952.699999999997</c:v>
                </c:pt>
                <c:pt idx="4">
                  <c:v>33224.300000000003</c:v>
                </c:pt>
                <c:pt idx="5">
                  <c:v>34102.800000000003</c:v>
                </c:pt>
                <c:pt idx="6">
                  <c:v>34102.199999999997</c:v>
                </c:pt>
                <c:pt idx="7">
                  <c:v>33733.9</c:v>
                </c:pt>
                <c:pt idx="8">
                  <c:v>34365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81E-85B2-B3F89A79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34704"/>
        <c:axId val="519135032"/>
      </c:lineChart>
      <c:catAx>
        <c:axId val="519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5032"/>
        <c:crosses val="autoZero"/>
        <c:auto val="1"/>
        <c:lblAlgn val="ctr"/>
        <c:lblOffset val="100"/>
        <c:noMultiLvlLbl val="0"/>
      </c:catAx>
      <c:valAx>
        <c:axId val="5191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4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LEAST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'Y4CA075A20M12HTN REGRESSION'!$D$1</c:f>
              <c:strCache>
                <c:ptCount val="1"/>
                <c:pt idx="0">
                  <c:v>Y4CA075A20M12HTN15 Monthly Sales (Y)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'Y4CA075A20M12HTN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'Y4CA075A20M12HTN REGRESSION'!$D$2:$D$13</c:f>
              <c:numCache>
                <c:formatCode>#.##0.000</c:formatCode>
                <c:ptCount val="12"/>
                <c:pt idx="0">
                  <c:v>41898</c:v>
                </c:pt>
                <c:pt idx="1">
                  <c:v>41226</c:v>
                </c:pt>
                <c:pt idx="2">
                  <c:v>43563</c:v>
                </c:pt>
                <c:pt idx="3">
                  <c:v>41390</c:v>
                </c:pt>
                <c:pt idx="4">
                  <c:v>43299</c:v>
                </c:pt>
                <c:pt idx="5">
                  <c:v>43507</c:v>
                </c:pt>
                <c:pt idx="6">
                  <c:v>44166</c:v>
                </c:pt>
                <c:pt idx="7">
                  <c:v>43967</c:v>
                </c:pt>
                <c:pt idx="8">
                  <c:v>42290</c:v>
                </c:pt>
                <c:pt idx="9">
                  <c:v>43429</c:v>
                </c:pt>
                <c:pt idx="10">
                  <c:v>44846</c:v>
                </c:pt>
                <c:pt idx="11">
                  <c:v>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A140-8FD3-11695088E9FF}"/>
            </c:ext>
          </c:extLst>
        </c:ser>
        <c:ser>
          <c:idx val="1"/>
          <c:order val="1"/>
          <c:tx>
            <c:strRef>
              <c:f>'Y4CA075A20M12HTN REGRESSION'!$G$1</c:f>
              <c:strCache>
                <c:ptCount val="1"/>
                <c:pt idx="0">
                  <c:v>FORECASTING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'Y4CA075A20M12HTN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'Y4CA075A20M12HTN REGRESSION'!$G$2:$G$13</c:f>
              <c:numCache>
                <c:formatCode>#,##0.00</c:formatCode>
                <c:ptCount val="12"/>
                <c:pt idx="0">
                  <c:v>42178.282051282054</c:v>
                </c:pt>
                <c:pt idx="1">
                  <c:v>42323.579254079254</c:v>
                </c:pt>
                <c:pt idx="2">
                  <c:v>42468.87645687646</c:v>
                </c:pt>
                <c:pt idx="3">
                  <c:v>42614.173659673659</c:v>
                </c:pt>
                <c:pt idx="4">
                  <c:v>42759.470862470866</c:v>
                </c:pt>
                <c:pt idx="5">
                  <c:v>42904.768065268065</c:v>
                </c:pt>
                <c:pt idx="6">
                  <c:v>43050.065268065271</c:v>
                </c:pt>
                <c:pt idx="7">
                  <c:v>43195.36247086247</c:v>
                </c:pt>
                <c:pt idx="8">
                  <c:v>43340.659673659677</c:v>
                </c:pt>
                <c:pt idx="9">
                  <c:v>43485.956876456876</c:v>
                </c:pt>
                <c:pt idx="10">
                  <c:v>43631.254079254082</c:v>
                </c:pt>
                <c:pt idx="11">
                  <c:v>43776.551282051281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A140-8FD3-11695088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6936"/>
        <c:axId val="576087264"/>
      </c:lineChart>
      <c:catAx>
        <c:axId val="57608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264"/>
        <c:crosses val="autoZero"/>
        <c:auto val="1"/>
        <c:lblAlgn val="ctr"/>
        <c:lblOffset val="100"/>
        <c:noMultiLvlLbl val="0"/>
      </c:catAx>
      <c:valAx>
        <c:axId val="57608726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'YAV10M8 REGRESSION'!$D$1</c:f>
              <c:strCache>
                <c:ptCount val="1"/>
                <c:pt idx="0">
                  <c:v>YAV10M8 Monthly Sales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6438594831895"/>
                  <c:y val="0.57461484559942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'YAV10M8 REGRESSION'!$B$2:$B$13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'YAV10M8 REGRESSION'!$D$2:$D$13</c:f>
              <c:numCache>
                <c:formatCode>#.##0.000</c:formatCode>
                <c:ptCount val="12"/>
                <c:pt idx="0">
                  <c:v>30471</c:v>
                </c:pt>
                <c:pt idx="1">
                  <c:v>31296</c:v>
                </c:pt>
                <c:pt idx="2">
                  <c:v>30692</c:v>
                </c:pt>
                <c:pt idx="3">
                  <c:v>31567</c:v>
                </c:pt>
                <c:pt idx="4">
                  <c:v>33398</c:v>
                </c:pt>
                <c:pt idx="5">
                  <c:v>32961</c:v>
                </c:pt>
                <c:pt idx="6">
                  <c:v>33327</c:v>
                </c:pt>
                <c:pt idx="7">
                  <c:v>34681</c:v>
                </c:pt>
                <c:pt idx="8">
                  <c:v>33942</c:v>
                </c:pt>
                <c:pt idx="9">
                  <c:v>33472</c:v>
                </c:pt>
                <c:pt idx="10">
                  <c:v>34882</c:v>
                </c:pt>
                <c:pt idx="11">
                  <c:v>35702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7-41B0-B1D0-E47D622C34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79419392"/>
        <c:axId val="33334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'YAV10M8 REGRESSION'!$B$2:$B$13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'YAV10M8 REGRESSION'!$D$2</c15:sqref>
                        </c15:formulaRef>
                      </c:ext>
                    </c:extLst>
                    <c:numCache>
                      <c:formatCode>#.##0.000</c:formatCode>
                      <c:ptCount val="1"/>
                      <c:pt idx="0">
                        <c:v>30471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47-41B0-B1D0-E47D622C348F}"/>
                  </c:ext>
                </c:extLst>
              </c15:ser>
            </c15:filteredScatterSeries>
          </c:ext>
        </c:extLst>
      </c:scatterChart>
      <c:valAx>
        <c:axId val="379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464"/>
        <c:crosses val="autoZero"/>
        <c:crossBetween val="midCat"/>
      </c:valAx>
      <c:valAx>
        <c:axId val="333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9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/>
              <a:t>LEAST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'YAV10M8 REGRESSION'!$D$1</c:f>
              <c:strCache>
                <c:ptCount val="1"/>
                <c:pt idx="0">
                  <c:v>YAV10M8 Monthly Sales (Y)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'YAV10M8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'YAV10M8 REGRESSION'!$D$2:$D$13</c:f>
              <c:numCache>
                <c:formatCode>#.##0.000</c:formatCode>
                <c:ptCount val="12"/>
                <c:pt idx="0">
                  <c:v>30471</c:v>
                </c:pt>
                <c:pt idx="1">
                  <c:v>31296</c:v>
                </c:pt>
                <c:pt idx="2">
                  <c:v>30692</c:v>
                </c:pt>
                <c:pt idx="3">
                  <c:v>31567</c:v>
                </c:pt>
                <c:pt idx="4">
                  <c:v>33398</c:v>
                </c:pt>
                <c:pt idx="5">
                  <c:v>32961</c:v>
                </c:pt>
                <c:pt idx="6">
                  <c:v>33327</c:v>
                </c:pt>
                <c:pt idx="7">
                  <c:v>34681</c:v>
                </c:pt>
                <c:pt idx="8">
                  <c:v>33942</c:v>
                </c:pt>
                <c:pt idx="9">
                  <c:v>33472</c:v>
                </c:pt>
                <c:pt idx="10">
                  <c:v>34882</c:v>
                </c:pt>
                <c:pt idx="11">
                  <c:v>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0-424D-B475-9AA20BBF524E}"/>
            </c:ext>
          </c:extLst>
        </c:ser>
        <c:ser>
          <c:idx val="1"/>
          <c:order val="1"/>
          <c:tx>
            <c:strRef>
              <c:f>'YAV10M8 REGRESSION'!$G$1</c:f>
              <c:strCache>
                <c:ptCount val="1"/>
                <c:pt idx="0">
                  <c:v>FORECASTING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'YAV10M8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'YAV10M8 REGRESSION'!$G$2:$G$13</c:f>
              <c:numCache>
                <c:formatCode>General</c:formatCode>
                <c:ptCount val="12"/>
                <c:pt idx="0">
                  <c:v>30621.717948717953</c:v>
                </c:pt>
                <c:pt idx="1">
                  <c:v>31060.057109557114</c:v>
                </c:pt>
                <c:pt idx="2">
                  <c:v>31498.396270396275</c:v>
                </c:pt>
                <c:pt idx="3">
                  <c:v>31936.735431235436</c:v>
                </c:pt>
                <c:pt idx="4">
                  <c:v>32375.074592074598</c:v>
                </c:pt>
                <c:pt idx="5">
                  <c:v>32813.413752913759</c:v>
                </c:pt>
                <c:pt idx="6">
                  <c:v>33251.75291375292</c:v>
                </c:pt>
                <c:pt idx="7">
                  <c:v>33690.092074592081</c:v>
                </c:pt>
                <c:pt idx="8">
                  <c:v>34128.431235431242</c:v>
                </c:pt>
                <c:pt idx="9">
                  <c:v>34566.770396270396</c:v>
                </c:pt>
                <c:pt idx="10">
                  <c:v>35005.109557109565</c:v>
                </c:pt>
                <c:pt idx="11">
                  <c:v>35443.448717948719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0-424D-B475-9AA20BBF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6936"/>
        <c:axId val="576087264"/>
      </c:lineChart>
      <c:catAx>
        <c:axId val="57608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264"/>
        <c:crosses val="autoZero"/>
        <c:auto val="1"/>
        <c:lblAlgn val="ctr"/>
        <c:lblOffset val="100"/>
        <c:noMultiLvlLbl val="0"/>
      </c:catAx>
      <c:valAx>
        <c:axId val="576087264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/>
              <a:t>GRAPH OF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 050M10 FORCECAST '!$C$2</c:f>
              <c:strCache>
                <c:ptCount val="1"/>
                <c:pt idx="0">
                  <c:v>AL 05010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 050M10 FORCECAST 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'AL 050M10 FORCECAST '!$C$6:$C$14</c:f>
              <c:numCache>
                <c:formatCode>#.##0.000</c:formatCode>
                <c:ptCount val="9"/>
                <c:pt idx="0">
                  <c:v>23376</c:v>
                </c:pt>
                <c:pt idx="1">
                  <c:v>23328</c:v>
                </c:pt>
                <c:pt idx="2">
                  <c:v>25714</c:v>
                </c:pt>
                <c:pt idx="3">
                  <c:v>23734</c:v>
                </c:pt>
                <c:pt idx="4">
                  <c:v>24681</c:v>
                </c:pt>
                <c:pt idx="5">
                  <c:v>22222</c:v>
                </c:pt>
                <c:pt idx="6">
                  <c:v>25239</c:v>
                </c:pt>
                <c:pt idx="7">
                  <c:v>20126</c:v>
                </c:pt>
                <c:pt idx="8">
                  <c:v>24781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CA4C-B5F2-579DBCF7F1CF}"/>
            </c:ext>
          </c:extLst>
        </c:ser>
        <c:ser>
          <c:idx val="1"/>
          <c:order val="1"/>
          <c:tx>
            <c:strRef>
              <c:f>'AL 050M10 FORCECAST '!$D$2</c:f>
              <c:strCache>
                <c:ptCount val="1"/>
                <c:pt idx="0">
                  <c:v>5-Month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 050M10 FORCECAST 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'AL 050M10 FORCECAST '!$D$6:$D$14</c:f>
              <c:numCache>
                <c:formatCode>#.##0.000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22948.400000000001</c:v>
                </c:pt>
                <c:pt idx="3">
                  <c:v>23091.200000000001</c:v>
                </c:pt>
                <c:pt idx="4">
                  <c:v>22988.799999999999</c:v>
                </c:pt>
                <c:pt idx="5">
                  <c:v>24166.6</c:v>
                </c:pt>
                <c:pt idx="6">
                  <c:v>23935.8</c:v>
                </c:pt>
                <c:pt idx="7">
                  <c:v>24318</c:v>
                </c:pt>
                <c:pt idx="8">
                  <c:v>23200.400000000001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CA4C-B5F2-579DBCF7F1CF}"/>
            </c:ext>
          </c:extLst>
        </c:ser>
        <c:ser>
          <c:idx val="2"/>
          <c:order val="2"/>
          <c:tx>
            <c:strRef>
              <c:f>'AL 050M10 FORCECAST '!$E$2</c:f>
              <c:strCache>
                <c:ptCount val="1"/>
                <c:pt idx="0">
                  <c:v>5-Month Weighted Moving Average (0.10-0.15-0.20-0.25-0.30)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 050M10 FORCECAST 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'AL 050M10 FORCECAST '!$E$6:$E$14</c:f>
              <c:numCache>
                <c:formatCode>#.##0.000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22737.699999999997</c:v>
                </c:pt>
                <c:pt idx="3">
                  <c:v>23464.799999999999</c:v>
                </c:pt>
                <c:pt idx="4">
                  <c:v>23599.9</c:v>
                </c:pt>
                <c:pt idx="5">
                  <c:v>24317.399999999998</c:v>
                </c:pt>
                <c:pt idx="6">
                  <c:v>23773.55</c:v>
                </c:pt>
                <c:pt idx="7">
                  <c:v>24194.9</c:v>
                </c:pt>
                <c:pt idx="8">
                  <c:v>22867.5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5-CA4C-B5F2-579DBCF7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5280"/>
        <c:axId val="573772488"/>
      </c:lineChart>
      <c:catAx>
        <c:axId val="573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2488"/>
        <c:crosses val="autoZero"/>
        <c:auto val="1"/>
        <c:lblAlgn val="ctr"/>
        <c:lblOffset val="100"/>
        <c:noMultiLvlLbl val="0"/>
      </c:catAx>
      <c:valAx>
        <c:axId val="573772488"/>
        <c:scaling>
          <c:orientation val="minMax"/>
          <c:max val="26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52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/>
              <a:t>IMPACT OF DIFFERENT </a:t>
            </a:r>
            <a:r>
              <a:rPr lang="el-GR" sz="2000"/>
              <a:t>α</a:t>
            </a:r>
            <a:endParaRPr lang="tr-T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 050M10 FORCECAST '!$C$2</c:f>
              <c:strCache>
                <c:ptCount val="1"/>
                <c:pt idx="0">
                  <c:v>AL 05010 Monthly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 050M10 FORCECAST 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 050M10 FORCECAST '!$C$3:$C$14</c:f>
              <c:numCache>
                <c:formatCode>#.##0.000</c:formatCode>
                <c:ptCount val="12"/>
                <c:pt idx="0">
                  <c:v>25000</c:v>
                </c:pt>
                <c:pt idx="1">
                  <c:v>24246</c:v>
                </c:pt>
                <c:pt idx="2">
                  <c:v>18792</c:v>
                </c:pt>
                <c:pt idx="3">
                  <c:v>23376</c:v>
                </c:pt>
                <c:pt idx="4">
                  <c:v>23328</c:v>
                </c:pt>
                <c:pt idx="5">
                  <c:v>25714</c:v>
                </c:pt>
                <c:pt idx="6">
                  <c:v>23734</c:v>
                </c:pt>
                <c:pt idx="7">
                  <c:v>24681</c:v>
                </c:pt>
                <c:pt idx="8">
                  <c:v>22222</c:v>
                </c:pt>
                <c:pt idx="9">
                  <c:v>25239</c:v>
                </c:pt>
                <c:pt idx="10">
                  <c:v>20126</c:v>
                </c:pt>
                <c:pt idx="11">
                  <c:v>24781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8-A44B-B6FA-5B5444D82DCF}"/>
            </c:ext>
          </c:extLst>
        </c:ser>
        <c:ser>
          <c:idx val="1"/>
          <c:order val="1"/>
          <c:tx>
            <c:strRef>
              <c:f>'AL 050M10 FORCECAST '!$F$2</c:f>
              <c:strCache>
                <c:ptCount val="1"/>
                <c:pt idx="0">
                  <c:v>Exponential Smoothing with 0,05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 050M10 FORCECAST 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 050M10 FORCECAST '!$F$3:$F$14</c:f>
              <c:numCache>
                <c:formatCode>#.##0.000</c:formatCode>
                <c:ptCount val="12"/>
                <c:pt idx="0">
                  <c:v>24252</c:v>
                </c:pt>
                <c:pt idx="1">
                  <c:v>24289.4</c:v>
                </c:pt>
                <c:pt idx="2">
                  <c:v>24287.230000000003</c:v>
                </c:pt>
                <c:pt idx="3">
                  <c:v>24012.468500000003</c:v>
                </c:pt>
                <c:pt idx="4">
                  <c:v>23980.645075000004</c:v>
                </c:pt>
                <c:pt idx="5">
                  <c:v>23948.012821250002</c:v>
                </c:pt>
                <c:pt idx="6">
                  <c:v>24036.312180187502</c:v>
                </c:pt>
                <c:pt idx="7">
                  <c:v>24021.196571178127</c:v>
                </c:pt>
                <c:pt idx="8">
                  <c:v>24054.186742619222</c:v>
                </c:pt>
                <c:pt idx="9">
                  <c:v>23962.57740548826</c:v>
                </c:pt>
                <c:pt idx="10">
                  <c:v>24026.398535213848</c:v>
                </c:pt>
                <c:pt idx="11">
                  <c:v>23831.378608453157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8-A44B-B6FA-5B5444D82DCF}"/>
            </c:ext>
          </c:extLst>
        </c:ser>
        <c:ser>
          <c:idx val="2"/>
          <c:order val="2"/>
          <c:tx>
            <c:strRef>
              <c:f>'AL 050M10 FORCECAST '!$H$2</c:f>
              <c:strCache>
                <c:ptCount val="1"/>
                <c:pt idx="0">
                  <c:v>Exponential Smoothing with 0,5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 050M10 FORCECAST 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 050M10 FORCECAST '!$H$3:$H$14</c:f>
              <c:numCache>
                <c:formatCode>#.##0.000</c:formatCode>
                <c:ptCount val="12"/>
                <c:pt idx="0">
                  <c:v>24252</c:v>
                </c:pt>
                <c:pt idx="1">
                  <c:v>24626</c:v>
                </c:pt>
                <c:pt idx="2">
                  <c:v>24436</c:v>
                </c:pt>
                <c:pt idx="3">
                  <c:v>21614</c:v>
                </c:pt>
                <c:pt idx="4">
                  <c:v>22495</c:v>
                </c:pt>
                <c:pt idx="5">
                  <c:v>22911.5</c:v>
                </c:pt>
                <c:pt idx="6">
                  <c:v>24312.75</c:v>
                </c:pt>
                <c:pt idx="7">
                  <c:v>24023.375</c:v>
                </c:pt>
                <c:pt idx="8">
                  <c:v>24352.1875</c:v>
                </c:pt>
                <c:pt idx="9">
                  <c:v>23287.09375</c:v>
                </c:pt>
                <c:pt idx="10">
                  <c:v>24263.046875</c:v>
                </c:pt>
                <c:pt idx="11">
                  <c:v>22194.5234375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8-A44B-B6FA-5B5444D82D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7098600"/>
        <c:axId val="574388912"/>
      </c:lineChart>
      <c:catAx>
        <c:axId val="4470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8912"/>
        <c:crosses val="autoZero"/>
        <c:auto val="1"/>
        <c:lblAlgn val="ctr"/>
        <c:lblOffset val="100"/>
        <c:noMultiLvlLbl val="0"/>
      </c:catAx>
      <c:valAx>
        <c:axId val="574388912"/>
        <c:scaling>
          <c:orientation val="minMax"/>
          <c:max val="26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86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 050M10 REGRESSION'!$D$1</c:f>
              <c:strCache>
                <c:ptCount val="1"/>
                <c:pt idx="0">
                  <c:v>AL 050M10 Monthly Sales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421218865999352E-2"/>
                  <c:y val="0.4232337226629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050M10 REGRESSION'!$B$2:$B$13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 050M10 REGRESSION'!$D$2:$D$13</c:f>
              <c:numCache>
                <c:formatCode>#.##0.000</c:formatCode>
                <c:ptCount val="12"/>
                <c:pt idx="0">
                  <c:v>25000</c:v>
                </c:pt>
                <c:pt idx="1">
                  <c:v>24246</c:v>
                </c:pt>
                <c:pt idx="2">
                  <c:v>18792</c:v>
                </c:pt>
                <c:pt idx="3">
                  <c:v>23376</c:v>
                </c:pt>
                <c:pt idx="4">
                  <c:v>23328</c:v>
                </c:pt>
                <c:pt idx="5">
                  <c:v>25714</c:v>
                </c:pt>
                <c:pt idx="6">
                  <c:v>23734</c:v>
                </c:pt>
                <c:pt idx="7">
                  <c:v>24681</c:v>
                </c:pt>
                <c:pt idx="8">
                  <c:v>22222</c:v>
                </c:pt>
                <c:pt idx="9">
                  <c:v>25239</c:v>
                </c:pt>
                <c:pt idx="10">
                  <c:v>20126</c:v>
                </c:pt>
                <c:pt idx="11">
                  <c:v>24781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A-5847-963A-EBB12069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9392"/>
        <c:axId val="33334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6000"/>
                      </a:schemeClr>
                    </a:solidFill>
                    <a:ln w="9525">
                      <a:solidFill>
                        <a:schemeClr val="accent2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 050M10 REGRESSION'!$B$2:$B$13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 050M10 REGRESSION'!$D$2</c15:sqref>
                        </c15:formulaRef>
                      </c:ext>
                    </c:extLst>
                    <c:numCache>
                      <c:formatCode>#.##0.000</c:formatCode>
                      <c:ptCount val="1"/>
                      <c:pt idx="0">
                        <c:v>25000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EA-5847-963A-EBB120693769}"/>
                  </c:ext>
                </c:extLst>
              </c15:ser>
            </c15:filteredScatterSeries>
          </c:ext>
        </c:extLst>
      </c:scatterChart>
      <c:valAx>
        <c:axId val="379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464"/>
        <c:crosses val="autoZero"/>
        <c:crossBetween val="midCat"/>
      </c:valAx>
      <c:valAx>
        <c:axId val="333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9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/>
              <a:t>LEAST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 050M10 REGRESSION'!$D$1</c:f>
              <c:strCache>
                <c:ptCount val="1"/>
                <c:pt idx="0">
                  <c:v>AL 050M10 Monthly Sales (Y)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'AL 050M10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 050M10 REGRESSION'!$D$2:$D$13</c:f>
              <c:numCache>
                <c:formatCode>#.##0.000</c:formatCode>
                <c:ptCount val="12"/>
                <c:pt idx="0">
                  <c:v>25000</c:v>
                </c:pt>
                <c:pt idx="1">
                  <c:v>24246</c:v>
                </c:pt>
                <c:pt idx="2">
                  <c:v>18792</c:v>
                </c:pt>
                <c:pt idx="3">
                  <c:v>23376</c:v>
                </c:pt>
                <c:pt idx="4">
                  <c:v>23328</c:v>
                </c:pt>
                <c:pt idx="5">
                  <c:v>25714</c:v>
                </c:pt>
                <c:pt idx="6">
                  <c:v>23734</c:v>
                </c:pt>
                <c:pt idx="7">
                  <c:v>24681</c:v>
                </c:pt>
                <c:pt idx="8">
                  <c:v>22222</c:v>
                </c:pt>
                <c:pt idx="9">
                  <c:v>25239</c:v>
                </c:pt>
                <c:pt idx="10">
                  <c:v>20126</c:v>
                </c:pt>
                <c:pt idx="11">
                  <c:v>24781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DA4F-A50B-6BE2EE08D5FD}"/>
            </c:ext>
          </c:extLst>
        </c:ser>
        <c:ser>
          <c:idx val="1"/>
          <c:order val="1"/>
          <c:tx>
            <c:strRef>
              <c:f>'AL 050M10 REGRESSION'!$G$1</c:f>
              <c:strCache>
                <c:ptCount val="1"/>
                <c:pt idx="0">
                  <c:v>FORECASTING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'AL 050M10 REGRESSION'!$C$2:$C$13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 050M10 REGRESSION'!$G$2:$G$13</c:f>
              <c:numCache>
                <c:formatCode>#,##0.00</c:formatCode>
                <c:ptCount val="12"/>
                <c:pt idx="0">
                  <c:v>23399.102564102563</c:v>
                </c:pt>
                <c:pt idx="1">
                  <c:v>23405.917249417245</c:v>
                </c:pt>
                <c:pt idx="2">
                  <c:v>23412.731934731932</c:v>
                </c:pt>
                <c:pt idx="3">
                  <c:v>23419.546620046618</c:v>
                </c:pt>
                <c:pt idx="4">
                  <c:v>23426.361305361304</c:v>
                </c:pt>
                <c:pt idx="5">
                  <c:v>23433.175990675987</c:v>
                </c:pt>
                <c:pt idx="6">
                  <c:v>23439.990675990673</c:v>
                </c:pt>
                <c:pt idx="7">
                  <c:v>23446.80536130536</c:v>
                </c:pt>
                <c:pt idx="8">
                  <c:v>23453.620046620043</c:v>
                </c:pt>
                <c:pt idx="9">
                  <c:v>23460.434731934729</c:v>
                </c:pt>
                <c:pt idx="10">
                  <c:v>23467.249417249415</c:v>
                </c:pt>
                <c:pt idx="11">
                  <c:v>23474.064102564102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A-DA4F-A50B-6BE2EE08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6936"/>
        <c:axId val="576087264"/>
      </c:lineChart>
      <c:catAx>
        <c:axId val="57608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7264"/>
        <c:crosses val="autoZero"/>
        <c:auto val="1"/>
        <c:lblAlgn val="ctr"/>
        <c:lblOffset val="100"/>
        <c:noMultiLvlLbl val="0"/>
      </c:catAx>
      <c:valAx>
        <c:axId val="576087264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800"/>
              <a:t>GRAPH OF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'DIN18516 FORCECAST'!$C$2</c:f>
              <c:strCache>
                <c:ptCount val="1"/>
                <c:pt idx="0">
                  <c:v>DIN 18516 Monthly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'DIN18516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'DIN18516 FORCECAST'!$C$6:$C$14</c:f>
              <c:numCache>
                <c:formatCode>#,##0.00</c:formatCode>
                <c:ptCount val="9"/>
                <c:pt idx="0">
                  <c:v>12566</c:v>
                </c:pt>
                <c:pt idx="1">
                  <c:v>14375</c:v>
                </c:pt>
                <c:pt idx="2">
                  <c:v>13894</c:v>
                </c:pt>
                <c:pt idx="3">
                  <c:v>14796</c:v>
                </c:pt>
                <c:pt idx="4">
                  <c:v>14800</c:v>
                </c:pt>
                <c:pt idx="5">
                  <c:v>13608</c:v>
                </c:pt>
                <c:pt idx="6">
                  <c:v>13252</c:v>
                </c:pt>
                <c:pt idx="7">
                  <c:v>12409</c:v>
                </c:pt>
                <c:pt idx="8">
                  <c:v>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FE4A-9DAD-6E95E0DD797A}"/>
            </c:ext>
          </c:extLst>
        </c:ser>
        <c:ser>
          <c:idx val="1"/>
          <c:order val="1"/>
          <c:tx>
            <c:strRef>
              <c:f>'DIN18516 FORCECAST'!$D$2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'DIN18516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'DIN18516 FORCECAST'!$D$6:$D$14</c:f>
              <c:numCache>
                <c:formatCode>#,##0.00</c:formatCode>
                <c:ptCount val="9"/>
                <c:pt idx="0">
                  <c:v>13084</c:v>
                </c:pt>
                <c:pt idx="1">
                  <c:v>12728.666666666666</c:v>
                </c:pt>
                <c:pt idx="2">
                  <c:v>13502.333333333334</c:v>
                </c:pt>
                <c:pt idx="3">
                  <c:v>13611.666666666666</c:v>
                </c:pt>
                <c:pt idx="4">
                  <c:v>14355</c:v>
                </c:pt>
                <c:pt idx="5">
                  <c:v>14496.666666666666</c:v>
                </c:pt>
                <c:pt idx="6">
                  <c:v>14401.333333333334</c:v>
                </c:pt>
                <c:pt idx="7">
                  <c:v>13886.666666666666</c:v>
                </c:pt>
                <c:pt idx="8">
                  <c:v>13089.666666666666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2-FE4A-9DAD-6E95E0DD797A}"/>
            </c:ext>
          </c:extLst>
        </c:ser>
        <c:ser>
          <c:idx val="2"/>
          <c:order val="2"/>
          <c:tx>
            <c:strRef>
              <c:f>'DIN18516 FORCECAST'!$E$2</c:f>
              <c:strCache>
                <c:ptCount val="1"/>
                <c:pt idx="0">
                  <c:v>3-Month Weighted Moving Average (0,1-0,3-0,6)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'DIN18516 FORCECAST'!$B$6:$B$14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'DIN18516 FORCECAST'!$E$6:$E$14</c:f>
              <c:numCache>
                <c:formatCode>#,##0.00</c:formatCode>
                <c:ptCount val="9"/>
                <c:pt idx="0">
                  <c:v>13176</c:v>
                </c:pt>
                <c:pt idx="1">
                  <c:v>12730.266666666668</c:v>
                </c:pt>
                <c:pt idx="2">
                  <c:v>13730.800000000001</c:v>
                </c:pt>
                <c:pt idx="3">
                  <c:v>13756.666666666666</c:v>
                </c:pt>
                <c:pt idx="4">
                  <c:v>14471.266666666668</c:v>
                </c:pt>
                <c:pt idx="5">
                  <c:v>14617.733333333332</c:v>
                </c:pt>
                <c:pt idx="6">
                  <c:v>14163.466666666667</c:v>
                </c:pt>
                <c:pt idx="7">
                  <c:v>13656.533333333335</c:v>
                </c:pt>
                <c:pt idx="8">
                  <c:v>12873.6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2-FE4A-9DAD-6E95E0DD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5280"/>
        <c:axId val="573772488"/>
      </c:lineChart>
      <c:catAx>
        <c:axId val="57378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2488"/>
        <c:crosses val="autoZero"/>
        <c:auto val="1"/>
        <c:lblAlgn val="ctr"/>
        <c:lblOffset val="100"/>
        <c:noMultiLvlLbl val="0"/>
      </c:catAx>
      <c:valAx>
        <c:axId val="57377248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52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534336</xdr:colOff>
      <xdr:row>20</xdr:row>
      <xdr:rowOff>182793</xdr:rowOff>
    </xdr:from>
    <xdr:to>
      <xdr:col>11</xdr:col>
      <xdr:colOff>1101558</xdr:colOff>
      <xdr:row>53</xdr:row>
      <xdr:rowOff>205206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14A10D1-D8ED-9C06-8DEE-1457FFEA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1381124</xdr:colOff>
      <xdr:row>21</xdr:row>
      <xdr:rowOff>0</xdr:rowOff>
    </xdr:from>
    <xdr:to>
      <xdr:col>5</xdr:col>
      <xdr:colOff>2381250</xdr:colOff>
      <xdr:row>52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1996B-6242-51C9-5FB4-4BBAFAE6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359507</xdr:colOff>
      <xdr:row>0</xdr:row>
      <xdr:rowOff>188057</xdr:rowOff>
    </xdr:from>
    <xdr:to>
      <xdr:col>19</xdr:col>
      <xdr:colOff>270656</xdr:colOff>
      <xdr:row>27</xdr:row>
      <xdr:rowOff>124918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53BD446-D0A4-E544-841A-3578BA01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76933</xdr:colOff>
      <xdr:row>17</xdr:row>
      <xdr:rowOff>152401</xdr:rowOff>
    </xdr:from>
    <xdr:to>
      <xdr:col>6</xdr:col>
      <xdr:colOff>622789</xdr:colOff>
      <xdr:row>34</xdr:row>
      <xdr:rowOff>48846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21F00C9-D008-3549-9FE9-B1DC6656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164122</xdr:colOff>
      <xdr:row>0</xdr:row>
      <xdr:rowOff>114788</xdr:rowOff>
    </xdr:from>
    <xdr:to>
      <xdr:col>19</xdr:col>
      <xdr:colOff>524934</xdr:colOff>
      <xdr:row>23</xdr:row>
      <xdr:rowOff>33867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78C0749-518D-AE0F-2EE1-5A1E3827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592667</xdr:colOff>
      <xdr:row>17</xdr:row>
      <xdr:rowOff>152400</xdr:rowOff>
    </xdr:from>
    <xdr:to>
      <xdr:col>8</xdr:col>
      <xdr:colOff>474134</xdr:colOff>
      <xdr:row>36</xdr:row>
      <xdr:rowOff>186266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A3C6EA9-60AE-627B-9AE1-F584C29F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20</xdr:row>
      <xdr:rowOff>60959</xdr:rowOff>
    </xdr:from>
    <xdr:to>
      <xdr:col>4</xdr:col>
      <xdr:colOff>3200400</xdr:colOff>
      <xdr:row>46</xdr:row>
      <xdr:rowOff>101599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776E116-1058-7E45-BD3C-6E04712B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3424789</xdr:colOff>
      <xdr:row>20</xdr:row>
      <xdr:rowOff>47736</xdr:rowOff>
    </xdr:from>
    <xdr:to>
      <xdr:col>8</xdr:col>
      <xdr:colOff>1270000</xdr:colOff>
      <xdr:row>45</xdr:row>
      <xdr:rowOff>156308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8ADE79D-6A18-204A-8819-1743917BB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103065</xdr:colOff>
      <xdr:row>0</xdr:row>
      <xdr:rowOff>127000</xdr:rowOff>
    </xdr:from>
    <xdr:to>
      <xdr:col>16</xdr:col>
      <xdr:colOff>219808</xdr:colOff>
      <xdr:row>20</xdr:row>
      <xdr:rowOff>12211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8BD2A1-01B5-8F42-B355-2BD31E36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17</xdr:row>
      <xdr:rowOff>152400</xdr:rowOff>
    </xdr:from>
    <xdr:to>
      <xdr:col>7</xdr:col>
      <xdr:colOff>818172</xdr:colOff>
      <xdr:row>37</xdr:row>
      <xdr:rowOff>139699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DFCBE76-2256-464C-84E7-EA07918E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330676</xdr:colOff>
      <xdr:row>19</xdr:row>
      <xdr:rowOff>140332</xdr:rowOff>
    </xdr:from>
    <xdr:to>
      <xdr:col>6</xdr:col>
      <xdr:colOff>2209800</xdr:colOff>
      <xdr:row>63</xdr:row>
      <xdr:rowOff>101600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EE02E3C-91C9-CE44-8C80-2BFBF734A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17560</xdr:colOff>
      <xdr:row>20</xdr:row>
      <xdr:rowOff>10958</xdr:rowOff>
    </xdr:from>
    <xdr:to>
      <xdr:col>12</xdr:col>
      <xdr:colOff>3175000</xdr:colOff>
      <xdr:row>62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4064E77-59F9-6641-9114-A3D50D68D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164122</xdr:colOff>
      <xdr:row>0</xdr:row>
      <xdr:rowOff>90364</xdr:rowOff>
    </xdr:from>
    <xdr:to>
      <xdr:col>18</xdr:col>
      <xdr:colOff>428256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68868C8-BE51-B445-955B-EBFAF6FE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460885</xdr:colOff>
      <xdr:row>17</xdr:row>
      <xdr:rowOff>19493</xdr:rowOff>
    </xdr:from>
    <xdr:to>
      <xdr:col>8</xdr:col>
      <xdr:colOff>590698</xdr:colOff>
      <xdr:row>36</xdr:row>
      <xdr:rowOff>59069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16AF9ED-48DA-EA49-9E34-596E79AAB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350519</xdr:colOff>
      <xdr:row>20</xdr:row>
      <xdr:rowOff>60960</xdr:rowOff>
    </xdr:from>
    <xdr:to>
      <xdr:col>4</xdr:col>
      <xdr:colOff>1134533</xdr:colOff>
      <xdr:row>50</xdr:row>
      <xdr:rowOff>135467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32DEF64-75D5-7245-A823-FA27EEC5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1605061</xdr:colOff>
      <xdr:row>20</xdr:row>
      <xdr:rowOff>30801</xdr:rowOff>
    </xdr:from>
    <xdr:to>
      <xdr:col>8</xdr:col>
      <xdr:colOff>1556773</xdr:colOff>
      <xdr:row>53</xdr:row>
      <xdr:rowOff>102418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814626C-0B39-774D-979D-006E36185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115276</xdr:colOff>
      <xdr:row>0</xdr:row>
      <xdr:rowOff>163634</xdr:rowOff>
    </xdr:from>
    <xdr:to>
      <xdr:col>18</xdr:col>
      <xdr:colOff>39688</xdr:colOff>
      <xdr:row>23</xdr:row>
      <xdr:rowOff>79375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E7472D8-9BF6-4B42-AA82-3FD369A22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292101</xdr:colOff>
      <xdr:row>17</xdr:row>
      <xdr:rowOff>152400</xdr:rowOff>
    </xdr:from>
    <xdr:to>
      <xdr:col>6</xdr:col>
      <xdr:colOff>465261</xdr:colOff>
      <xdr:row>35</xdr:row>
      <xdr:rowOff>63499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FF7672B-4A73-DF46-B7BD-872936E5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350519</xdr:colOff>
      <xdr:row>20</xdr:row>
      <xdr:rowOff>60959</xdr:rowOff>
    </xdr:from>
    <xdr:to>
      <xdr:col>4</xdr:col>
      <xdr:colOff>3095625</xdr:colOff>
      <xdr:row>49</xdr:row>
      <xdr:rowOff>158750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0E2A648-4AFD-E64A-865C-92FF45C9A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3479800</xdr:colOff>
      <xdr:row>20</xdr:row>
      <xdr:rowOff>90335</xdr:rowOff>
    </xdr:from>
    <xdr:to>
      <xdr:col>10</xdr:col>
      <xdr:colOff>277813</xdr:colOff>
      <xdr:row>51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DAD7E05-A1D1-3C4B-B6AC-C5C13175B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"/>
  <sheetViews>
    <sheetView zoomScale="40" zoomScaleNormal="40" workbookViewId="0">
      <selection activeCell="L29" sqref="L29"/>
    </sheetView>
  </sheetViews>
  <sheetFormatPr defaultColWidth="8.77734375" defaultRowHeight="18" x14ac:dyDescent="0.35"/>
  <cols>
    <col min="1" max="1" width="8.77734375" style="1"/>
    <col min="2" max="2" width="44.109375" style="3" bestFit="1" customWidth="1"/>
    <col min="3" max="4" width="33" style="1" bestFit="1" customWidth="1"/>
    <col min="5" max="5" width="61.33203125" style="1" bestFit="1" customWidth="1"/>
    <col min="6" max="6" width="41.109375" style="1" bestFit="1" customWidth="1"/>
    <col min="7" max="7" width="37" style="1" bestFit="1" customWidth="1"/>
    <col min="8" max="8" width="39" style="1" bestFit="1" customWidth="1"/>
    <col min="9" max="9" width="35.6640625" style="1" bestFit="1" customWidth="1"/>
    <col min="10" max="11" width="50.109375" style="1" bestFit="1" customWidth="1"/>
    <col min="12" max="13" width="66" style="1" bestFit="1" customWidth="1"/>
    <col min="14" max="16384" width="8.77734375" style="1"/>
  </cols>
  <sheetData>
    <row r="2" spans="1:13" ht="20.399999999999999" x14ac:dyDescent="0.35">
      <c r="B2" s="4" t="s">
        <v>68</v>
      </c>
      <c r="C2" s="4" t="s">
        <v>14</v>
      </c>
      <c r="D2" s="4" t="s">
        <v>1</v>
      </c>
      <c r="E2" s="4" t="s">
        <v>16</v>
      </c>
      <c r="F2" s="5" t="s">
        <v>17</v>
      </c>
      <c r="G2" s="5" t="s">
        <v>23</v>
      </c>
      <c r="H2" s="5" t="s">
        <v>22</v>
      </c>
      <c r="I2" s="5" t="s">
        <v>24</v>
      </c>
      <c r="J2" s="4" t="s">
        <v>25</v>
      </c>
      <c r="K2" s="4" t="s">
        <v>26</v>
      </c>
      <c r="L2" s="4" t="s">
        <v>27</v>
      </c>
      <c r="M2" s="6" t="s">
        <v>28</v>
      </c>
    </row>
    <row r="3" spans="1:13" ht="17.399999999999999" x14ac:dyDescent="0.3">
      <c r="A3" s="25">
        <v>1</v>
      </c>
      <c r="B3" s="9" t="s">
        <v>2</v>
      </c>
      <c r="C3" s="11">
        <v>30471</v>
      </c>
      <c r="D3" s="11" t="s">
        <v>15</v>
      </c>
      <c r="E3" s="11" t="s">
        <v>15</v>
      </c>
      <c r="F3" s="11">
        <v>31752</v>
      </c>
      <c r="G3" s="11">
        <f>ABS(C3-F3)</f>
        <v>1281</v>
      </c>
      <c r="H3" s="11">
        <v>31752</v>
      </c>
      <c r="I3" s="11">
        <f>ABS(C3-H3)</f>
        <v>1281</v>
      </c>
      <c r="J3" s="11">
        <f>(G3)^2</f>
        <v>1640961</v>
      </c>
      <c r="K3" s="11">
        <f>I3^2</f>
        <v>1640961</v>
      </c>
      <c r="L3" s="12">
        <f>(G3/C3)</f>
        <v>4.203997243280496E-2</v>
      </c>
      <c r="M3" s="13">
        <f>(I3/C3)</f>
        <v>4.203997243280496E-2</v>
      </c>
    </row>
    <row r="4" spans="1:13" ht="17.399999999999999" x14ac:dyDescent="0.3">
      <c r="A4" s="25">
        <v>2</v>
      </c>
      <c r="B4" s="9" t="s">
        <v>3</v>
      </c>
      <c r="C4" s="11">
        <v>31296</v>
      </c>
      <c r="D4" s="11" t="s">
        <v>15</v>
      </c>
      <c r="E4" s="11" t="s">
        <v>15</v>
      </c>
      <c r="F4" s="11">
        <f t="shared" ref="F4:F14" si="0">F3+(0.4*(C3-F3))</f>
        <v>31239.599999999999</v>
      </c>
      <c r="G4" s="11">
        <f>ABS(C4-F4)</f>
        <v>56.400000000001455</v>
      </c>
      <c r="H4" s="11">
        <f t="shared" ref="H4:H14" si="1">H3+(0.2*(C3-H3))</f>
        <v>31495.8</v>
      </c>
      <c r="I4" s="11">
        <f>ABS(C4-H4)</f>
        <v>199.79999999999927</v>
      </c>
      <c r="J4" s="11">
        <f>(G4)^2</f>
        <v>3180.9600000001642</v>
      </c>
      <c r="K4" s="11">
        <f>I4^2</f>
        <v>39920.03999999971</v>
      </c>
      <c r="L4" s="12">
        <f t="shared" ref="L4:L14" si="2">(G4/C4)</f>
        <v>1.8021472392638501E-3</v>
      </c>
      <c r="M4" s="13">
        <f t="shared" ref="M4:M14" si="3">(I4/C4)</f>
        <v>6.3842024539877071E-3</v>
      </c>
    </row>
    <row r="5" spans="1:13" ht="17.399999999999999" x14ac:dyDescent="0.3">
      <c r="A5" s="25">
        <v>3</v>
      </c>
      <c r="B5" s="9" t="s">
        <v>4</v>
      </c>
      <c r="C5" s="11">
        <v>30692</v>
      </c>
      <c r="D5" s="11" t="s">
        <v>15</v>
      </c>
      <c r="E5" s="11" t="s">
        <v>15</v>
      </c>
      <c r="F5" s="11">
        <f t="shared" si="0"/>
        <v>31262.16</v>
      </c>
      <c r="G5" s="11">
        <f t="shared" ref="G5:G14" si="4">ABS(C5-F5)</f>
        <v>570.15999999999985</v>
      </c>
      <c r="H5" s="11">
        <f t="shared" si="1"/>
        <v>31455.84</v>
      </c>
      <c r="I5" s="11">
        <f t="shared" ref="I5:I14" si="5">ABS(C5-H5)</f>
        <v>763.84000000000015</v>
      </c>
      <c r="J5" s="11">
        <f t="shared" ref="J5:J14" si="6">(G5)^2</f>
        <v>325082.42559999984</v>
      </c>
      <c r="K5" s="11">
        <f t="shared" ref="K5:K14" si="7">I5^2</f>
        <v>583451.54560000019</v>
      </c>
      <c r="L5" s="12">
        <f t="shared" si="2"/>
        <v>1.8576827837873056E-2</v>
      </c>
      <c r="M5" s="13">
        <f t="shared" si="3"/>
        <v>2.4887267040271086E-2</v>
      </c>
    </row>
    <row r="6" spans="1:13" ht="17.399999999999999" x14ac:dyDescent="0.3">
      <c r="A6" s="25">
        <v>4</v>
      </c>
      <c r="B6" s="9" t="s">
        <v>5</v>
      </c>
      <c r="C6" s="11">
        <v>31567</v>
      </c>
      <c r="D6" s="11">
        <f t="shared" ref="D6:D14" si="8">(C3+C4+C5)/3</f>
        <v>30819.666666666668</v>
      </c>
      <c r="E6" s="11">
        <f>(C3*0.1+C4*0.3+C5*0.6)/1</f>
        <v>30851.1</v>
      </c>
      <c r="F6" s="11">
        <f t="shared" si="0"/>
        <v>31034.096000000001</v>
      </c>
      <c r="G6" s="11">
        <f t="shared" si="4"/>
        <v>532.90399999999863</v>
      </c>
      <c r="H6" s="11">
        <f t="shared" si="1"/>
        <v>31303.072</v>
      </c>
      <c r="I6" s="11">
        <f t="shared" si="5"/>
        <v>263.92799999999988</v>
      </c>
      <c r="J6" s="11">
        <f t="shared" si="6"/>
        <v>283986.67321599857</v>
      </c>
      <c r="K6" s="11">
        <f t="shared" si="7"/>
        <v>69657.989183999933</v>
      </c>
      <c r="L6" s="12">
        <f t="shared" si="2"/>
        <v>1.6881680235689124E-2</v>
      </c>
      <c r="M6" s="13">
        <f t="shared" si="3"/>
        <v>8.3608832008109698E-3</v>
      </c>
    </row>
    <row r="7" spans="1:13" ht="17.399999999999999" x14ac:dyDescent="0.3">
      <c r="A7" s="25">
        <v>5</v>
      </c>
      <c r="B7" s="9" t="s">
        <v>6</v>
      </c>
      <c r="C7" s="11">
        <v>33398</v>
      </c>
      <c r="D7" s="11">
        <f t="shared" si="8"/>
        <v>31185</v>
      </c>
      <c r="E7" s="11">
        <f t="shared" ref="E7:E14" si="9">(C4*0.1+C5*0.3+C6*0.6)/1</f>
        <v>31277.4</v>
      </c>
      <c r="F7" s="11">
        <f t="shared" si="0"/>
        <v>31247.257600000001</v>
      </c>
      <c r="G7" s="11">
        <f t="shared" si="4"/>
        <v>2150.7423999999992</v>
      </c>
      <c r="H7" s="11">
        <f t="shared" si="1"/>
        <v>31355.857599999999</v>
      </c>
      <c r="I7" s="11">
        <f t="shared" si="5"/>
        <v>2042.1424000000006</v>
      </c>
      <c r="J7" s="11">
        <f t="shared" si="6"/>
        <v>4625692.8711577561</v>
      </c>
      <c r="K7" s="11">
        <f t="shared" si="7"/>
        <v>4170345.5818777625</v>
      </c>
      <c r="L7" s="12">
        <f t="shared" si="2"/>
        <v>6.4397341158153154E-2</v>
      </c>
      <c r="M7" s="13">
        <f t="shared" si="3"/>
        <v>6.1145649440086249E-2</v>
      </c>
    </row>
    <row r="8" spans="1:13" ht="17.399999999999999" x14ac:dyDescent="0.3">
      <c r="A8" s="25">
        <v>6</v>
      </c>
      <c r="B8" s="9" t="s">
        <v>7</v>
      </c>
      <c r="C8" s="11">
        <v>32961</v>
      </c>
      <c r="D8" s="11">
        <f t="shared" si="8"/>
        <v>31885.666666666668</v>
      </c>
      <c r="E8" s="11">
        <f>(C5*0.1+C6*0.3+C7*0.6)/1</f>
        <v>32578.1</v>
      </c>
      <c r="F8" s="11">
        <f t="shared" si="0"/>
        <v>32107.55456</v>
      </c>
      <c r="G8" s="11">
        <f t="shared" si="4"/>
        <v>853.44543999999951</v>
      </c>
      <c r="H8" s="11">
        <f t="shared" si="1"/>
        <v>31764.286079999998</v>
      </c>
      <c r="I8" s="11">
        <f t="shared" si="5"/>
        <v>1196.713920000002</v>
      </c>
      <c r="J8" s="11">
        <f t="shared" si="6"/>
        <v>728369.11905679281</v>
      </c>
      <c r="K8" s="11">
        <f t="shared" si="7"/>
        <v>1432124.206321771</v>
      </c>
      <c r="L8" s="12">
        <f t="shared" si="2"/>
        <v>2.5892583356087483E-2</v>
      </c>
      <c r="M8" s="13">
        <f t="shared" si="3"/>
        <v>3.6306966414853981E-2</v>
      </c>
    </row>
    <row r="9" spans="1:13" ht="17.399999999999999" x14ac:dyDescent="0.3">
      <c r="A9" s="25">
        <v>7</v>
      </c>
      <c r="B9" s="9" t="s">
        <v>8</v>
      </c>
      <c r="C9" s="11">
        <v>33327</v>
      </c>
      <c r="D9" s="11">
        <f t="shared" si="8"/>
        <v>32642</v>
      </c>
      <c r="E9" s="11">
        <f t="shared" si="9"/>
        <v>32952.699999999997</v>
      </c>
      <c r="F9" s="11">
        <f t="shared" si="0"/>
        <v>32448.932735999999</v>
      </c>
      <c r="G9" s="11">
        <f t="shared" si="4"/>
        <v>878.06726400000116</v>
      </c>
      <c r="H9" s="11">
        <f t="shared" si="1"/>
        <v>32003.628863999998</v>
      </c>
      <c r="I9" s="11">
        <f t="shared" si="5"/>
        <v>1323.3711360000016</v>
      </c>
      <c r="J9" s="11">
        <f t="shared" si="6"/>
        <v>771002.12010844774</v>
      </c>
      <c r="K9" s="11">
        <f t="shared" si="7"/>
        <v>1751311.1635979346</v>
      </c>
      <c r="L9" s="12">
        <f t="shared" si="2"/>
        <v>2.6347023854532397E-2</v>
      </c>
      <c r="M9" s="13">
        <f t="shared" si="3"/>
        <v>3.970867872895855E-2</v>
      </c>
    </row>
    <row r="10" spans="1:13" ht="17.399999999999999" x14ac:dyDescent="0.3">
      <c r="A10" s="25">
        <v>8</v>
      </c>
      <c r="B10" s="9" t="s">
        <v>9</v>
      </c>
      <c r="C10" s="11">
        <v>34681</v>
      </c>
      <c r="D10" s="11">
        <f t="shared" si="8"/>
        <v>33228.666666666664</v>
      </c>
      <c r="E10" s="11">
        <f t="shared" si="9"/>
        <v>33224.300000000003</v>
      </c>
      <c r="F10" s="11">
        <f t="shared" si="0"/>
        <v>32800.159641599996</v>
      </c>
      <c r="G10" s="11">
        <f t="shared" si="4"/>
        <v>1880.8403584000043</v>
      </c>
      <c r="H10" s="11">
        <f t="shared" si="1"/>
        <v>32268.303091199999</v>
      </c>
      <c r="I10" s="11">
        <f t="shared" si="5"/>
        <v>2412.6969088000005</v>
      </c>
      <c r="J10" s="11">
        <f t="shared" si="6"/>
        <v>3537560.4537862567</v>
      </c>
      <c r="K10" s="11">
        <f t="shared" si="7"/>
        <v>5821106.3737330781</v>
      </c>
      <c r="L10" s="12">
        <f t="shared" si="2"/>
        <v>5.4232587249502737E-2</v>
      </c>
      <c r="M10" s="13">
        <f t="shared" si="3"/>
        <v>6.9568262414578599E-2</v>
      </c>
    </row>
    <row r="11" spans="1:13" ht="17.399999999999999" x14ac:dyDescent="0.3">
      <c r="A11" s="25">
        <v>9</v>
      </c>
      <c r="B11" s="9" t="s">
        <v>10</v>
      </c>
      <c r="C11" s="11">
        <v>33942</v>
      </c>
      <c r="D11" s="11">
        <f t="shared" si="8"/>
        <v>33656.333333333336</v>
      </c>
      <c r="E11" s="11">
        <f t="shared" si="9"/>
        <v>34102.800000000003</v>
      </c>
      <c r="F11" s="11">
        <f t="shared" si="0"/>
        <v>33552.495784959996</v>
      </c>
      <c r="G11" s="11">
        <f t="shared" si="4"/>
        <v>389.50421504000406</v>
      </c>
      <c r="H11" s="11">
        <f t="shared" si="1"/>
        <v>32750.842472960001</v>
      </c>
      <c r="I11" s="11">
        <f t="shared" si="5"/>
        <v>1191.157527039999</v>
      </c>
      <c r="J11" s="11">
        <f t="shared" si="6"/>
        <v>151713.53353392973</v>
      </c>
      <c r="K11" s="11">
        <f t="shared" si="7"/>
        <v>1418856.2542240459</v>
      </c>
      <c r="L11" s="12">
        <f t="shared" si="2"/>
        <v>1.1475582318072124E-2</v>
      </c>
      <c r="M11" s="13">
        <f t="shared" si="3"/>
        <v>3.5093910996405603E-2</v>
      </c>
    </row>
    <row r="12" spans="1:13" ht="17.399999999999999" x14ac:dyDescent="0.3">
      <c r="A12" s="25">
        <v>10</v>
      </c>
      <c r="B12" s="9" t="s">
        <v>11</v>
      </c>
      <c r="C12" s="11">
        <v>33472</v>
      </c>
      <c r="D12" s="11">
        <f t="shared" si="8"/>
        <v>33983.333333333336</v>
      </c>
      <c r="E12" s="11">
        <f t="shared" si="9"/>
        <v>34102.199999999997</v>
      </c>
      <c r="F12" s="11">
        <f t="shared" si="0"/>
        <v>33708.297470975995</v>
      </c>
      <c r="G12" s="11">
        <f t="shared" si="4"/>
        <v>236.29747097599466</v>
      </c>
      <c r="H12" s="11">
        <f t="shared" si="1"/>
        <v>32989.073978368004</v>
      </c>
      <c r="I12" s="11">
        <f t="shared" si="5"/>
        <v>482.92602163199626</v>
      </c>
      <c r="J12" s="11">
        <f t="shared" si="6"/>
        <v>55836.494789651035</v>
      </c>
      <c r="K12" s="11">
        <f t="shared" si="7"/>
        <v>233217.54236930731</v>
      </c>
      <c r="L12" s="12">
        <f t="shared" si="2"/>
        <v>7.059556374760835E-3</v>
      </c>
      <c r="M12" s="13">
        <f t="shared" si="3"/>
        <v>1.4427761162523789E-2</v>
      </c>
    </row>
    <row r="13" spans="1:13" ht="17.399999999999999" x14ac:dyDescent="0.3">
      <c r="A13" s="25">
        <v>11</v>
      </c>
      <c r="B13" s="9" t="s">
        <v>12</v>
      </c>
      <c r="C13" s="11">
        <v>34882</v>
      </c>
      <c r="D13" s="11">
        <f t="shared" si="8"/>
        <v>34031.666666666664</v>
      </c>
      <c r="E13" s="11">
        <f t="shared" si="9"/>
        <v>33733.9</v>
      </c>
      <c r="F13" s="11">
        <f t="shared" si="0"/>
        <v>33613.7784825856</v>
      </c>
      <c r="G13" s="11">
        <f t="shared" si="4"/>
        <v>1268.2215174144003</v>
      </c>
      <c r="H13" s="11">
        <f t="shared" si="1"/>
        <v>33085.659182694406</v>
      </c>
      <c r="I13" s="11">
        <f t="shared" si="5"/>
        <v>1796.3408173055941</v>
      </c>
      <c r="J13" s="11">
        <f t="shared" si="6"/>
        <v>1608385.817232884</v>
      </c>
      <c r="K13" s="11">
        <f t="shared" si="7"/>
        <v>3226840.3319181297</v>
      </c>
      <c r="L13" s="12">
        <f t="shared" si="2"/>
        <v>3.6357477134751459E-2</v>
      </c>
      <c r="M13" s="13">
        <f t="shared" si="3"/>
        <v>5.1497643979863374E-2</v>
      </c>
    </row>
    <row r="14" spans="1:13" ht="17.399999999999999" x14ac:dyDescent="0.3">
      <c r="A14" s="25">
        <v>12</v>
      </c>
      <c r="B14" s="10" t="s">
        <v>13</v>
      </c>
      <c r="C14" s="14">
        <v>35702</v>
      </c>
      <c r="D14" s="14">
        <f t="shared" si="8"/>
        <v>34098.666666666664</v>
      </c>
      <c r="E14" s="14">
        <f t="shared" si="9"/>
        <v>34365</v>
      </c>
      <c r="F14" s="14">
        <f t="shared" si="0"/>
        <v>34121.067089551361</v>
      </c>
      <c r="G14" s="14">
        <f t="shared" si="4"/>
        <v>1580.9329104486387</v>
      </c>
      <c r="H14" s="14">
        <f t="shared" si="1"/>
        <v>33444.927346155528</v>
      </c>
      <c r="I14" s="14">
        <f t="shared" si="5"/>
        <v>2257.0726538444724</v>
      </c>
      <c r="J14" s="14">
        <f t="shared" si="6"/>
        <v>2499348.8673396036</v>
      </c>
      <c r="K14" s="14">
        <f t="shared" si="7"/>
        <v>5094376.9647325296</v>
      </c>
      <c r="L14" s="12">
        <f t="shared" si="2"/>
        <v>4.4281354278433667E-2</v>
      </c>
      <c r="M14" s="13">
        <f t="shared" si="3"/>
        <v>6.3219781912623174E-2</v>
      </c>
    </row>
    <row r="15" spans="1:13" x14ac:dyDescent="0.35">
      <c r="B15" s="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17.399999999999999" x14ac:dyDescent="0.3">
      <c r="B16" s="7" t="s">
        <v>18</v>
      </c>
      <c r="C16" s="16">
        <f>SUM(C3:C14)</f>
        <v>396391</v>
      </c>
      <c r="D16" s="17"/>
      <c r="E16" s="17"/>
      <c r="F16" s="17"/>
      <c r="G16" s="18">
        <f>SUM(G3:G14)</f>
        <v>11678.515576279042</v>
      </c>
      <c r="H16" s="17"/>
      <c r="I16" s="16">
        <f>SUM(I3:I14)</f>
        <v>15210.989384622066</v>
      </c>
      <c r="J16" s="16">
        <f>SUM(J3:J14)</f>
        <v>16231120.335821319</v>
      </c>
      <c r="K16" s="16">
        <f>SUM(K3:K14)</f>
        <v>25482168.993558556</v>
      </c>
      <c r="L16" s="19">
        <f>SUM(L3:L14)</f>
        <v>0.34934413346992482</v>
      </c>
      <c r="M16" s="20">
        <f>SUM(M3:M14)</f>
        <v>0.45264098017776805</v>
      </c>
    </row>
    <row r="17" spans="2:13" ht="17.399999999999999" x14ac:dyDescent="0.3">
      <c r="B17" s="8" t="s">
        <v>19</v>
      </c>
      <c r="C17" s="21"/>
      <c r="D17" s="21"/>
      <c r="E17" s="21"/>
      <c r="F17" s="22"/>
      <c r="G17" s="26">
        <f>G16/12</f>
        <v>973.20963135658678</v>
      </c>
      <c r="H17" s="22"/>
      <c r="I17" s="26">
        <f>I16/12</f>
        <v>1267.5824487185055</v>
      </c>
      <c r="J17" s="21"/>
      <c r="K17" s="21"/>
      <c r="L17" s="23"/>
      <c r="M17" s="21"/>
    </row>
    <row r="18" spans="2:13" ht="17.399999999999999" x14ac:dyDescent="0.3">
      <c r="B18" s="8" t="s">
        <v>20</v>
      </c>
      <c r="C18" s="21"/>
      <c r="D18" s="21"/>
      <c r="E18" s="21"/>
      <c r="F18" s="21"/>
      <c r="G18" s="21"/>
      <c r="H18" s="21"/>
      <c r="I18" s="21"/>
      <c r="J18" s="26">
        <f>J16/12</f>
        <v>1352593.3613184432</v>
      </c>
      <c r="K18" s="26">
        <f>K16/12</f>
        <v>2123514.0827965462</v>
      </c>
      <c r="L18" s="23"/>
      <c r="M18" s="21"/>
    </row>
    <row r="19" spans="2:13" ht="17.399999999999999" x14ac:dyDescent="0.3">
      <c r="B19" s="8" t="s">
        <v>21</v>
      </c>
      <c r="C19" s="21"/>
      <c r="D19" s="21"/>
      <c r="E19" s="21"/>
      <c r="F19" s="21"/>
      <c r="G19" s="21"/>
      <c r="H19" s="21"/>
      <c r="I19" s="21"/>
      <c r="J19" s="24"/>
      <c r="K19" s="24"/>
      <c r="L19" s="27">
        <f>L16/12</f>
        <v>2.9112011122493734E-2</v>
      </c>
      <c r="M19" s="28">
        <f>M16/12</f>
        <v>3.7720081681480673E-2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006B-C728-4D41-B411-C13405963C0C}">
  <dimension ref="A1:I16"/>
  <sheetViews>
    <sheetView zoomScale="61" workbookViewId="0">
      <selection activeCell="O41" sqref="O41"/>
    </sheetView>
  </sheetViews>
  <sheetFormatPr defaultColWidth="11.44140625" defaultRowHeight="15.6" x14ac:dyDescent="0.3"/>
  <cols>
    <col min="1" max="1" width="11.77734375" style="49" bestFit="1" customWidth="1"/>
    <col min="2" max="2" width="13.6640625" style="49" bestFit="1" customWidth="1"/>
    <col min="3" max="3" width="10.6640625" style="49" bestFit="1" customWidth="1"/>
    <col min="4" max="4" width="49" style="49" bestFit="1" customWidth="1"/>
    <col min="5" max="5" width="8.33203125" style="49" bestFit="1" customWidth="1"/>
    <col min="6" max="6" width="13.77734375" style="49" bestFit="1" customWidth="1"/>
    <col min="7" max="7" width="19.6640625" style="49" bestFit="1" customWidth="1"/>
    <col min="8" max="8" width="4" style="49" bestFit="1" customWidth="1"/>
    <col min="9" max="9" width="13.44140625" style="49" bestFit="1" customWidth="1"/>
    <col min="10" max="16384" width="11.44140625" style="49"/>
  </cols>
  <sheetData>
    <row r="1" spans="1:9" ht="17.399999999999999" x14ac:dyDescent="0.3">
      <c r="A1" s="100"/>
      <c r="B1" s="35" t="s">
        <v>35</v>
      </c>
      <c r="C1" s="36" t="s">
        <v>0</v>
      </c>
      <c r="D1" s="36" t="s">
        <v>75</v>
      </c>
      <c r="E1" s="35" t="s">
        <v>29</v>
      </c>
      <c r="F1" s="35" t="s">
        <v>30</v>
      </c>
      <c r="G1" s="35" t="s">
        <v>37</v>
      </c>
    </row>
    <row r="2" spans="1:9" x14ac:dyDescent="0.3">
      <c r="A2" s="100"/>
      <c r="B2" s="34">
        <v>1</v>
      </c>
      <c r="C2" s="33" t="s">
        <v>2</v>
      </c>
      <c r="D2" s="33">
        <v>41898</v>
      </c>
      <c r="E2" s="101">
        <f>B2^2</f>
        <v>1</v>
      </c>
      <c r="F2" s="101">
        <f>B2*D2</f>
        <v>41898</v>
      </c>
      <c r="G2" s="101">
        <f>$I$7+$I$6*B2</f>
        <v>42178.282051282054</v>
      </c>
    </row>
    <row r="3" spans="1:9" x14ac:dyDescent="0.3">
      <c r="A3" s="100"/>
      <c r="B3" s="34">
        <v>2</v>
      </c>
      <c r="C3" s="33" t="s">
        <v>3</v>
      </c>
      <c r="D3" s="33">
        <v>41226</v>
      </c>
      <c r="E3" s="101">
        <f t="shared" ref="E3:E13" si="0">B3^2</f>
        <v>4</v>
      </c>
      <c r="F3" s="101">
        <f t="shared" ref="F3:F13" si="1">B3*D3</f>
        <v>82452</v>
      </c>
      <c r="G3" s="101">
        <f>$I$7+$I$6*B3</f>
        <v>42323.579254079254</v>
      </c>
    </row>
    <row r="4" spans="1:9" x14ac:dyDescent="0.3">
      <c r="A4" s="100"/>
      <c r="B4" s="34">
        <v>3</v>
      </c>
      <c r="C4" s="33" t="s">
        <v>4</v>
      </c>
      <c r="D4" s="33">
        <v>43563</v>
      </c>
      <c r="E4" s="101">
        <f t="shared" si="0"/>
        <v>9</v>
      </c>
      <c r="F4" s="101">
        <f t="shared" si="1"/>
        <v>130689</v>
      </c>
      <c r="G4" s="101">
        <f>$I$7+$I$6*B4</f>
        <v>42468.87645687646</v>
      </c>
    </row>
    <row r="5" spans="1:9" x14ac:dyDescent="0.3">
      <c r="A5" s="100"/>
      <c r="B5" s="34">
        <v>4</v>
      </c>
      <c r="C5" s="33" t="s">
        <v>5</v>
      </c>
      <c r="D5" s="33">
        <v>41390</v>
      </c>
      <c r="E5" s="101">
        <f t="shared" si="0"/>
        <v>16</v>
      </c>
      <c r="F5" s="101">
        <f t="shared" si="1"/>
        <v>165560</v>
      </c>
      <c r="G5" s="101">
        <f t="shared" ref="G5:G13" si="2">$I$7+$I$6*B5</f>
        <v>42614.173659673659</v>
      </c>
    </row>
    <row r="6" spans="1:9" x14ac:dyDescent="0.3">
      <c r="A6" s="100"/>
      <c r="B6" s="34">
        <v>5</v>
      </c>
      <c r="C6" s="33" t="s">
        <v>6</v>
      </c>
      <c r="D6" s="33">
        <v>43299</v>
      </c>
      <c r="E6" s="101">
        <f t="shared" si="0"/>
        <v>25</v>
      </c>
      <c r="F6" s="101">
        <f t="shared" si="1"/>
        <v>216495</v>
      </c>
      <c r="G6" s="101">
        <f>$I$7+$I$6*B6</f>
        <v>42759.470862470866</v>
      </c>
      <c r="H6" s="103" t="s">
        <v>33</v>
      </c>
      <c r="I6" s="34">
        <f>(F15-(12*B16*D16))/(E15-(12*(B16^2)))</f>
        <v>145.2972027972028</v>
      </c>
    </row>
    <row r="7" spans="1:9" x14ac:dyDescent="0.3">
      <c r="A7" s="100"/>
      <c r="B7" s="34">
        <v>6</v>
      </c>
      <c r="C7" s="33" t="s">
        <v>7</v>
      </c>
      <c r="D7" s="33">
        <v>43507</v>
      </c>
      <c r="E7" s="101">
        <f t="shared" si="0"/>
        <v>36</v>
      </c>
      <c r="F7" s="101">
        <f t="shared" si="1"/>
        <v>261042</v>
      </c>
      <c r="G7" s="101">
        <f>$I$7+$I$6*B7</f>
        <v>42904.768065268065</v>
      </c>
      <c r="H7" s="103" t="s">
        <v>34</v>
      </c>
      <c r="I7" s="34">
        <f>D16-I6*B16</f>
        <v>42032.984848484848</v>
      </c>
    </row>
    <row r="8" spans="1:9" x14ac:dyDescent="0.3">
      <c r="A8" s="100"/>
      <c r="B8" s="34">
        <v>7</v>
      </c>
      <c r="C8" s="33" t="s">
        <v>8</v>
      </c>
      <c r="D8" s="33">
        <v>44166</v>
      </c>
      <c r="E8" s="101">
        <f t="shared" si="0"/>
        <v>49</v>
      </c>
      <c r="F8" s="101">
        <f t="shared" si="1"/>
        <v>309162</v>
      </c>
      <c r="G8" s="101">
        <f t="shared" si="2"/>
        <v>43050.065268065271</v>
      </c>
    </row>
    <row r="9" spans="1:9" x14ac:dyDescent="0.3">
      <c r="A9" s="100"/>
      <c r="B9" s="34">
        <v>8</v>
      </c>
      <c r="C9" s="33" t="s">
        <v>9</v>
      </c>
      <c r="D9" s="33">
        <v>43967</v>
      </c>
      <c r="E9" s="101">
        <f t="shared" si="0"/>
        <v>64</v>
      </c>
      <c r="F9" s="101">
        <f t="shared" si="1"/>
        <v>351736</v>
      </c>
      <c r="G9" s="101">
        <f>$I$7+$I$6*B9</f>
        <v>43195.36247086247</v>
      </c>
    </row>
    <row r="10" spans="1:9" x14ac:dyDescent="0.3">
      <c r="A10" s="100"/>
      <c r="B10" s="34">
        <v>9</v>
      </c>
      <c r="C10" s="33" t="s">
        <v>10</v>
      </c>
      <c r="D10" s="33">
        <v>42290</v>
      </c>
      <c r="E10" s="101">
        <f t="shared" si="0"/>
        <v>81</v>
      </c>
      <c r="F10" s="101">
        <f t="shared" si="1"/>
        <v>380610</v>
      </c>
      <c r="G10" s="101">
        <f>$I$7+$I$6*B10</f>
        <v>43340.659673659677</v>
      </c>
    </row>
    <row r="11" spans="1:9" x14ac:dyDescent="0.3">
      <c r="A11" s="100"/>
      <c r="B11" s="34">
        <v>10</v>
      </c>
      <c r="C11" s="33" t="s">
        <v>11</v>
      </c>
      <c r="D11" s="33">
        <v>43429</v>
      </c>
      <c r="E11" s="101">
        <f t="shared" si="0"/>
        <v>100</v>
      </c>
      <c r="F11" s="101">
        <f t="shared" si="1"/>
        <v>434290</v>
      </c>
      <c r="G11" s="101">
        <f t="shared" si="2"/>
        <v>43485.956876456876</v>
      </c>
    </row>
    <row r="12" spans="1:9" x14ac:dyDescent="0.3">
      <c r="A12" s="100"/>
      <c r="B12" s="34">
        <v>11</v>
      </c>
      <c r="C12" s="33" t="s">
        <v>12</v>
      </c>
      <c r="D12" s="33">
        <v>44846</v>
      </c>
      <c r="E12" s="101">
        <f t="shared" si="0"/>
        <v>121</v>
      </c>
      <c r="F12" s="101">
        <f t="shared" si="1"/>
        <v>493306</v>
      </c>
      <c r="G12" s="101">
        <f t="shared" si="2"/>
        <v>43631.254079254082</v>
      </c>
    </row>
    <row r="13" spans="1:9" x14ac:dyDescent="0.3">
      <c r="A13" s="100"/>
      <c r="B13" s="34">
        <v>12</v>
      </c>
      <c r="C13" s="33" t="s">
        <v>13</v>
      </c>
      <c r="D13" s="52">
        <v>42148</v>
      </c>
      <c r="E13" s="101">
        <f t="shared" si="0"/>
        <v>144</v>
      </c>
      <c r="F13" s="101">
        <f t="shared" si="1"/>
        <v>505776</v>
      </c>
      <c r="G13" s="101">
        <f t="shared" si="2"/>
        <v>43776.551282051281</v>
      </c>
    </row>
    <row r="14" spans="1:9" x14ac:dyDescent="0.3">
      <c r="A14" s="100"/>
      <c r="B14" s="100"/>
      <c r="C14" s="100"/>
      <c r="D14" s="100"/>
      <c r="E14" s="100"/>
      <c r="F14" s="100"/>
    </row>
    <row r="15" spans="1:9" x14ac:dyDescent="0.3">
      <c r="A15" s="102" t="s">
        <v>31</v>
      </c>
      <c r="B15" s="34">
        <f>SUM(B2:B13)</f>
        <v>78</v>
      </c>
      <c r="C15" s="34"/>
      <c r="D15" s="33">
        <f>SUM(D2:D13)</f>
        <v>515729</v>
      </c>
      <c r="E15" s="33">
        <f t="shared" ref="E15" si="3">SUM(E2:E13)</f>
        <v>650</v>
      </c>
      <c r="F15" s="33">
        <f>SUM(F2:F13)</f>
        <v>3373016</v>
      </c>
    </row>
    <row r="16" spans="1:9" x14ac:dyDescent="0.3">
      <c r="A16" s="102" t="s">
        <v>32</v>
      </c>
      <c r="B16" s="34">
        <f>AVERAGE(B2:B13)</f>
        <v>6.5</v>
      </c>
      <c r="C16" s="34"/>
      <c r="D16" s="33">
        <f>AVERAGE(D2:D13)</f>
        <v>42977.416666666664</v>
      </c>
      <c r="E16" s="33">
        <f>AVERAGE(E2:E13)</f>
        <v>54.166666666666664</v>
      </c>
      <c r="F16" s="33">
        <f t="shared" ref="F16" si="4">AVERAGE(F2:F13)</f>
        <v>281084.66666666669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6AF6-7122-7F4E-BBE0-66826522BA73}">
  <dimension ref="A1:I16"/>
  <sheetViews>
    <sheetView zoomScale="75" workbookViewId="0">
      <selection activeCell="U14" sqref="U14"/>
    </sheetView>
  </sheetViews>
  <sheetFormatPr defaultColWidth="11.44140625" defaultRowHeight="18" x14ac:dyDescent="0.3"/>
  <cols>
    <col min="1" max="1" width="14" style="30" bestFit="1" customWidth="1"/>
    <col min="2" max="2" width="13.6640625" style="30" bestFit="1" customWidth="1"/>
    <col min="3" max="3" width="12.109375" style="30" bestFit="1" customWidth="1"/>
    <col min="4" max="4" width="32.44140625" style="30" bestFit="1" customWidth="1"/>
    <col min="5" max="5" width="9.44140625" style="30" bestFit="1" customWidth="1"/>
    <col min="6" max="6" width="16" style="30" bestFit="1" customWidth="1"/>
    <col min="7" max="7" width="19.6640625" style="30" bestFit="1" customWidth="1"/>
    <col min="8" max="8" width="4.44140625" style="30" bestFit="1" customWidth="1"/>
    <col min="9" max="9" width="15.109375" style="30" bestFit="1" customWidth="1"/>
    <col min="10" max="16384" width="11.44140625" style="30"/>
  </cols>
  <sheetData>
    <row r="1" spans="1:9" x14ac:dyDescent="0.3">
      <c r="A1" s="29"/>
      <c r="B1" s="35" t="s">
        <v>35</v>
      </c>
      <c r="C1" s="36" t="s">
        <v>0</v>
      </c>
      <c r="D1" s="36" t="s">
        <v>36</v>
      </c>
      <c r="E1" s="35" t="s">
        <v>29</v>
      </c>
      <c r="F1" s="35" t="s">
        <v>30</v>
      </c>
      <c r="G1" s="35" t="s">
        <v>37</v>
      </c>
    </row>
    <row r="2" spans="1:9" x14ac:dyDescent="0.3">
      <c r="A2" s="29"/>
      <c r="B2" s="34">
        <v>1</v>
      </c>
      <c r="C2" s="32" t="s">
        <v>2</v>
      </c>
      <c r="D2" s="33">
        <v>30471</v>
      </c>
      <c r="E2" s="34">
        <f>B2^2</f>
        <v>1</v>
      </c>
      <c r="F2" s="34">
        <f>B2*D2</f>
        <v>30471</v>
      </c>
      <c r="G2" s="34">
        <f>$I$7+$I$6*B2</f>
        <v>30621.717948717953</v>
      </c>
    </row>
    <row r="3" spans="1:9" x14ac:dyDescent="0.3">
      <c r="A3" s="29"/>
      <c r="B3" s="34">
        <v>2</v>
      </c>
      <c r="C3" s="32" t="s">
        <v>3</v>
      </c>
      <c r="D3" s="33">
        <v>31296</v>
      </c>
      <c r="E3" s="34">
        <f t="shared" ref="E3:E13" si="0">B3^2</f>
        <v>4</v>
      </c>
      <c r="F3" s="34">
        <f t="shared" ref="F3:F13" si="1">B3*D3</f>
        <v>62592</v>
      </c>
      <c r="G3" s="34">
        <f>$I$7+$I$6*B3</f>
        <v>31060.057109557114</v>
      </c>
    </row>
    <row r="4" spans="1:9" x14ac:dyDescent="0.3">
      <c r="A4" s="29"/>
      <c r="B4" s="34">
        <v>3</v>
      </c>
      <c r="C4" s="32" t="s">
        <v>4</v>
      </c>
      <c r="D4" s="33">
        <v>30692</v>
      </c>
      <c r="E4" s="34">
        <f t="shared" si="0"/>
        <v>9</v>
      </c>
      <c r="F4" s="34">
        <f t="shared" si="1"/>
        <v>92076</v>
      </c>
      <c r="G4" s="34">
        <f>$I$7+$I$6*B4</f>
        <v>31498.396270396275</v>
      </c>
    </row>
    <row r="5" spans="1:9" x14ac:dyDescent="0.3">
      <c r="A5" s="29"/>
      <c r="B5" s="34">
        <v>4</v>
      </c>
      <c r="C5" s="32" t="s">
        <v>5</v>
      </c>
      <c r="D5" s="33">
        <v>31567</v>
      </c>
      <c r="E5" s="34">
        <f t="shared" si="0"/>
        <v>16</v>
      </c>
      <c r="F5" s="34">
        <f t="shared" si="1"/>
        <v>126268</v>
      </c>
      <c r="G5" s="34">
        <f t="shared" ref="G5:G13" si="2">$I$7+$I$6*B5</f>
        <v>31936.735431235436</v>
      </c>
    </row>
    <row r="6" spans="1:9" x14ac:dyDescent="0.3">
      <c r="A6" s="29"/>
      <c r="B6" s="34">
        <v>5</v>
      </c>
      <c r="C6" s="32" t="s">
        <v>6</v>
      </c>
      <c r="D6" s="33">
        <v>33398</v>
      </c>
      <c r="E6" s="34">
        <f t="shared" si="0"/>
        <v>25</v>
      </c>
      <c r="F6" s="34">
        <f t="shared" si="1"/>
        <v>166990</v>
      </c>
      <c r="G6" s="34">
        <f>$I$7+$I$6*B6</f>
        <v>32375.074592074598</v>
      </c>
      <c r="H6" s="37" t="s">
        <v>33</v>
      </c>
      <c r="I6" s="31">
        <f>(F15-(12*B16*D16))/(E15-(12*(B16^2)))</f>
        <v>438.33916083916085</v>
      </c>
    </row>
    <row r="7" spans="1:9" x14ac:dyDescent="0.3">
      <c r="A7" s="29"/>
      <c r="B7" s="34">
        <v>6</v>
      </c>
      <c r="C7" s="32" t="s">
        <v>7</v>
      </c>
      <c r="D7" s="33">
        <v>32961</v>
      </c>
      <c r="E7" s="34">
        <f t="shared" si="0"/>
        <v>36</v>
      </c>
      <c r="F7" s="34">
        <f t="shared" si="1"/>
        <v>197766</v>
      </c>
      <c r="G7" s="34">
        <f>$I$7+$I$6*B7</f>
        <v>32813.413752913759</v>
      </c>
      <c r="H7" s="37" t="s">
        <v>34</v>
      </c>
      <c r="I7" s="31">
        <f>D16-I6*B16</f>
        <v>30183.378787878792</v>
      </c>
    </row>
    <row r="8" spans="1:9" x14ac:dyDescent="0.3">
      <c r="A8" s="29"/>
      <c r="B8" s="34">
        <v>7</v>
      </c>
      <c r="C8" s="32" t="s">
        <v>8</v>
      </c>
      <c r="D8" s="33">
        <v>33327</v>
      </c>
      <c r="E8" s="34">
        <f t="shared" si="0"/>
        <v>49</v>
      </c>
      <c r="F8" s="34">
        <f t="shared" si="1"/>
        <v>233289</v>
      </c>
      <c r="G8" s="34">
        <f t="shared" si="2"/>
        <v>33251.75291375292</v>
      </c>
    </row>
    <row r="9" spans="1:9" x14ac:dyDescent="0.3">
      <c r="A9" s="29"/>
      <c r="B9" s="34">
        <v>8</v>
      </c>
      <c r="C9" s="32" t="s">
        <v>9</v>
      </c>
      <c r="D9" s="33">
        <v>34681</v>
      </c>
      <c r="E9" s="34">
        <f t="shared" si="0"/>
        <v>64</v>
      </c>
      <c r="F9" s="34">
        <f t="shared" si="1"/>
        <v>277448</v>
      </c>
      <c r="G9" s="34">
        <f>$I$7+$I$6*B9</f>
        <v>33690.092074592081</v>
      </c>
    </row>
    <row r="10" spans="1:9" x14ac:dyDescent="0.3">
      <c r="A10" s="29"/>
      <c r="B10" s="34">
        <v>9</v>
      </c>
      <c r="C10" s="32" t="s">
        <v>10</v>
      </c>
      <c r="D10" s="33">
        <v>33942</v>
      </c>
      <c r="E10" s="34">
        <f t="shared" si="0"/>
        <v>81</v>
      </c>
      <c r="F10" s="34">
        <f t="shared" si="1"/>
        <v>305478</v>
      </c>
      <c r="G10" s="34">
        <f>$I$7+$I$6*B10</f>
        <v>34128.431235431242</v>
      </c>
    </row>
    <row r="11" spans="1:9" x14ac:dyDescent="0.3">
      <c r="A11" s="29"/>
      <c r="B11" s="34">
        <v>10</v>
      </c>
      <c r="C11" s="32" t="s">
        <v>11</v>
      </c>
      <c r="D11" s="33">
        <v>33472</v>
      </c>
      <c r="E11" s="34">
        <f t="shared" si="0"/>
        <v>100</v>
      </c>
      <c r="F11" s="34">
        <f t="shared" si="1"/>
        <v>334720</v>
      </c>
      <c r="G11" s="34">
        <f t="shared" si="2"/>
        <v>34566.770396270396</v>
      </c>
    </row>
    <row r="12" spans="1:9" x14ac:dyDescent="0.3">
      <c r="A12" s="29"/>
      <c r="B12" s="34">
        <v>11</v>
      </c>
      <c r="C12" s="32" t="s">
        <v>12</v>
      </c>
      <c r="D12" s="33">
        <v>34882</v>
      </c>
      <c r="E12" s="34">
        <f t="shared" si="0"/>
        <v>121</v>
      </c>
      <c r="F12" s="34">
        <f t="shared" si="1"/>
        <v>383702</v>
      </c>
      <c r="G12" s="34">
        <f t="shared" si="2"/>
        <v>35005.109557109565</v>
      </c>
    </row>
    <row r="13" spans="1:9" x14ac:dyDescent="0.3">
      <c r="A13" s="29"/>
      <c r="B13" s="34">
        <v>12</v>
      </c>
      <c r="C13" s="32" t="s">
        <v>13</v>
      </c>
      <c r="D13" s="33">
        <v>35702</v>
      </c>
      <c r="E13" s="34">
        <f t="shared" si="0"/>
        <v>144</v>
      </c>
      <c r="F13" s="34">
        <f t="shared" si="1"/>
        <v>428424</v>
      </c>
      <c r="G13" s="34">
        <f t="shared" si="2"/>
        <v>35443.448717948719</v>
      </c>
    </row>
    <row r="14" spans="1:9" x14ac:dyDescent="0.3">
      <c r="A14" s="29"/>
      <c r="B14" s="29"/>
      <c r="C14" s="29"/>
      <c r="D14" s="29"/>
      <c r="E14" s="29"/>
      <c r="F14" s="29"/>
    </row>
    <row r="15" spans="1:9" x14ac:dyDescent="0.3">
      <c r="A15" s="35" t="s">
        <v>31</v>
      </c>
      <c r="B15" s="34">
        <f>SUM(B2:B13)</f>
        <v>78</v>
      </c>
      <c r="C15" s="34"/>
      <c r="D15" s="33">
        <f>SUM(D2:D13)</f>
        <v>396391</v>
      </c>
      <c r="E15" s="33">
        <f t="shared" ref="E15" si="3">SUM(E2:E13)</f>
        <v>650</v>
      </c>
      <c r="F15" s="33">
        <f>SUM(F2:F13)</f>
        <v>2639224</v>
      </c>
    </row>
    <row r="16" spans="1:9" x14ac:dyDescent="0.3">
      <c r="A16" s="35" t="s">
        <v>32</v>
      </c>
      <c r="B16" s="34">
        <f>AVERAGE(B2:B13)</f>
        <v>6.5</v>
      </c>
      <c r="C16" s="34"/>
      <c r="D16" s="33">
        <f>AVERAGE(D2:D13)</f>
        <v>33032.583333333336</v>
      </c>
      <c r="E16" s="33">
        <f>AVERAGE(E2:E13)</f>
        <v>54.166666666666664</v>
      </c>
      <c r="F16" s="33">
        <f t="shared" ref="F16" si="4">AVERAGE(F2:F13)</f>
        <v>219935.33333333334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D607-DF62-0745-8F80-DA063F49BA8D}">
  <dimension ref="A2:M19"/>
  <sheetViews>
    <sheetView topLeftCell="B1" zoomScale="65" zoomScaleNormal="123" workbookViewId="0">
      <selection activeCell="F57" sqref="F57"/>
    </sheetView>
  </sheetViews>
  <sheetFormatPr defaultColWidth="8.77734375" defaultRowHeight="13.8" x14ac:dyDescent="0.3"/>
  <cols>
    <col min="1" max="1" width="8.77734375" style="38"/>
    <col min="2" max="2" width="34.6640625" style="38" bestFit="1" customWidth="1"/>
    <col min="3" max="3" width="29.109375" style="38" bestFit="1" customWidth="1"/>
    <col min="4" max="4" width="30.33203125" style="38" bestFit="1" customWidth="1"/>
    <col min="5" max="5" width="72.109375" style="38" bestFit="1" customWidth="1"/>
    <col min="6" max="6" width="38.77734375" style="38" bestFit="1" customWidth="1"/>
    <col min="7" max="7" width="35.109375" style="38" bestFit="1" customWidth="1"/>
    <col min="8" max="8" width="37.44140625" style="38" bestFit="1" customWidth="1"/>
    <col min="9" max="9" width="33.6640625" style="38" bestFit="1" customWidth="1"/>
    <col min="10" max="10" width="46.109375" style="38" bestFit="1" customWidth="1"/>
    <col min="11" max="11" width="44.77734375" style="38" bestFit="1" customWidth="1"/>
    <col min="12" max="12" width="58.77734375" style="38" bestFit="1" customWidth="1"/>
    <col min="13" max="13" width="58.109375" style="38" bestFit="1" customWidth="1"/>
    <col min="14" max="16384" width="8.77734375" style="38"/>
  </cols>
  <sheetData>
    <row r="2" spans="1:13" ht="20.399999999999999" x14ac:dyDescent="0.3">
      <c r="B2" s="53" t="s">
        <v>68</v>
      </c>
      <c r="C2" s="53" t="s">
        <v>38</v>
      </c>
      <c r="D2" s="53" t="s">
        <v>66</v>
      </c>
      <c r="E2" s="53" t="s">
        <v>67</v>
      </c>
      <c r="F2" s="54" t="s">
        <v>58</v>
      </c>
      <c r="G2" s="54" t="s">
        <v>59</v>
      </c>
      <c r="H2" s="54" t="s">
        <v>60</v>
      </c>
      <c r="I2" s="54" t="s">
        <v>61</v>
      </c>
      <c r="J2" s="53" t="s">
        <v>62</v>
      </c>
      <c r="K2" s="53" t="s">
        <v>63</v>
      </c>
      <c r="L2" s="53" t="s">
        <v>64</v>
      </c>
      <c r="M2" s="55" t="s">
        <v>65</v>
      </c>
    </row>
    <row r="3" spans="1:13" ht="15.6" x14ac:dyDescent="0.3">
      <c r="A3" s="49">
        <v>1</v>
      </c>
      <c r="B3" s="33" t="s">
        <v>2</v>
      </c>
      <c r="C3" s="33">
        <v>25000</v>
      </c>
      <c r="D3" s="33" t="s">
        <v>15</v>
      </c>
      <c r="E3" s="33" t="s">
        <v>15</v>
      </c>
      <c r="F3" s="33">
        <v>24252</v>
      </c>
      <c r="G3" s="33">
        <f>ABS(C3-F3)</f>
        <v>748</v>
      </c>
      <c r="H3" s="33">
        <v>24252</v>
      </c>
      <c r="I3" s="33">
        <f>ABS(C3-H3)</f>
        <v>748</v>
      </c>
      <c r="J3" s="33">
        <f>(G3)^2</f>
        <v>559504</v>
      </c>
      <c r="K3" s="33">
        <f>I3^2</f>
        <v>559504</v>
      </c>
      <c r="L3" s="50">
        <f>(G3/C3)</f>
        <v>2.9919999999999999E-2</v>
      </c>
      <c r="M3" s="51">
        <f>(I3/C3)</f>
        <v>2.9919999999999999E-2</v>
      </c>
    </row>
    <row r="4" spans="1:13" ht="15.6" x14ac:dyDescent="0.3">
      <c r="A4" s="49">
        <v>2</v>
      </c>
      <c r="B4" s="33" t="s">
        <v>3</v>
      </c>
      <c r="C4" s="33">
        <v>24246</v>
      </c>
      <c r="D4" s="33" t="s">
        <v>15</v>
      </c>
      <c r="E4" s="33" t="s">
        <v>15</v>
      </c>
      <c r="F4" s="33">
        <f>F3+(0.05*(C3-F3))</f>
        <v>24289.4</v>
      </c>
      <c r="G4" s="33">
        <f>ABS(C4-F4)</f>
        <v>43.400000000001455</v>
      </c>
      <c r="H4" s="33">
        <f>H3+(0.5*(C3-H3))</f>
        <v>24626</v>
      </c>
      <c r="I4" s="33">
        <f>ABS(C4-H4)</f>
        <v>380</v>
      </c>
      <c r="J4" s="33">
        <f>(G4)^2</f>
        <v>1883.5600000001264</v>
      </c>
      <c r="K4" s="33">
        <f>I4^2</f>
        <v>144400</v>
      </c>
      <c r="L4" s="50">
        <f t="shared" ref="L4:L14" si="0">(G4/C4)</f>
        <v>1.7899859770684424E-3</v>
      </c>
      <c r="M4" s="51">
        <f t="shared" ref="M4:M14" si="1">(I4/C4)</f>
        <v>1.5672688278478925E-2</v>
      </c>
    </row>
    <row r="5" spans="1:13" ht="15.6" x14ac:dyDescent="0.3">
      <c r="A5" s="49">
        <v>3</v>
      </c>
      <c r="B5" s="33" t="s">
        <v>4</v>
      </c>
      <c r="C5" s="33">
        <v>18792</v>
      </c>
      <c r="D5" s="33" t="s">
        <v>15</v>
      </c>
      <c r="E5" s="33" t="s">
        <v>15</v>
      </c>
      <c r="F5" s="33">
        <f t="shared" ref="F5:F14" si="2">F4+(0.05*(C4-F4))</f>
        <v>24287.230000000003</v>
      </c>
      <c r="G5" s="33">
        <f t="shared" ref="G5:G14" si="3">ABS(C5-F5)</f>
        <v>5495.2300000000032</v>
      </c>
      <c r="H5" s="33">
        <f t="shared" ref="H5:H14" si="4">H4+(0.5*(C4-H4))</f>
        <v>24436</v>
      </c>
      <c r="I5" s="33">
        <f t="shared" ref="I5:I14" si="5">ABS(C5-H5)</f>
        <v>5644</v>
      </c>
      <c r="J5" s="33">
        <f t="shared" ref="J5:J14" si="6">(G5)^2</f>
        <v>30197552.752900034</v>
      </c>
      <c r="K5" s="33">
        <f t="shared" ref="K5:K14" si="7">I5^2</f>
        <v>31854736</v>
      </c>
      <c r="L5" s="50">
        <f t="shared" si="0"/>
        <v>0.29242390378884647</v>
      </c>
      <c r="M5" s="51">
        <f t="shared" si="1"/>
        <v>0.30034057045551299</v>
      </c>
    </row>
    <row r="6" spans="1:13" ht="15.6" x14ac:dyDescent="0.3">
      <c r="A6" s="49">
        <v>4</v>
      </c>
      <c r="B6" s="33" t="s">
        <v>5</v>
      </c>
      <c r="C6" s="33">
        <v>23376</v>
      </c>
      <c r="D6" s="33" t="s">
        <v>15</v>
      </c>
      <c r="E6" s="33" t="s">
        <v>15</v>
      </c>
      <c r="F6" s="33">
        <f t="shared" si="2"/>
        <v>24012.468500000003</v>
      </c>
      <c r="G6" s="33">
        <f t="shared" si="3"/>
        <v>636.46850000000268</v>
      </c>
      <c r="H6" s="33">
        <f t="shared" si="4"/>
        <v>21614</v>
      </c>
      <c r="I6" s="33">
        <f t="shared" si="5"/>
        <v>1762</v>
      </c>
      <c r="J6" s="33">
        <f t="shared" si="6"/>
        <v>405092.15149225341</v>
      </c>
      <c r="K6" s="33">
        <f t="shared" si="7"/>
        <v>3104644</v>
      </c>
      <c r="L6" s="50">
        <f t="shared" si="0"/>
        <v>2.7227434120465549E-2</v>
      </c>
      <c r="M6" s="51">
        <f t="shared" si="1"/>
        <v>7.5376454483230659E-2</v>
      </c>
    </row>
    <row r="7" spans="1:13" ht="15.6" x14ac:dyDescent="0.3">
      <c r="A7" s="49">
        <v>5</v>
      </c>
      <c r="B7" s="33" t="s">
        <v>6</v>
      </c>
      <c r="C7" s="33">
        <v>23328</v>
      </c>
      <c r="D7" s="33" t="s">
        <v>15</v>
      </c>
      <c r="E7" s="33" t="s">
        <v>15</v>
      </c>
      <c r="F7" s="33">
        <f t="shared" si="2"/>
        <v>23980.645075000004</v>
      </c>
      <c r="G7" s="33">
        <f t="shared" si="3"/>
        <v>652.645075000004</v>
      </c>
      <c r="H7" s="33">
        <f t="shared" si="4"/>
        <v>22495</v>
      </c>
      <c r="I7" s="33">
        <f t="shared" si="5"/>
        <v>833</v>
      </c>
      <c r="J7" s="33">
        <f t="shared" si="6"/>
        <v>425945.59392176085</v>
      </c>
      <c r="K7" s="33">
        <f t="shared" si="7"/>
        <v>693889</v>
      </c>
      <c r="L7" s="50">
        <f t="shared" si="0"/>
        <v>2.7976897933813614E-2</v>
      </c>
      <c r="M7" s="51">
        <f t="shared" si="1"/>
        <v>3.5708161865569271E-2</v>
      </c>
    </row>
    <row r="8" spans="1:13" ht="15.6" x14ac:dyDescent="0.3">
      <c r="A8" s="49">
        <v>6</v>
      </c>
      <c r="B8" s="33" t="s">
        <v>7</v>
      </c>
      <c r="C8" s="33">
        <v>25714</v>
      </c>
      <c r="D8" s="33">
        <f>(C3+C4+C5+C6+C7)/5</f>
        <v>22948.400000000001</v>
      </c>
      <c r="E8" s="33">
        <f>(C3*0.1+C4*0.15+C5*0.2+C6*0.25+C7*0.3)/1</f>
        <v>22737.699999999997</v>
      </c>
      <c r="F8" s="33">
        <f t="shared" si="2"/>
        <v>23948.012821250002</v>
      </c>
      <c r="G8" s="33">
        <f t="shared" si="3"/>
        <v>1765.9871787499978</v>
      </c>
      <c r="H8" s="33">
        <f t="shared" si="4"/>
        <v>22911.5</v>
      </c>
      <c r="I8" s="33">
        <f t="shared" si="5"/>
        <v>2802.5</v>
      </c>
      <c r="J8" s="33">
        <f t="shared" si="6"/>
        <v>3118710.715509377</v>
      </c>
      <c r="K8" s="33">
        <f t="shared" si="7"/>
        <v>7854006.25</v>
      </c>
      <c r="L8" s="50">
        <f t="shared" si="0"/>
        <v>6.8678042262969502E-2</v>
      </c>
      <c r="M8" s="51">
        <f t="shared" si="1"/>
        <v>0.10898732208135646</v>
      </c>
    </row>
    <row r="9" spans="1:13" ht="15.6" x14ac:dyDescent="0.3">
      <c r="A9" s="49">
        <v>7</v>
      </c>
      <c r="B9" s="33" t="s">
        <v>8</v>
      </c>
      <c r="C9" s="33">
        <v>23734</v>
      </c>
      <c r="D9" s="33">
        <f t="shared" ref="D9:D14" si="8">(C4+C5+C6+C7+C8)/5</f>
        <v>23091.200000000001</v>
      </c>
      <c r="E9" s="33">
        <f t="shared" ref="E9:E14" si="9">(C4*0.1+C5*0.15+C6*0.2+C7*0.25+C8*0.3)/1</f>
        <v>23464.799999999999</v>
      </c>
      <c r="F9" s="33">
        <f t="shared" si="2"/>
        <v>24036.312180187502</v>
      </c>
      <c r="G9" s="33">
        <f t="shared" si="3"/>
        <v>302.31218018750224</v>
      </c>
      <c r="H9" s="33">
        <f t="shared" si="4"/>
        <v>24312.75</v>
      </c>
      <c r="I9" s="33">
        <f t="shared" si="5"/>
        <v>578.75</v>
      </c>
      <c r="J9" s="33">
        <f t="shared" si="6"/>
        <v>91392.654289720813</v>
      </c>
      <c r="K9" s="33">
        <f t="shared" si="7"/>
        <v>334951.5625</v>
      </c>
      <c r="L9" s="50">
        <f t="shared" si="0"/>
        <v>1.2737514965345169E-2</v>
      </c>
      <c r="M9" s="51">
        <f t="shared" si="1"/>
        <v>2.4384848740203927E-2</v>
      </c>
    </row>
    <row r="10" spans="1:13" ht="15.6" x14ac:dyDescent="0.3">
      <c r="A10" s="49">
        <v>8</v>
      </c>
      <c r="B10" s="33" t="s">
        <v>9</v>
      </c>
      <c r="C10" s="33">
        <v>24681</v>
      </c>
      <c r="D10" s="33">
        <f t="shared" si="8"/>
        <v>22988.799999999999</v>
      </c>
      <c r="E10" s="33">
        <f t="shared" si="9"/>
        <v>23599.9</v>
      </c>
      <c r="F10" s="33">
        <f t="shared" si="2"/>
        <v>24021.196571178127</v>
      </c>
      <c r="G10" s="33">
        <f t="shared" si="3"/>
        <v>659.80342882187324</v>
      </c>
      <c r="H10" s="33">
        <f t="shared" si="4"/>
        <v>24023.375</v>
      </c>
      <c r="I10" s="33">
        <f t="shared" si="5"/>
        <v>657.625</v>
      </c>
      <c r="J10" s="33">
        <f t="shared" si="6"/>
        <v>435340.56468510075</v>
      </c>
      <c r="K10" s="33">
        <f t="shared" si="7"/>
        <v>432470.640625</v>
      </c>
      <c r="L10" s="50">
        <f t="shared" si="0"/>
        <v>2.6733253467115321E-2</v>
      </c>
      <c r="M10" s="51">
        <f t="shared" si="1"/>
        <v>2.6644990073335765E-2</v>
      </c>
    </row>
    <row r="11" spans="1:13" ht="15.6" x14ac:dyDescent="0.3">
      <c r="A11" s="49">
        <v>9</v>
      </c>
      <c r="B11" s="33" t="s">
        <v>10</v>
      </c>
      <c r="C11" s="33">
        <v>22222</v>
      </c>
      <c r="D11" s="33">
        <f t="shared" si="8"/>
        <v>24166.6</v>
      </c>
      <c r="E11" s="33">
        <f t="shared" si="9"/>
        <v>24317.399999999998</v>
      </c>
      <c r="F11" s="33">
        <f t="shared" si="2"/>
        <v>24054.186742619222</v>
      </c>
      <c r="G11" s="33">
        <f t="shared" si="3"/>
        <v>1832.1867426192221</v>
      </c>
      <c r="H11" s="33">
        <f t="shared" si="4"/>
        <v>24352.1875</v>
      </c>
      <c r="I11" s="33">
        <f t="shared" si="5"/>
        <v>2130.1875</v>
      </c>
      <c r="J11" s="33">
        <f t="shared" si="6"/>
        <v>3356908.2598296353</v>
      </c>
      <c r="K11" s="33">
        <f t="shared" si="7"/>
        <v>4537698.78515625</v>
      </c>
      <c r="L11" s="50">
        <f t="shared" si="0"/>
        <v>8.2449227910144099E-2</v>
      </c>
      <c r="M11" s="51">
        <f t="shared" si="1"/>
        <v>9.5859396093960936E-2</v>
      </c>
    </row>
    <row r="12" spans="1:13" ht="15.6" x14ac:dyDescent="0.3">
      <c r="A12" s="49">
        <v>10</v>
      </c>
      <c r="B12" s="33" t="s">
        <v>11</v>
      </c>
      <c r="C12" s="33">
        <v>25239</v>
      </c>
      <c r="D12" s="33">
        <f t="shared" si="8"/>
        <v>23935.8</v>
      </c>
      <c r="E12" s="33">
        <f t="shared" si="9"/>
        <v>23773.55</v>
      </c>
      <c r="F12" s="33">
        <f t="shared" si="2"/>
        <v>23962.57740548826</v>
      </c>
      <c r="G12" s="33">
        <f t="shared" si="3"/>
        <v>1276.4225945117396</v>
      </c>
      <c r="H12" s="33">
        <f t="shared" si="4"/>
        <v>23287.09375</v>
      </c>
      <c r="I12" s="33">
        <f t="shared" si="5"/>
        <v>1951.90625</v>
      </c>
      <c r="J12" s="33">
        <f t="shared" si="6"/>
        <v>1629254.6397800809</v>
      </c>
      <c r="K12" s="33">
        <f t="shared" si="7"/>
        <v>3809938.0087890625</v>
      </c>
      <c r="L12" s="50">
        <f t="shared" si="0"/>
        <v>5.0573421867417076E-2</v>
      </c>
      <c r="M12" s="51">
        <f t="shared" si="1"/>
        <v>7.7336909148539953E-2</v>
      </c>
    </row>
    <row r="13" spans="1:13" ht="15.6" x14ac:dyDescent="0.3">
      <c r="A13" s="49">
        <v>11</v>
      </c>
      <c r="B13" s="33" t="s">
        <v>12</v>
      </c>
      <c r="C13" s="33">
        <v>20126</v>
      </c>
      <c r="D13" s="33">
        <f t="shared" si="8"/>
        <v>24318</v>
      </c>
      <c r="E13" s="33">
        <f t="shared" si="9"/>
        <v>24194.9</v>
      </c>
      <c r="F13" s="33">
        <f t="shared" si="2"/>
        <v>24026.398535213848</v>
      </c>
      <c r="G13" s="33">
        <f t="shared" si="3"/>
        <v>3900.3985352138479</v>
      </c>
      <c r="H13" s="33">
        <f t="shared" si="4"/>
        <v>24263.046875</v>
      </c>
      <c r="I13" s="33">
        <f t="shared" si="5"/>
        <v>4137.046875</v>
      </c>
      <c r="J13" s="33">
        <f t="shared" si="6"/>
        <v>15213108.733498331</v>
      </c>
      <c r="K13" s="33">
        <f t="shared" si="7"/>
        <v>17115156.845947266</v>
      </c>
      <c r="L13" s="50">
        <f t="shared" si="0"/>
        <v>0.19379899310413634</v>
      </c>
      <c r="M13" s="51">
        <f t="shared" si="1"/>
        <v>0.2055573325549041</v>
      </c>
    </row>
    <row r="14" spans="1:13" ht="15.6" x14ac:dyDescent="0.3">
      <c r="A14" s="49">
        <v>12</v>
      </c>
      <c r="B14" s="52" t="s">
        <v>13</v>
      </c>
      <c r="C14" s="52">
        <v>24781</v>
      </c>
      <c r="D14" s="33">
        <f t="shared" si="8"/>
        <v>23200.400000000001</v>
      </c>
      <c r="E14" s="33">
        <f t="shared" si="9"/>
        <v>22867.5</v>
      </c>
      <c r="F14" s="33">
        <f t="shared" si="2"/>
        <v>23831.378608453157</v>
      </c>
      <c r="G14" s="33">
        <f t="shared" si="3"/>
        <v>949.62139154684337</v>
      </c>
      <c r="H14" s="33">
        <f t="shared" si="4"/>
        <v>22194.5234375</v>
      </c>
      <c r="I14" s="52">
        <f t="shared" si="5"/>
        <v>2586.4765625</v>
      </c>
      <c r="J14" s="52">
        <f t="shared" si="6"/>
        <v>901780.78728336317</v>
      </c>
      <c r="K14" s="52">
        <f t="shared" si="7"/>
        <v>6689861.0083618164</v>
      </c>
      <c r="L14" s="50">
        <f t="shared" si="0"/>
        <v>3.8320543624020154E-2</v>
      </c>
      <c r="M14" s="51">
        <f t="shared" si="1"/>
        <v>0.10437337324966708</v>
      </c>
    </row>
    <row r="15" spans="1:13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5.6" x14ac:dyDescent="0.3">
      <c r="B16" s="56" t="s">
        <v>18</v>
      </c>
      <c r="C16" s="113">
        <f>SUM(C3:C14)</f>
        <v>281239</v>
      </c>
      <c r="D16" s="40"/>
      <c r="E16" s="40"/>
      <c r="F16" s="40"/>
      <c r="G16" s="59">
        <f>SUM(G3:G14)</f>
        <v>18262.475626651038</v>
      </c>
      <c r="H16" s="60"/>
      <c r="I16" s="58">
        <f>SUM(I3:I14)</f>
        <v>24211.4921875</v>
      </c>
      <c r="J16" s="58">
        <f>SUM(J3:J14)</f>
        <v>56336474.41318965</v>
      </c>
      <c r="K16" s="58">
        <f>SUM(K3:K14)</f>
        <v>77131256.101379395</v>
      </c>
      <c r="L16" s="62">
        <f>SUM(L3:L14)</f>
        <v>0.85262921902134159</v>
      </c>
      <c r="M16" s="63">
        <f>SUM(M3:M14)</f>
        <v>1.1001620470247602</v>
      </c>
    </row>
    <row r="17" spans="2:13" ht="15.6" x14ac:dyDescent="0.3">
      <c r="B17" s="57" t="s">
        <v>19</v>
      </c>
      <c r="C17" s="44"/>
      <c r="D17" s="44"/>
      <c r="E17" s="44"/>
      <c r="F17" s="45"/>
      <c r="G17" s="69">
        <f>G16/12</f>
        <v>1521.8729688875865</v>
      </c>
      <c r="H17" s="61"/>
      <c r="I17" s="69">
        <f>I16/12</f>
        <v>2017.6243489583333</v>
      </c>
      <c r="J17" s="34"/>
      <c r="K17" s="34"/>
      <c r="L17" s="64"/>
      <c r="M17" s="34"/>
    </row>
    <row r="18" spans="2:13" ht="15.6" x14ac:dyDescent="0.3">
      <c r="B18" s="57" t="s">
        <v>20</v>
      </c>
      <c r="C18" s="44"/>
      <c r="D18" s="44"/>
      <c r="E18" s="44"/>
      <c r="F18" s="44"/>
      <c r="G18" s="47"/>
      <c r="H18" s="47"/>
      <c r="I18" s="47"/>
      <c r="J18" s="69">
        <f>J16/12</f>
        <v>4694706.2010991378</v>
      </c>
      <c r="K18" s="67">
        <f>K16/12</f>
        <v>6427604.6751149492</v>
      </c>
      <c r="L18" s="64"/>
      <c r="M18" s="34"/>
    </row>
    <row r="19" spans="2:13" ht="15.6" x14ac:dyDescent="0.3">
      <c r="B19" s="57" t="s">
        <v>21</v>
      </c>
      <c r="C19" s="44"/>
      <c r="D19" s="44"/>
      <c r="E19" s="44"/>
      <c r="F19" s="44"/>
      <c r="G19" s="47"/>
      <c r="H19" s="47"/>
      <c r="I19" s="47"/>
      <c r="J19" s="65"/>
      <c r="K19" s="65"/>
      <c r="L19" s="68">
        <f>L16/12</f>
        <v>7.1052434918445137E-2</v>
      </c>
      <c r="M19" s="66">
        <f>M16/12</f>
        <v>9.1680170585396681E-2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49-5C48-3A45-BF19-C5435240F35F}">
  <dimension ref="A1:I16"/>
  <sheetViews>
    <sheetView tabSelected="1" zoomScale="75" workbookViewId="0">
      <selection activeCell="I7" sqref="I7"/>
    </sheetView>
  </sheetViews>
  <sheetFormatPr defaultColWidth="11.44140625" defaultRowHeight="14.4" x14ac:dyDescent="0.3"/>
  <cols>
    <col min="1" max="1" width="11.44140625" style="71"/>
    <col min="2" max="2" width="11.6640625" style="71" bestFit="1" customWidth="1"/>
    <col min="3" max="3" width="10.33203125" style="71" bestFit="1" customWidth="1"/>
    <col min="4" max="4" width="29" style="71" bestFit="1" customWidth="1"/>
    <col min="5" max="5" width="8.6640625" style="71" bestFit="1" customWidth="1"/>
    <col min="6" max="6" width="14.77734375" style="71" bestFit="1" customWidth="1"/>
    <col min="7" max="7" width="16.77734375" style="71" bestFit="1" customWidth="1"/>
    <col min="8" max="8" width="11.44140625" style="71"/>
    <col min="9" max="9" width="15.109375" style="71" bestFit="1" customWidth="1"/>
    <col min="10" max="16384" width="11.44140625" style="71"/>
  </cols>
  <sheetData>
    <row r="1" spans="1:9" ht="15.6" x14ac:dyDescent="0.3">
      <c r="A1" s="70"/>
      <c r="B1" s="78" t="s">
        <v>35</v>
      </c>
      <c r="C1" s="79" t="s">
        <v>0</v>
      </c>
      <c r="D1" s="79" t="s">
        <v>69</v>
      </c>
      <c r="E1" s="78" t="s">
        <v>29</v>
      </c>
      <c r="F1" s="78" t="s">
        <v>30</v>
      </c>
      <c r="G1" s="78" t="s">
        <v>37</v>
      </c>
    </row>
    <row r="2" spans="1:9" ht="15.6" x14ac:dyDescent="0.3">
      <c r="A2" s="70"/>
      <c r="B2" s="72">
        <v>1</v>
      </c>
      <c r="C2" s="73" t="s">
        <v>2</v>
      </c>
      <c r="D2" s="73">
        <v>25000</v>
      </c>
      <c r="E2" s="72">
        <f>B2^2</f>
        <v>1</v>
      </c>
      <c r="F2" s="74">
        <f>B2*D2</f>
        <v>25000</v>
      </c>
      <c r="G2" s="74">
        <f>$I$7+$I$6*B2</f>
        <v>23399.102564102563</v>
      </c>
    </row>
    <row r="3" spans="1:9" ht="15.6" x14ac:dyDescent="0.3">
      <c r="A3" s="70"/>
      <c r="B3" s="72">
        <v>2</v>
      </c>
      <c r="C3" s="73" t="s">
        <v>3</v>
      </c>
      <c r="D3" s="73">
        <v>24246</v>
      </c>
      <c r="E3" s="72">
        <f t="shared" ref="E3:E13" si="0">B3^2</f>
        <v>4</v>
      </c>
      <c r="F3" s="74">
        <f t="shared" ref="F3:F13" si="1">B3*D3</f>
        <v>48492</v>
      </c>
      <c r="G3" s="74">
        <f>$I$7+$I$6*B3</f>
        <v>23405.917249417245</v>
      </c>
    </row>
    <row r="4" spans="1:9" ht="15.6" x14ac:dyDescent="0.3">
      <c r="A4" s="70"/>
      <c r="B4" s="72">
        <v>3</v>
      </c>
      <c r="C4" s="73" t="s">
        <v>4</v>
      </c>
      <c r="D4" s="73">
        <v>18792</v>
      </c>
      <c r="E4" s="72">
        <f t="shared" si="0"/>
        <v>9</v>
      </c>
      <c r="F4" s="74">
        <f t="shared" si="1"/>
        <v>56376</v>
      </c>
      <c r="G4" s="74">
        <f>$I$7+$I$6*B4</f>
        <v>23412.731934731932</v>
      </c>
    </row>
    <row r="5" spans="1:9" ht="15.6" x14ac:dyDescent="0.3">
      <c r="A5" s="70"/>
      <c r="B5" s="72">
        <v>4</v>
      </c>
      <c r="C5" s="73" t="s">
        <v>5</v>
      </c>
      <c r="D5" s="73">
        <v>23376</v>
      </c>
      <c r="E5" s="72">
        <f t="shared" si="0"/>
        <v>16</v>
      </c>
      <c r="F5" s="74">
        <f t="shared" si="1"/>
        <v>93504</v>
      </c>
      <c r="G5" s="74">
        <f t="shared" ref="G5:G13" si="2">$I$7+$I$6*B5</f>
        <v>23419.546620046618</v>
      </c>
    </row>
    <row r="6" spans="1:9" ht="15.6" x14ac:dyDescent="0.3">
      <c r="A6" s="70"/>
      <c r="B6" s="72">
        <v>5</v>
      </c>
      <c r="C6" s="73" t="s">
        <v>6</v>
      </c>
      <c r="D6" s="73">
        <v>23328</v>
      </c>
      <c r="E6" s="72">
        <f t="shared" si="0"/>
        <v>25</v>
      </c>
      <c r="F6" s="74">
        <f t="shared" si="1"/>
        <v>116640</v>
      </c>
      <c r="G6" s="74">
        <f>$I$7+$I$6*B6</f>
        <v>23426.361305361304</v>
      </c>
      <c r="H6" s="81" t="s">
        <v>33</v>
      </c>
      <c r="I6" s="72">
        <f>(F15-(12*B16*D16))/(E15-(12*(B16^2)))</f>
        <v>6.814685314685315</v>
      </c>
    </row>
    <row r="7" spans="1:9" ht="15.6" x14ac:dyDescent="0.3">
      <c r="A7" s="70"/>
      <c r="B7" s="72">
        <v>6</v>
      </c>
      <c r="C7" s="73" t="s">
        <v>7</v>
      </c>
      <c r="D7" s="73">
        <v>25714</v>
      </c>
      <c r="E7" s="72">
        <f t="shared" si="0"/>
        <v>36</v>
      </c>
      <c r="F7" s="74">
        <f t="shared" si="1"/>
        <v>154284</v>
      </c>
      <c r="G7" s="74">
        <f>$I$7+$I$6*B7</f>
        <v>23433.175990675987</v>
      </c>
      <c r="H7" s="81" t="s">
        <v>34</v>
      </c>
      <c r="I7" s="72">
        <f>D16-I6*B16</f>
        <v>23392.287878787876</v>
      </c>
    </row>
    <row r="8" spans="1:9" ht="15.6" x14ac:dyDescent="0.3">
      <c r="A8" s="70"/>
      <c r="B8" s="72">
        <v>7</v>
      </c>
      <c r="C8" s="73" t="s">
        <v>8</v>
      </c>
      <c r="D8" s="73">
        <v>23734</v>
      </c>
      <c r="E8" s="72">
        <f t="shared" si="0"/>
        <v>49</v>
      </c>
      <c r="F8" s="74">
        <f t="shared" si="1"/>
        <v>166138</v>
      </c>
      <c r="G8" s="74">
        <f t="shared" si="2"/>
        <v>23439.990675990673</v>
      </c>
    </row>
    <row r="9" spans="1:9" ht="15.6" x14ac:dyDescent="0.3">
      <c r="A9" s="70"/>
      <c r="B9" s="72">
        <v>8</v>
      </c>
      <c r="C9" s="73" t="s">
        <v>9</v>
      </c>
      <c r="D9" s="73">
        <v>24681</v>
      </c>
      <c r="E9" s="72">
        <f t="shared" si="0"/>
        <v>64</v>
      </c>
      <c r="F9" s="74">
        <f t="shared" si="1"/>
        <v>197448</v>
      </c>
      <c r="G9" s="74">
        <f>$I$7+$I$6*B9</f>
        <v>23446.80536130536</v>
      </c>
    </row>
    <row r="10" spans="1:9" ht="15.6" x14ac:dyDescent="0.3">
      <c r="A10" s="70"/>
      <c r="B10" s="72">
        <v>9</v>
      </c>
      <c r="C10" s="73" t="s">
        <v>10</v>
      </c>
      <c r="D10" s="73">
        <v>22222</v>
      </c>
      <c r="E10" s="72">
        <f t="shared" si="0"/>
        <v>81</v>
      </c>
      <c r="F10" s="74">
        <f t="shared" si="1"/>
        <v>199998</v>
      </c>
      <c r="G10" s="74">
        <f>$I$7+$I$6*B10</f>
        <v>23453.620046620043</v>
      </c>
    </row>
    <row r="11" spans="1:9" ht="15.6" x14ac:dyDescent="0.3">
      <c r="A11" s="70"/>
      <c r="B11" s="72">
        <v>10</v>
      </c>
      <c r="C11" s="73" t="s">
        <v>11</v>
      </c>
      <c r="D11" s="73">
        <v>25239</v>
      </c>
      <c r="E11" s="72">
        <f t="shared" si="0"/>
        <v>100</v>
      </c>
      <c r="F11" s="74">
        <f t="shared" si="1"/>
        <v>252390</v>
      </c>
      <c r="G11" s="74">
        <f t="shared" si="2"/>
        <v>23460.434731934729</v>
      </c>
    </row>
    <row r="12" spans="1:9" ht="15.6" x14ac:dyDescent="0.3">
      <c r="A12" s="70"/>
      <c r="B12" s="72">
        <v>11</v>
      </c>
      <c r="C12" s="73" t="s">
        <v>12</v>
      </c>
      <c r="D12" s="73">
        <v>20126</v>
      </c>
      <c r="E12" s="72">
        <f t="shared" si="0"/>
        <v>121</v>
      </c>
      <c r="F12" s="74">
        <f t="shared" si="1"/>
        <v>221386</v>
      </c>
      <c r="G12" s="74">
        <f t="shared" si="2"/>
        <v>23467.249417249415</v>
      </c>
    </row>
    <row r="13" spans="1:9" ht="15.6" x14ac:dyDescent="0.3">
      <c r="A13" s="70"/>
      <c r="B13" s="72">
        <v>12</v>
      </c>
      <c r="C13" s="73" t="s">
        <v>13</v>
      </c>
      <c r="D13" s="75">
        <v>24781</v>
      </c>
      <c r="E13" s="72">
        <f t="shared" si="0"/>
        <v>144</v>
      </c>
      <c r="F13" s="74">
        <f t="shared" si="1"/>
        <v>297372</v>
      </c>
      <c r="G13" s="74">
        <f t="shared" si="2"/>
        <v>23474.064102564102</v>
      </c>
    </row>
    <row r="14" spans="1:9" ht="15.6" x14ac:dyDescent="0.3">
      <c r="A14" s="70"/>
      <c r="B14" s="76"/>
      <c r="C14" s="76"/>
      <c r="D14" s="76"/>
      <c r="E14" s="76"/>
      <c r="F14" s="76"/>
      <c r="G14" s="77"/>
    </row>
    <row r="15" spans="1:9" ht="15.6" x14ac:dyDescent="0.3">
      <c r="A15" s="80" t="s">
        <v>31</v>
      </c>
      <c r="B15" s="72">
        <f>SUM(B2:B13)</f>
        <v>78</v>
      </c>
      <c r="C15" s="72"/>
      <c r="D15" s="73">
        <f>SUM(D2:D13)</f>
        <v>281239</v>
      </c>
      <c r="E15" s="73">
        <f t="shared" ref="E15" si="3">SUM(E2:E13)</f>
        <v>650</v>
      </c>
      <c r="F15" s="73">
        <f>SUM(F2:F13)</f>
        <v>1829028</v>
      </c>
      <c r="G15" s="77"/>
    </row>
    <row r="16" spans="1:9" ht="15.6" x14ac:dyDescent="0.3">
      <c r="A16" s="80" t="s">
        <v>32</v>
      </c>
      <c r="B16" s="72">
        <f>AVERAGE(B2:B13)</f>
        <v>6.5</v>
      </c>
      <c r="C16" s="72"/>
      <c r="D16" s="73">
        <f>AVERAGE(D2:D13)</f>
        <v>23436.583333333332</v>
      </c>
      <c r="E16" s="73">
        <f>AVERAGE(E2:E13)</f>
        <v>54.166666666666664</v>
      </c>
      <c r="F16" s="73">
        <f t="shared" ref="F16" si="4">AVERAGE(F2:F13)</f>
        <v>152419</v>
      </c>
      <c r="G16" s="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E95A-68C2-0C48-8D78-2D6A6F4373F0}">
  <dimension ref="A2:M19"/>
  <sheetViews>
    <sheetView topLeftCell="B17" zoomScale="74" zoomScaleNormal="123" workbookViewId="0">
      <selection activeCell="E69" sqref="E69"/>
    </sheetView>
  </sheetViews>
  <sheetFormatPr defaultColWidth="8.77734375" defaultRowHeight="13.8" x14ac:dyDescent="0.3"/>
  <cols>
    <col min="1" max="1" width="8.77734375" style="82"/>
    <col min="2" max="2" width="37" style="82" bestFit="1" customWidth="1"/>
    <col min="3" max="3" width="28" style="82" bestFit="1" customWidth="1"/>
    <col min="4" max="4" width="27.6640625" style="82" bestFit="1" customWidth="1"/>
    <col min="5" max="5" width="51.6640625" style="82" bestFit="1" customWidth="1"/>
    <col min="6" max="6" width="35.33203125" style="82" bestFit="1" customWidth="1"/>
    <col min="7" max="7" width="31.6640625" style="82" bestFit="1" customWidth="1"/>
    <col min="8" max="8" width="35.33203125" style="82" bestFit="1" customWidth="1"/>
    <col min="9" max="9" width="31.6640625" style="82" bestFit="1" customWidth="1"/>
    <col min="10" max="11" width="44" style="82" bestFit="1" customWidth="1"/>
    <col min="12" max="13" width="56" style="82" bestFit="1" customWidth="1"/>
    <col min="14" max="16384" width="8.77734375" style="82"/>
  </cols>
  <sheetData>
    <row r="2" spans="1:13" ht="17.399999999999999" x14ac:dyDescent="0.3">
      <c r="B2" s="89" t="s">
        <v>68</v>
      </c>
      <c r="C2" s="89" t="s">
        <v>70</v>
      </c>
      <c r="D2" s="89" t="s">
        <v>1</v>
      </c>
      <c r="E2" s="89" t="s">
        <v>16</v>
      </c>
      <c r="F2" s="90" t="s">
        <v>17</v>
      </c>
      <c r="G2" s="90" t="s">
        <v>23</v>
      </c>
      <c r="H2" s="90" t="s">
        <v>22</v>
      </c>
      <c r="I2" s="90" t="s">
        <v>24</v>
      </c>
      <c r="J2" s="89" t="s">
        <v>25</v>
      </c>
      <c r="K2" s="89" t="s">
        <v>26</v>
      </c>
      <c r="L2" s="89" t="s">
        <v>27</v>
      </c>
      <c r="M2" s="91" t="s">
        <v>28</v>
      </c>
    </row>
    <row r="3" spans="1:13" ht="15.6" x14ac:dyDescent="0.3">
      <c r="A3" s="49">
        <v>1</v>
      </c>
      <c r="B3" s="83" t="s">
        <v>2</v>
      </c>
      <c r="C3" s="84">
        <v>13632</v>
      </c>
      <c r="D3" s="84" t="s">
        <v>15</v>
      </c>
      <c r="E3" s="84" t="s">
        <v>15</v>
      </c>
      <c r="F3" s="84">
        <v>13752</v>
      </c>
      <c r="G3" s="84">
        <f t="shared" ref="G3:G14" si="0">ABS(C3-F3)</f>
        <v>120</v>
      </c>
      <c r="H3" s="84">
        <v>13752</v>
      </c>
      <c r="I3" s="84">
        <f t="shared" ref="I3:I14" si="1">ABS(C3-H3)</f>
        <v>120</v>
      </c>
      <c r="J3" s="84">
        <f t="shared" ref="J3:J14" si="2">(G3)^2</f>
        <v>14400</v>
      </c>
      <c r="K3" s="84">
        <f t="shared" ref="K3:K14" si="3">I3^2</f>
        <v>14400</v>
      </c>
      <c r="L3" s="97">
        <f t="shared" ref="L3:L14" si="4">(G3/C3)</f>
        <v>8.8028169014084511E-3</v>
      </c>
      <c r="M3" s="98">
        <f t="shared" ref="M3:M14" si="5">(I3/C3)</f>
        <v>8.8028169014084511E-3</v>
      </c>
    </row>
    <row r="4" spans="1:13" ht="15.6" x14ac:dyDescent="0.3">
      <c r="A4" s="49">
        <v>2</v>
      </c>
      <c r="B4" s="83" t="s">
        <v>3</v>
      </c>
      <c r="C4" s="84">
        <v>12054</v>
      </c>
      <c r="D4" s="84" t="s">
        <v>15</v>
      </c>
      <c r="E4" s="84" t="s">
        <v>15</v>
      </c>
      <c r="F4" s="84">
        <f t="shared" ref="F4:F14" si="6">F3+(0.4*(C3-F3))</f>
        <v>13704</v>
      </c>
      <c r="G4" s="84">
        <f t="shared" si="0"/>
        <v>1650</v>
      </c>
      <c r="H4" s="84">
        <f t="shared" ref="H4:H14" si="7">H3+(0.2*(C3-H3))</f>
        <v>13728</v>
      </c>
      <c r="I4" s="84">
        <f t="shared" si="1"/>
        <v>1674</v>
      </c>
      <c r="J4" s="84">
        <f t="shared" si="2"/>
        <v>2722500</v>
      </c>
      <c r="K4" s="84">
        <f t="shared" si="3"/>
        <v>2802276</v>
      </c>
      <c r="L4" s="97">
        <f t="shared" si="4"/>
        <v>0.1368840219014435</v>
      </c>
      <c r="M4" s="98">
        <f t="shared" si="5"/>
        <v>0.13887506222000995</v>
      </c>
    </row>
    <row r="5" spans="1:13" ht="15.6" x14ac:dyDescent="0.3">
      <c r="A5" s="49">
        <v>3</v>
      </c>
      <c r="B5" s="83" t="s">
        <v>4</v>
      </c>
      <c r="C5" s="84">
        <v>13566</v>
      </c>
      <c r="D5" s="84" t="s">
        <v>15</v>
      </c>
      <c r="E5" s="84" t="s">
        <v>15</v>
      </c>
      <c r="F5" s="84">
        <f t="shared" si="6"/>
        <v>13044</v>
      </c>
      <c r="G5" s="84">
        <f t="shared" si="0"/>
        <v>522</v>
      </c>
      <c r="H5" s="84">
        <f t="shared" si="7"/>
        <v>13393.2</v>
      </c>
      <c r="I5" s="84">
        <f t="shared" si="1"/>
        <v>172.79999999999927</v>
      </c>
      <c r="J5" s="84">
        <f t="shared" si="2"/>
        <v>272484</v>
      </c>
      <c r="K5" s="84">
        <f t="shared" si="3"/>
        <v>29859.839999999749</v>
      </c>
      <c r="L5" s="97">
        <f t="shared" si="4"/>
        <v>3.847854931446263E-2</v>
      </c>
      <c r="M5" s="98">
        <f t="shared" si="5"/>
        <v>1.2737726669615161E-2</v>
      </c>
    </row>
    <row r="6" spans="1:13" ht="15.6" x14ac:dyDescent="0.3">
      <c r="A6" s="49">
        <v>4</v>
      </c>
      <c r="B6" s="83" t="s">
        <v>5</v>
      </c>
      <c r="C6" s="84">
        <v>12566</v>
      </c>
      <c r="D6" s="84">
        <f t="shared" ref="D6:D14" si="8">(C3+C4+C5)/3</f>
        <v>13084</v>
      </c>
      <c r="E6" s="84">
        <f>(C3*0.3+C4*0.4+C5*0.8)/1.5</f>
        <v>13176</v>
      </c>
      <c r="F6" s="84">
        <f t="shared" si="6"/>
        <v>13252.8</v>
      </c>
      <c r="G6" s="84">
        <f t="shared" si="0"/>
        <v>686.79999999999927</v>
      </c>
      <c r="H6" s="84">
        <f t="shared" si="7"/>
        <v>13427.76</v>
      </c>
      <c r="I6" s="84">
        <f t="shared" si="1"/>
        <v>861.76000000000022</v>
      </c>
      <c r="J6" s="84">
        <f t="shared" si="2"/>
        <v>471694.239999999</v>
      </c>
      <c r="K6" s="84">
        <f t="shared" si="3"/>
        <v>742630.2976000004</v>
      </c>
      <c r="L6" s="97">
        <f t="shared" si="4"/>
        <v>5.4655419385643743E-2</v>
      </c>
      <c r="M6" s="98">
        <f t="shared" si="5"/>
        <v>6.8578704440553889E-2</v>
      </c>
    </row>
    <row r="7" spans="1:13" ht="15.6" x14ac:dyDescent="0.3">
      <c r="A7" s="49">
        <v>5</v>
      </c>
      <c r="B7" s="83" t="s">
        <v>6</v>
      </c>
      <c r="C7" s="84">
        <v>14375</v>
      </c>
      <c r="D7" s="84">
        <f t="shared" si="8"/>
        <v>12728.666666666666</v>
      </c>
      <c r="E7" s="84">
        <f t="shared" ref="E7:E14" si="9">(C4*0.3+C5*0.4+C6*0.8)/1.5</f>
        <v>12730.266666666668</v>
      </c>
      <c r="F7" s="84">
        <f t="shared" si="6"/>
        <v>12978.08</v>
      </c>
      <c r="G7" s="84">
        <f t="shared" si="0"/>
        <v>1396.92</v>
      </c>
      <c r="H7" s="84">
        <f t="shared" si="7"/>
        <v>13255.407999999999</v>
      </c>
      <c r="I7" s="84">
        <f t="shared" si="1"/>
        <v>1119.5920000000006</v>
      </c>
      <c r="J7" s="84">
        <f t="shared" si="2"/>
        <v>1951385.4864000003</v>
      </c>
      <c r="K7" s="84">
        <f t="shared" si="3"/>
        <v>1253486.2464640012</v>
      </c>
      <c r="L7" s="97">
        <f t="shared" si="4"/>
        <v>9.717704347826088E-2</v>
      </c>
      <c r="M7" s="98">
        <f t="shared" si="5"/>
        <v>7.7884660869565261E-2</v>
      </c>
    </row>
    <row r="8" spans="1:13" ht="15.6" x14ac:dyDescent="0.3">
      <c r="A8" s="49">
        <v>6</v>
      </c>
      <c r="B8" s="83" t="s">
        <v>7</v>
      </c>
      <c r="C8" s="84">
        <v>13894</v>
      </c>
      <c r="D8" s="84">
        <f t="shared" si="8"/>
        <v>13502.333333333334</v>
      </c>
      <c r="E8" s="84">
        <f t="shared" si="9"/>
        <v>13730.800000000001</v>
      </c>
      <c r="F8" s="84">
        <f t="shared" si="6"/>
        <v>13536.848</v>
      </c>
      <c r="G8" s="84">
        <f t="shared" si="0"/>
        <v>357.15200000000004</v>
      </c>
      <c r="H8" s="84">
        <f t="shared" si="7"/>
        <v>13479.3264</v>
      </c>
      <c r="I8" s="84">
        <f t="shared" si="1"/>
        <v>414.67360000000008</v>
      </c>
      <c r="J8" s="84">
        <f t="shared" si="2"/>
        <v>127557.55110400003</v>
      </c>
      <c r="K8" s="84">
        <f t="shared" si="3"/>
        <v>171954.19453696007</v>
      </c>
      <c r="L8" s="97">
        <f t="shared" si="4"/>
        <v>2.570548438174752E-2</v>
      </c>
      <c r="M8" s="98">
        <f t="shared" si="5"/>
        <v>2.9845516050093571E-2</v>
      </c>
    </row>
    <row r="9" spans="1:13" ht="15.6" x14ac:dyDescent="0.3">
      <c r="A9" s="49">
        <v>7</v>
      </c>
      <c r="B9" s="83" t="s">
        <v>8</v>
      </c>
      <c r="C9" s="84">
        <v>14796</v>
      </c>
      <c r="D9" s="84">
        <f t="shared" si="8"/>
        <v>13611.666666666666</v>
      </c>
      <c r="E9" s="84">
        <f t="shared" si="9"/>
        <v>13756.666666666666</v>
      </c>
      <c r="F9" s="84">
        <f t="shared" si="6"/>
        <v>13679.7088</v>
      </c>
      <c r="G9" s="84">
        <f t="shared" si="0"/>
        <v>1116.2911999999997</v>
      </c>
      <c r="H9" s="84">
        <f t="shared" si="7"/>
        <v>13562.261119999999</v>
      </c>
      <c r="I9" s="84">
        <f t="shared" si="1"/>
        <v>1233.7388800000008</v>
      </c>
      <c r="J9" s="84">
        <f t="shared" si="2"/>
        <v>1246106.0431974393</v>
      </c>
      <c r="K9" s="84">
        <f t="shared" si="3"/>
        <v>1522111.6240236564</v>
      </c>
      <c r="L9" s="97">
        <f t="shared" si="4"/>
        <v>7.5445471749121362E-2</v>
      </c>
      <c r="M9" s="98">
        <f t="shared" si="5"/>
        <v>8.3383271154366098E-2</v>
      </c>
    </row>
    <row r="10" spans="1:13" ht="15.6" x14ac:dyDescent="0.3">
      <c r="A10" s="49">
        <v>8</v>
      </c>
      <c r="B10" s="83" t="s">
        <v>9</v>
      </c>
      <c r="C10" s="84">
        <v>14800</v>
      </c>
      <c r="D10" s="84">
        <f t="shared" si="8"/>
        <v>14355</v>
      </c>
      <c r="E10" s="84">
        <f t="shared" si="9"/>
        <v>14471.266666666668</v>
      </c>
      <c r="F10" s="84">
        <f t="shared" si="6"/>
        <v>14126.225280000001</v>
      </c>
      <c r="G10" s="84">
        <f t="shared" si="0"/>
        <v>673.77471999999943</v>
      </c>
      <c r="H10" s="84">
        <f t="shared" si="7"/>
        <v>13809.008895999999</v>
      </c>
      <c r="I10" s="84">
        <f t="shared" si="1"/>
        <v>990.99110400000063</v>
      </c>
      <c r="J10" s="84">
        <f t="shared" si="2"/>
        <v>453972.37331107765</v>
      </c>
      <c r="K10" s="84">
        <f t="shared" si="3"/>
        <v>982063.36820714013</v>
      </c>
      <c r="L10" s="97">
        <f t="shared" si="4"/>
        <v>4.5525318918918881E-2</v>
      </c>
      <c r="M10" s="98">
        <f t="shared" si="5"/>
        <v>6.6958858378378422E-2</v>
      </c>
    </row>
    <row r="11" spans="1:13" ht="15.6" x14ac:dyDescent="0.3">
      <c r="A11" s="49">
        <v>9</v>
      </c>
      <c r="B11" s="83" t="s">
        <v>10</v>
      </c>
      <c r="C11" s="84">
        <v>13608</v>
      </c>
      <c r="D11" s="84">
        <f t="shared" si="8"/>
        <v>14496.666666666666</v>
      </c>
      <c r="E11" s="84">
        <f t="shared" si="9"/>
        <v>14617.733333333332</v>
      </c>
      <c r="F11" s="84">
        <f t="shared" si="6"/>
        <v>14395.735168000001</v>
      </c>
      <c r="G11" s="84">
        <f t="shared" si="0"/>
        <v>787.73516800000107</v>
      </c>
      <c r="H11" s="84">
        <f t="shared" si="7"/>
        <v>14007.2071168</v>
      </c>
      <c r="I11" s="84">
        <f t="shared" si="1"/>
        <v>399.20711680000022</v>
      </c>
      <c r="J11" s="84">
        <f t="shared" si="2"/>
        <v>620526.6949039899</v>
      </c>
      <c r="K11" s="84">
        <f t="shared" si="3"/>
        <v>159366.32210376902</v>
      </c>
      <c r="L11" s="97">
        <f t="shared" si="4"/>
        <v>5.7887651969429826E-2</v>
      </c>
      <c r="M11" s="98">
        <f t="shared" si="5"/>
        <v>2.9336207877719005E-2</v>
      </c>
    </row>
    <row r="12" spans="1:13" ht="15.6" x14ac:dyDescent="0.3">
      <c r="A12" s="49">
        <v>10</v>
      </c>
      <c r="B12" s="83" t="s">
        <v>11</v>
      </c>
      <c r="C12" s="84">
        <v>13252</v>
      </c>
      <c r="D12" s="84">
        <f t="shared" si="8"/>
        <v>14401.333333333334</v>
      </c>
      <c r="E12" s="84">
        <f t="shared" si="9"/>
        <v>14163.466666666667</v>
      </c>
      <c r="F12" s="84">
        <f t="shared" si="6"/>
        <v>14080.641100800001</v>
      </c>
      <c r="G12" s="84">
        <f t="shared" si="0"/>
        <v>828.64110080000137</v>
      </c>
      <c r="H12" s="84">
        <f t="shared" si="7"/>
        <v>13927.365693440001</v>
      </c>
      <c r="I12" s="84">
        <f t="shared" si="1"/>
        <v>675.36569344000054</v>
      </c>
      <c r="J12" s="84">
        <f t="shared" si="2"/>
        <v>686646.07393503806</v>
      </c>
      <c r="K12" s="84">
        <f t="shared" si="3"/>
        <v>456118.81987569277</v>
      </c>
      <c r="L12" s="97">
        <f t="shared" si="4"/>
        <v>6.2529512586779454E-2</v>
      </c>
      <c r="M12" s="98">
        <f t="shared" si="5"/>
        <v>5.0963303157259325E-2</v>
      </c>
    </row>
    <row r="13" spans="1:13" ht="15.6" x14ac:dyDescent="0.3">
      <c r="A13" s="49">
        <v>11</v>
      </c>
      <c r="B13" s="83" t="s">
        <v>12</v>
      </c>
      <c r="C13" s="84">
        <v>12409</v>
      </c>
      <c r="D13" s="84">
        <f t="shared" si="8"/>
        <v>13886.666666666666</v>
      </c>
      <c r="E13" s="84">
        <f t="shared" si="9"/>
        <v>13656.533333333335</v>
      </c>
      <c r="F13" s="84">
        <f t="shared" si="6"/>
        <v>13749.184660480001</v>
      </c>
      <c r="G13" s="84">
        <f t="shared" si="0"/>
        <v>1340.1846604800012</v>
      </c>
      <c r="H13" s="84">
        <f t="shared" si="7"/>
        <v>13792.292554752001</v>
      </c>
      <c r="I13" s="84">
        <f t="shared" si="1"/>
        <v>1383.2925547520008</v>
      </c>
      <c r="J13" s="84">
        <f t="shared" si="2"/>
        <v>1796094.9241858961</v>
      </c>
      <c r="K13" s="84">
        <f t="shared" si="3"/>
        <v>1913498.292032317</v>
      </c>
      <c r="L13" s="97">
        <f t="shared" si="4"/>
        <v>0.10800102026593611</v>
      </c>
      <c r="M13" s="98">
        <f t="shared" si="5"/>
        <v>0.11147494195761147</v>
      </c>
    </row>
    <row r="14" spans="1:13" ht="15.6" x14ac:dyDescent="0.3">
      <c r="A14" s="49">
        <v>12</v>
      </c>
      <c r="B14" s="85" t="s">
        <v>13</v>
      </c>
      <c r="C14" s="84">
        <v>13456</v>
      </c>
      <c r="D14" s="86">
        <f t="shared" si="8"/>
        <v>13089.666666666666</v>
      </c>
      <c r="E14" s="84">
        <f t="shared" si="9"/>
        <v>12873.6</v>
      </c>
      <c r="F14" s="86">
        <f t="shared" si="6"/>
        <v>13213.110796288001</v>
      </c>
      <c r="G14" s="86">
        <f t="shared" si="0"/>
        <v>242.88920371199856</v>
      </c>
      <c r="H14" s="86">
        <f t="shared" si="7"/>
        <v>13515.634043801601</v>
      </c>
      <c r="I14" s="86">
        <f t="shared" si="1"/>
        <v>59.634043801601365</v>
      </c>
      <c r="J14" s="86">
        <f t="shared" si="2"/>
        <v>58995.165279848734</v>
      </c>
      <c r="K14" s="86">
        <f t="shared" si="3"/>
        <v>3556.2191801313102</v>
      </c>
      <c r="L14" s="97">
        <f t="shared" si="4"/>
        <v>1.805062453269906E-2</v>
      </c>
      <c r="M14" s="98">
        <f t="shared" si="5"/>
        <v>4.431780900832444E-3</v>
      </c>
    </row>
    <row r="15" spans="1:13" x14ac:dyDescent="0.3">
      <c r="B15" s="87"/>
      <c r="C15" s="88"/>
      <c r="D15" s="87"/>
      <c r="E15" s="87"/>
      <c r="F15" s="87"/>
      <c r="G15" s="87"/>
      <c r="H15" s="87"/>
      <c r="I15" s="87"/>
      <c r="J15" s="87"/>
      <c r="K15" s="87"/>
      <c r="L15" s="99"/>
      <c r="M15" s="99"/>
    </row>
    <row r="16" spans="1:13" ht="15.6" x14ac:dyDescent="0.3">
      <c r="B16" s="56" t="s">
        <v>18</v>
      </c>
      <c r="C16" s="94">
        <f>SUM(C3:C14)</f>
        <v>162408</v>
      </c>
      <c r="D16" s="41"/>
      <c r="E16" s="41"/>
      <c r="F16" s="41"/>
      <c r="G16" s="92">
        <f>SUM(G3:G14)</f>
        <v>9722.3880529920007</v>
      </c>
      <c r="H16" s="92"/>
      <c r="I16" s="92">
        <f>SUM(I3:I14)</f>
        <v>9105.0549927936045</v>
      </c>
      <c r="J16" s="92">
        <f>SUM(J3:J14)</f>
        <v>10422362.552317288</v>
      </c>
      <c r="K16" s="92">
        <f>SUM(K3:K14)</f>
        <v>10051321.224023666</v>
      </c>
      <c r="L16" s="42">
        <f>SUM(L3:L14)</f>
        <v>0.7291429353858514</v>
      </c>
      <c r="M16" s="43">
        <f>SUM(M3:M14)</f>
        <v>0.68327285057741283</v>
      </c>
    </row>
    <row r="17" spans="2:13" ht="15.6" x14ac:dyDescent="0.3">
      <c r="B17" s="57" t="s">
        <v>19</v>
      </c>
      <c r="C17" s="47"/>
      <c r="D17" s="47"/>
      <c r="E17" s="47"/>
      <c r="F17" s="46"/>
      <c r="G17" s="94">
        <f>G16/12</f>
        <v>810.19900441600009</v>
      </c>
      <c r="H17" s="93"/>
      <c r="I17" s="94">
        <f>I16/12</f>
        <v>758.75458273280037</v>
      </c>
      <c r="J17" s="84"/>
      <c r="K17" s="84"/>
      <c r="L17" s="48"/>
      <c r="M17" s="47"/>
    </row>
    <row r="18" spans="2:13" ht="15.6" x14ac:dyDescent="0.3">
      <c r="B18" s="57" t="s">
        <v>20</v>
      </c>
      <c r="C18" s="47"/>
      <c r="D18" s="47"/>
      <c r="E18" s="47"/>
      <c r="F18" s="47"/>
      <c r="G18" s="84"/>
      <c r="H18" s="84"/>
      <c r="I18" s="84"/>
      <c r="J18" s="94">
        <f>J16/12</f>
        <v>868530.21269310731</v>
      </c>
      <c r="K18" s="94">
        <f>K16/12</f>
        <v>837610.10200197215</v>
      </c>
      <c r="L18" s="48"/>
      <c r="M18" s="47"/>
    </row>
    <row r="19" spans="2:13" ht="15.6" x14ac:dyDescent="0.3">
      <c r="B19" s="57" t="s">
        <v>21</v>
      </c>
      <c r="C19" s="47"/>
      <c r="D19" s="47"/>
      <c r="E19" s="47"/>
      <c r="F19" s="47"/>
      <c r="G19" s="84"/>
      <c r="H19" s="84"/>
      <c r="I19" s="84"/>
      <c r="J19" s="84"/>
      <c r="K19" s="84"/>
      <c r="L19" s="95">
        <f>L16/12</f>
        <v>6.0761911282154281E-2</v>
      </c>
      <c r="M19" s="96">
        <f>M16/12</f>
        <v>5.6939404214784405E-2</v>
      </c>
    </row>
  </sheetData>
  <sortState xmlns:xlrd2="http://schemas.microsoft.com/office/spreadsheetml/2017/richdata2" ref="C3:C14">
    <sortCondition ref="C3:C1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8D90-75E4-5143-BD0B-FF4A0B654E20}">
  <dimension ref="A1:I16"/>
  <sheetViews>
    <sheetView topLeftCell="B1" zoomScale="86" workbookViewId="0">
      <selection activeCell="T19" sqref="T19"/>
    </sheetView>
  </sheetViews>
  <sheetFormatPr defaultColWidth="11.44140625" defaultRowHeight="15.6" x14ac:dyDescent="0.3"/>
  <cols>
    <col min="1" max="1" width="11.77734375" style="49" bestFit="1" customWidth="1"/>
    <col min="2" max="2" width="11.6640625" style="49" bestFit="1" customWidth="1"/>
    <col min="3" max="3" width="10.6640625" style="49" bestFit="1" customWidth="1"/>
    <col min="4" max="4" width="27.33203125" style="49" bestFit="1" customWidth="1"/>
    <col min="5" max="5" width="8.33203125" style="49" bestFit="1" customWidth="1"/>
    <col min="6" max="6" width="13.77734375" style="49" bestFit="1" customWidth="1"/>
    <col min="7" max="7" width="19.6640625" style="49" bestFit="1" customWidth="1"/>
    <col min="8" max="8" width="4" style="49" bestFit="1" customWidth="1"/>
    <col min="9" max="9" width="13.44140625" style="49" bestFit="1" customWidth="1"/>
    <col min="10" max="16384" width="11.44140625" style="49"/>
  </cols>
  <sheetData>
    <row r="1" spans="1:9" ht="17.399999999999999" x14ac:dyDescent="0.3">
      <c r="A1" s="100"/>
      <c r="B1" s="35" t="s">
        <v>35</v>
      </c>
      <c r="C1" s="36" t="s">
        <v>0</v>
      </c>
      <c r="D1" s="36" t="s">
        <v>71</v>
      </c>
      <c r="E1" s="35" t="s">
        <v>29</v>
      </c>
      <c r="F1" s="35" t="s">
        <v>30</v>
      </c>
      <c r="G1" s="35" t="s">
        <v>37</v>
      </c>
    </row>
    <row r="2" spans="1:9" x14ac:dyDescent="0.3">
      <c r="A2" s="100"/>
      <c r="B2" s="34">
        <v>1</v>
      </c>
      <c r="C2" s="33" t="s">
        <v>2</v>
      </c>
      <c r="D2" s="101">
        <v>13632</v>
      </c>
      <c r="E2" s="101">
        <f>B2^2</f>
        <v>1</v>
      </c>
      <c r="F2" s="101">
        <f>B2*D2</f>
        <v>13632</v>
      </c>
      <c r="G2" s="101">
        <f>$I$7+$I$6*B2</f>
        <v>13410</v>
      </c>
    </row>
    <row r="3" spans="1:9" x14ac:dyDescent="0.3">
      <c r="A3" s="100"/>
      <c r="B3" s="34">
        <v>2</v>
      </c>
      <c r="C3" s="33" t="s">
        <v>3</v>
      </c>
      <c r="D3" s="101">
        <v>12054</v>
      </c>
      <c r="E3" s="101">
        <f t="shared" ref="E3:E13" si="0">B3^2</f>
        <v>4</v>
      </c>
      <c r="F3" s="101">
        <f t="shared" ref="F3:F13" si="1">B3*D3</f>
        <v>24108</v>
      </c>
      <c r="G3" s="101">
        <f>$I$7+$I$6*B3</f>
        <v>13432.545454545456</v>
      </c>
    </row>
    <row r="4" spans="1:9" x14ac:dyDescent="0.3">
      <c r="A4" s="100"/>
      <c r="B4" s="34">
        <v>3</v>
      </c>
      <c r="C4" s="33" t="s">
        <v>4</v>
      </c>
      <c r="D4" s="101">
        <v>13566</v>
      </c>
      <c r="E4" s="101">
        <f t="shared" si="0"/>
        <v>9</v>
      </c>
      <c r="F4" s="101">
        <f t="shared" si="1"/>
        <v>40698</v>
      </c>
      <c r="G4" s="101">
        <f>$I$7+$I$6*B4</f>
        <v>13455.09090909091</v>
      </c>
    </row>
    <row r="5" spans="1:9" x14ac:dyDescent="0.3">
      <c r="A5" s="100"/>
      <c r="B5" s="34">
        <v>4</v>
      </c>
      <c r="C5" s="33" t="s">
        <v>5</v>
      </c>
      <c r="D5" s="101">
        <v>12566</v>
      </c>
      <c r="E5" s="101">
        <f t="shared" si="0"/>
        <v>16</v>
      </c>
      <c r="F5" s="101">
        <f t="shared" si="1"/>
        <v>50264</v>
      </c>
      <c r="G5" s="101">
        <f t="shared" ref="G5:G13" si="2">$I$7+$I$6*B5</f>
        <v>13477.636363636364</v>
      </c>
    </row>
    <row r="6" spans="1:9" x14ac:dyDescent="0.3">
      <c r="A6" s="100"/>
      <c r="B6" s="34">
        <v>5</v>
      </c>
      <c r="C6" s="33" t="s">
        <v>6</v>
      </c>
      <c r="D6" s="101">
        <v>14375</v>
      </c>
      <c r="E6" s="101">
        <f t="shared" si="0"/>
        <v>25</v>
      </c>
      <c r="F6" s="101">
        <f t="shared" si="1"/>
        <v>71875</v>
      </c>
      <c r="G6" s="101">
        <f>$I$7+$I$6*B6</f>
        <v>13500.181818181818</v>
      </c>
      <c r="H6" s="103" t="s">
        <v>33</v>
      </c>
      <c r="I6" s="34">
        <f>(F15-(12*B16*D16))/(E15-(12*(B16^2)))</f>
        <v>22.545454545454547</v>
      </c>
    </row>
    <row r="7" spans="1:9" x14ac:dyDescent="0.3">
      <c r="A7" s="100"/>
      <c r="B7" s="34">
        <v>6</v>
      </c>
      <c r="C7" s="33" t="s">
        <v>7</v>
      </c>
      <c r="D7" s="101">
        <v>13894</v>
      </c>
      <c r="E7" s="101">
        <f t="shared" si="0"/>
        <v>36</v>
      </c>
      <c r="F7" s="101">
        <f t="shared" si="1"/>
        <v>83364</v>
      </c>
      <c r="G7" s="101">
        <f>$I$7+$I$6*B7</f>
        <v>13522.727272727274</v>
      </c>
      <c r="H7" s="103" t="s">
        <v>34</v>
      </c>
      <c r="I7" s="34">
        <f>D16-I6*B16</f>
        <v>13387.454545454546</v>
      </c>
    </row>
    <row r="8" spans="1:9" x14ac:dyDescent="0.3">
      <c r="A8" s="100"/>
      <c r="B8" s="34">
        <v>7</v>
      </c>
      <c r="C8" s="33" t="s">
        <v>8</v>
      </c>
      <c r="D8" s="101">
        <v>14796</v>
      </c>
      <c r="E8" s="101">
        <f t="shared" si="0"/>
        <v>49</v>
      </c>
      <c r="F8" s="101">
        <f t="shared" si="1"/>
        <v>103572</v>
      </c>
      <c r="G8" s="101">
        <f t="shared" si="2"/>
        <v>13545.272727272728</v>
      </c>
    </row>
    <row r="9" spans="1:9" x14ac:dyDescent="0.3">
      <c r="A9" s="100"/>
      <c r="B9" s="34">
        <v>8</v>
      </c>
      <c r="C9" s="33" t="s">
        <v>9</v>
      </c>
      <c r="D9" s="101">
        <v>14800</v>
      </c>
      <c r="E9" s="101">
        <f t="shared" si="0"/>
        <v>64</v>
      </c>
      <c r="F9" s="101">
        <f t="shared" si="1"/>
        <v>118400</v>
      </c>
      <c r="G9" s="101">
        <f>$I$7+$I$6*B9</f>
        <v>13567.818181818182</v>
      </c>
    </row>
    <row r="10" spans="1:9" x14ac:dyDescent="0.3">
      <c r="A10" s="100"/>
      <c r="B10" s="34">
        <v>9</v>
      </c>
      <c r="C10" s="33" t="s">
        <v>10</v>
      </c>
      <c r="D10" s="101">
        <v>13608</v>
      </c>
      <c r="E10" s="101">
        <f t="shared" si="0"/>
        <v>81</v>
      </c>
      <c r="F10" s="101">
        <f t="shared" si="1"/>
        <v>122472</v>
      </c>
      <c r="G10" s="101">
        <f>$I$7+$I$6*B10</f>
        <v>13590.363636363636</v>
      </c>
    </row>
    <row r="11" spans="1:9" x14ac:dyDescent="0.3">
      <c r="A11" s="100"/>
      <c r="B11" s="34">
        <v>10</v>
      </c>
      <c r="C11" s="33" t="s">
        <v>11</v>
      </c>
      <c r="D11" s="101">
        <v>13252</v>
      </c>
      <c r="E11" s="101">
        <f t="shared" si="0"/>
        <v>100</v>
      </c>
      <c r="F11" s="101">
        <f t="shared" si="1"/>
        <v>132520</v>
      </c>
      <c r="G11" s="101">
        <f t="shared" si="2"/>
        <v>13612.909090909092</v>
      </c>
    </row>
    <row r="12" spans="1:9" x14ac:dyDescent="0.3">
      <c r="A12" s="100"/>
      <c r="B12" s="34">
        <v>11</v>
      </c>
      <c r="C12" s="33" t="s">
        <v>12</v>
      </c>
      <c r="D12" s="101">
        <v>12409</v>
      </c>
      <c r="E12" s="101">
        <f t="shared" si="0"/>
        <v>121</v>
      </c>
      <c r="F12" s="101">
        <f t="shared" si="1"/>
        <v>136499</v>
      </c>
      <c r="G12" s="101">
        <f t="shared" si="2"/>
        <v>13635.454545454546</v>
      </c>
    </row>
    <row r="13" spans="1:9" x14ac:dyDescent="0.3">
      <c r="A13" s="100"/>
      <c r="B13" s="34">
        <v>12</v>
      </c>
      <c r="C13" s="33" t="s">
        <v>13</v>
      </c>
      <c r="D13" s="101">
        <v>13456</v>
      </c>
      <c r="E13" s="101">
        <f t="shared" si="0"/>
        <v>144</v>
      </c>
      <c r="F13" s="101">
        <f t="shared" si="1"/>
        <v>161472</v>
      </c>
      <c r="G13" s="101">
        <f t="shared" si="2"/>
        <v>13658</v>
      </c>
    </row>
    <row r="14" spans="1:9" x14ac:dyDescent="0.3">
      <c r="A14" s="100"/>
      <c r="B14" s="100"/>
      <c r="C14" s="100"/>
      <c r="D14" s="100"/>
      <c r="E14" s="100"/>
      <c r="F14" s="100"/>
    </row>
    <row r="15" spans="1:9" x14ac:dyDescent="0.3">
      <c r="A15" s="102" t="s">
        <v>31</v>
      </c>
      <c r="B15" s="34">
        <f>SUM(B2:B13)</f>
        <v>78</v>
      </c>
      <c r="C15" s="34"/>
      <c r="D15" s="33">
        <f>SUM(D2:D13)</f>
        <v>162408</v>
      </c>
      <c r="E15" s="33">
        <f t="shared" ref="E15" si="3">SUM(E2:E13)</f>
        <v>650</v>
      </c>
      <c r="F15" s="33">
        <f>SUM(F2:F13)</f>
        <v>1058876</v>
      </c>
    </row>
    <row r="16" spans="1:9" x14ac:dyDescent="0.3">
      <c r="A16" s="102" t="s">
        <v>32</v>
      </c>
      <c r="B16" s="34">
        <f>AVERAGE(B2:B13)</f>
        <v>6.5</v>
      </c>
      <c r="C16" s="34"/>
      <c r="D16" s="33">
        <f>AVERAGE(D2:D13)</f>
        <v>13534</v>
      </c>
      <c r="E16" s="33">
        <f>AVERAGE(E2:E13)</f>
        <v>54.166666666666664</v>
      </c>
      <c r="F16" s="33">
        <f t="shared" ref="F16" si="4">AVERAGE(F2:F13)</f>
        <v>88239.666666666672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2597-698C-1142-B0C8-92576D59B965}">
  <dimension ref="A2:M19"/>
  <sheetViews>
    <sheetView zoomScale="62" zoomScaleNormal="14" workbookViewId="0">
      <selection activeCell="I29" sqref="I29"/>
    </sheetView>
  </sheetViews>
  <sheetFormatPr defaultColWidth="8.77734375" defaultRowHeight="13.8" x14ac:dyDescent="0.3"/>
  <cols>
    <col min="1" max="1" width="8.77734375" style="82"/>
    <col min="2" max="2" width="37" style="82" bestFit="1" customWidth="1"/>
    <col min="3" max="3" width="36" style="82" bestFit="1" customWidth="1"/>
    <col min="4" max="4" width="30.33203125" style="82" bestFit="1" customWidth="1"/>
    <col min="5" max="5" width="50.33203125" style="82" bestFit="1" customWidth="1"/>
    <col min="6" max="6" width="37" style="82" bestFit="1" customWidth="1"/>
    <col min="7" max="7" width="34" style="82" bestFit="1" customWidth="1"/>
    <col min="8" max="8" width="38.6640625" style="82" bestFit="1" customWidth="1"/>
    <col min="9" max="9" width="35.33203125" style="82" bestFit="1" customWidth="1"/>
    <col min="10" max="10" width="46.33203125" style="82" bestFit="1" customWidth="1"/>
    <col min="11" max="11" width="47" style="82" bestFit="1" customWidth="1"/>
    <col min="12" max="12" width="60.109375" style="82" bestFit="1" customWidth="1"/>
    <col min="13" max="13" width="61.6640625" style="82" bestFit="1" customWidth="1"/>
    <col min="14" max="16384" width="8.77734375" style="82"/>
  </cols>
  <sheetData>
    <row r="2" spans="1:13" ht="17.399999999999999" x14ac:dyDescent="0.3">
      <c r="B2" s="89" t="s">
        <v>68</v>
      </c>
      <c r="C2" s="89" t="s">
        <v>72</v>
      </c>
      <c r="D2" s="89" t="s">
        <v>1</v>
      </c>
      <c r="E2" s="89" t="s">
        <v>39</v>
      </c>
      <c r="F2" s="90" t="s">
        <v>40</v>
      </c>
      <c r="G2" s="90" t="s">
        <v>41</v>
      </c>
      <c r="H2" s="90" t="s">
        <v>42</v>
      </c>
      <c r="I2" s="90" t="s">
        <v>43</v>
      </c>
      <c r="J2" s="89" t="s">
        <v>44</v>
      </c>
      <c r="K2" s="89" t="s">
        <v>45</v>
      </c>
      <c r="L2" s="89" t="s">
        <v>46</v>
      </c>
      <c r="M2" s="91" t="s">
        <v>47</v>
      </c>
    </row>
    <row r="3" spans="1:13" ht="15.6" x14ac:dyDescent="0.3">
      <c r="A3" s="49">
        <v>1</v>
      </c>
      <c r="B3" s="33" t="s">
        <v>2</v>
      </c>
      <c r="C3" s="101">
        <v>20917</v>
      </c>
      <c r="D3" s="33" t="s">
        <v>15</v>
      </c>
      <c r="E3" s="33" t="s">
        <v>15</v>
      </c>
      <c r="F3" s="33">
        <v>20997</v>
      </c>
      <c r="G3" s="33">
        <f>ABS(C3-F3)</f>
        <v>80</v>
      </c>
      <c r="H3" s="33">
        <v>20997</v>
      </c>
      <c r="I3" s="33">
        <f>ABS(C3-H3)</f>
        <v>80</v>
      </c>
      <c r="J3" s="33">
        <f>(G3)^2</f>
        <v>6400</v>
      </c>
      <c r="K3" s="33">
        <f>I3^2</f>
        <v>6400</v>
      </c>
      <c r="L3" s="50">
        <f>(G3/C3)</f>
        <v>3.8246402447769758E-3</v>
      </c>
      <c r="M3" s="51">
        <f>(I3/C3)</f>
        <v>3.8246402447769758E-3</v>
      </c>
    </row>
    <row r="4" spans="1:13" ht="15.6" x14ac:dyDescent="0.3">
      <c r="A4" s="49">
        <v>2</v>
      </c>
      <c r="B4" s="33" t="s">
        <v>3</v>
      </c>
      <c r="C4" s="101">
        <v>20791</v>
      </c>
      <c r="D4" s="33" t="s">
        <v>15</v>
      </c>
      <c r="E4" s="33" t="s">
        <v>15</v>
      </c>
      <c r="F4" s="33">
        <f>F3+(0.1*(C3-F3))</f>
        <v>20989</v>
      </c>
      <c r="G4" s="33">
        <f>ABS(C4-F4)</f>
        <v>198</v>
      </c>
      <c r="H4" s="33">
        <f>H3+(0.25*(C3-H3))</f>
        <v>20977</v>
      </c>
      <c r="I4" s="33">
        <f>ABS(C4-H4)</f>
        <v>186</v>
      </c>
      <c r="J4" s="33">
        <f>(G4)^2</f>
        <v>39204</v>
      </c>
      <c r="K4" s="33">
        <f>I4^2</f>
        <v>34596</v>
      </c>
      <c r="L4" s="50">
        <f t="shared" ref="L4:L14" si="0">(G4/C4)</f>
        <v>9.5233514501466988E-3</v>
      </c>
      <c r="M4" s="51">
        <f t="shared" ref="M4:M14" si="1">(I4/C4)</f>
        <v>8.9461786349862918E-3</v>
      </c>
    </row>
    <row r="5" spans="1:13" ht="15.6" x14ac:dyDescent="0.3">
      <c r="A5" s="49">
        <v>3</v>
      </c>
      <c r="B5" s="33" t="s">
        <v>4</v>
      </c>
      <c r="C5" s="101">
        <v>20509</v>
      </c>
      <c r="D5" s="33" t="s">
        <v>15</v>
      </c>
      <c r="E5" s="33" t="s">
        <v>15</v>
      </c>
      <c r="F5" s="33">
        <f t="shared" ref="F5:F14" si="2">F4+(0.1*(C4-F4))</f>
        <v>20969.2</v>
      </c>
      <c r="G5" s="33">
        <f t="shared" ref="G5:G14" si="3">ABS(C5-F5)</f>
        <v>460.20000000000073</v>
      </c>
      <c r="H5" s="33">
        <f t="shared" ref="H5:H14" si="4">H4+(0.25*(C4-H4))</f>
        <v>20930.5</v>
      </c>
      <c r="I5" s="33">
        <f t="shared" ref="I5:I14" si="5">ABS(C5-H5)</f>
        <v>421.5</v>
      </c>
      <c r="J5" s="33">
        <f t="shared" ref="J5:J14" si="6">(G5)^2</f>
        <v>211784.04000000068</v>
      </c>
      <c r="K5" s="33">
        <f t="shared" ref="K5:K14" si="7">I5^2</f>
        <v>177662.25</v>
      </c>
      <c r="L5" s="50">
        <f t="shared" si="0"/>
        <v>2.2438929250572955E-2</v>
      </c>
      <c r="M5" s="51">
        <f t="shared" si="1"/>
        <v>2.0551952801209226E-2</v>
      </c>
    </row>
    <row r="6" spans="1:13" ht="15.6" x14ac:dyDescent="0.3">
      <c r="A6" s="49">
        <v>4</v>
      </c>
      <c r="B6" s="33" t="s">
        <v>5</v>
      </c>
      <c r="C6" s="101">
        <v>20369</v>
      </c>
      <c r="D6" s="33">
        <f t="shared" ref="D6:D14" si="8">(C3+C4+C5)/3</f>
        <v>20739</v>
      </c>
      <c r="E6" s="33">
        <f>(C3*3+C4*4+C5*5)/11</f>
        <v>22587.272727272728</v>
      </c>
      <c r="F6" s="33">
        <f t="shared" si="2"/>
        <v>20923.18</v>
      </c>
      <c r="G6" s="33">
        <f t="shared" si="3"/>
        <v>554.18000000000029</v>
      </c>
      <c r="H6" s="33">
        <f t="shared" si="4"/>
        <v>20825.125</v>
      </c>
      <c r="I6" s="33">
        <f t="shared" si="5"/>
        <v>456.125</v>
      </c>
      <c r="J6" s="33">
        <f t="shared" si="6"/>
        <v>307115.47240000032</v>
      </c>
      <c r="K6" s="33">
        <f t="shared" si="7"/>
        <v>208050.015625</v>
      </c>
      <c r="L6" s="50">
        <f t="shared" si="0"/>
        <v>2.7207030291128691E-2</v>
      </c>
      <c r="M6" s="51">
        <f t="shared" si="1"/>
        <v>2.2393097353821983E-2</v>
      </c>
    </row>
    <row r="7" spans="1:13" ht="15.6" x14ac:dyDescent="0.3">
      <c r="A7" s="49">
        <v>5</v>
      </c>
      <c r="B7" s="33" t="s">
        <v>6</v>
      </c>
      <c r="C7" s="101">
        <v>20334</v>
      </c>
      <c r="D7" s="33">
        <f t="shared" si="8"/>
        <v>20556.333333333332</v>
      </c>
      <c r="E7" s="33">
        <f t="shared" ref="E7:E14" si="9">(C4*3+C5*4+C6*5)/11</f>
        <v>22386.727272727272</v>
      </c>
      <c r="F7" s="33">
        <f t="shared" si="2"/>
        <v>20867.761999999999</v>
      </c>
      <c r="G7" s="33">
        <f t="shared" si="3"/>
        <v>533.76199999999881</v>
      </c>
      <c r="H7" s="33">
        <f t="shared" si="4"/>
        <v>20711.09375</v>
      </c>
      <c r="I7" s="33">
        <f t="shared" si="5"/>
        <v>377.09375</v>
      </c>
      <c r="J7" s="33">
        <f t="shared" si="6"/>
        <v>284901.87264399871</v>
      </c>
      <c r="K7" s="33">
        <f t="shared" si="7"/>
        <v>142199.6962890625</v>
      </c>
      <c r="L7" s="50">
        <f t="shared" si="0"/>
        <v>2.6249729517064956E-2</v>
      </c>
      <c r="M7" s="51">
        <f t="shared" si="1"/>
        <v>1.8544986229959672E-2</v>
      </c>
    </row>
    <row r="8" spans="1:13" ht="15.6" x14ac:dyDescent="0.3">
      <c r="A8" s="49">
        <v>6</v>
      </c>
      <c r="B8" s="33" t="s">
        <v>7</v>
      </c>
      <c r="C8" s="101">
        <v>20328</v>
      </c>
      <c r="D8" s="33">
        <f t="shared" si="8"/>
        <v>20404</v>
      </c>
      <c r="E8" s="33">
        <f t="shared" si="9"/>
        <v>22243</v>
      </c>
      <c r="F8" s="33">
        <f t="shared" si="2"/>
        <v>20814.3858</v>
      </c>
      <c r="G8" s="33">
        <f t="shared" si="3"/>
        <v>486.38580000000002</v>
      </c>
      <c r="H8" s="33">
        <f t="shared" si="4"/>
        <v>20616.8203125</v>
      </c>
      <c r="I8" s="33">
        <f t="shared" si="5"/>
        <v>288.8203125</v>
      </c>
      <c r="J8" s="33">
        <f t="shared" si="6"/>
        <v>236571.14644164001</v>
      </c>
      <c r="K8" s="33">
        <f t="shared" si="7"/>
        <v>83417.172912597656</v>
      </c>
      <c r="L8" s="50">
        <f t="shared" si="0"/>
        <v>2.3926889020070841E-2</v>
      </c>
      <c r="M8" s="51">
        <f t="shared" si="1"/>
        <v>1.4208004353600945E-2</v>
      </c>
    </row>
    <row r="9" spans="1:13" ht="15.6" x14ac:dyDescent="0.3">
      <c r="A9" s="49">
        <v>7</v>
      </c>
      <c r="B9" s="33" t="s">
        <v>8</v>
      </c>
      <c r="C9" s="101">
        <v>20319</v>
      </c>
      <c r="D9" s="33">
        <f t="shared" si="8"/>
        <v>20343.666666666668</v>
      </c>
      <c r="E9" s="33">
        <f t="shared" si="9"/>
        <v>22189.363636363636</v>
      </c>
      <c r="F9" s="33">
        <f t="shared" si="2"/>
        <v>20765.747220000001</v>
      </c>
      <c r="G9" s="33">
        <f t="shared" si="3"/>
        <v>446.74722000000111</v>
      </c>
      <c r="H9" s="33">
        <f t="shared" si="4"/>
        <v>20544.615234375</v>
      </c>
      <c r="I9" s="33">
        <f t="shared" si="5"/>
        <v>225.615234375</v>
      </c>
      <c r="J9" s="33">
        <f t="shared" si="6"/>
        <v>199583.07857772938</v>
      </c>
      <c r="K9" s="33">
        <f t="shared" si="7"/>
        <v>50902.233982086182</v>
      </c>
      <c r="L9" s="50">
        <f t="shared" si="0"/>
        <v>2.198667355676958E-2</v>
      </c>
      <c r="M9" s="51">
        <f t="shared" si="1"/>
        <v>1.1103658367783847E-2</v>
      </c>
    </row>
    <row r="10" spans="1:13" ht="15.6" x14ac:dyDescent="0.3">
      <c r="A10" s="49">
        <v>8</v>
      </c>
      <c r="B10" s="33" t="s">
        <v>9</v>
      </c>
      <c r="C10" s="101">
        <v>20318</v>
      </c>
      <c r="D10" s="33">
        <f t="shared" si="8"/>
        <v>20327</v>
      </c>
      <c r="E10" s="33">
        <f t="shared" si="9"/>
        <v>22173.545454545456</v>
      </c>
      <c r="F10" s="33">
        <f t="shared" si="2"/>
        <v>20721.072498000001</v>
      </c>
      <c r="G10" s="33">
        <f t="shared" si="3"/>
        <v>403.07249800000136</v>
      </c>
      <c r="H10" s="33">
        <f t="shared" si="4"/>
        <v>20488.21142578125</v>
      </c>
      <c r="I10" s="33">
        <f t="shared" si="5"/>
        <v>170.21142578125</v>
      </c>
      <c r="J10" s="33">
        <f t="shared" si="6"/>
        <v>162467.4386439611</v>
      </c>
      <c r="K10" s="33">
        <f t="shared" si="7"/>
        <v>28971.929466485977</v>
      </c>
      <c r="L10" s="50">
        <f t="shared" si="0"/>
        <v>1.9838197558814909E-2</v>
      </c>
      <c r="M10" s="51">
        <f t="shared" si="1"/>
        <v>8.3773710887513533E-3</v>
      </c>
    </row>
    <row r="11" spans="1:13" ht="15.6" x14ac:dyDescent="0.3">
      <c r="A11" s="49">
        <v>9</v>
      </c>
      <c r="B11" s="33" t="s">
        <v>10</v>
      </c>
      <c r="C11" s="101">
        <v>20308</v>
      </c>
      <c r="D11" s="33">
        <f t="shared" si="8"/>
        <v>20321.666666666668</v>
      </c>
      <c r="E11" s="33">
        <f t="shared" si="9"/>
        <v>22168.18181818182</v>
      </c>
      <c r="F11" s="33">
        <f t="shared" si="2"/>
        <v>20680.765248200001</v>
      </c>
      <c r="G11" s="33">
        <f t="shared" si="3"/>
        <v>372.76524820000122</v>
      </c>
      <c r="H11" s="33">
        <f t="shared" si="4"/>
        <v>20445.658569335938</v>
      </c>
      <c r="I11" s="33">
        <f t="shared" si="5"/>
        <v>137.6585693359375</v>
      </c>
      <c r="J11" s="33">
        <f t="shared" si="6"/>
        <v>138953.93026560851</v>
      </c>
      <c r="K11" s="33">
        <f t="shared" si="7"/>
        <v>18949.881711617112</v>
      </c>
      <c r="L11" s="50">
        <f t="shared" si="0"/>
        <v>1.8355586379751883E-2</v>
      </c>
      <c r="M11" s="51">
        <f t="shared" si="1"/>
        <v>6.7785389667095481E-3</v>
      </c>
    </row>
    <row r="12" spans="1:13" ht="15.6" x14ac:dyDescent="0.3">
      <c r="A12" s="49">
        <v>10</v>
      </c>
      <c r="B12" s="33" t="s">
        <v>11</v>
      </c>
      <c r="C12" s="101">
        <v>20270</v>
      </c>
      <c r="D12" s="33">
        <f t="shared" si="8"/>
        <v>20315</v>
      </c>
      <c r="E12" s="33">
        <f t="shared" si="9"/>
        <v>22160.81818181818</v>
      </c>
      <c r="F12" s="33">
        <f t="shared" si="2"/>
        <v>20643.48872338</v>
      </c>
      <c r="G12" s="33">
        <f t="shared" si="3"/>
        <v>373.48872338000001</v>
      </c>
      <c r="H12" s="33">
        <f t="shared" si="4"/>
        <v>20411.243927001953</v>
      </c>
      <c r="I12" s="33">
        <f t="shared" si="5"/>
        <v>141.24392700195313</v>
      </c>
      <c r="J12" s="33">
        <f t="shared" si="6"/>
        <v>139493.82649202217</v>
      </c>
      <c r="K12" s="33">
        <f t="shared" si="7"/>
        <v>19949.846914933063</v>
      </c>
      <c r="L12" s="50">
        <f t="shared" si="0"/>
        <v>1.8425689362604834E-2</v>
      </c>
      <c r="M12" s="51">
        <f t="shared" si="1"/>
        <v>6.9681266404515605E-3</v>
      </c>
    </row>
    <row r="13" spans="1:13" ht="15.6" x14ac:dyDescent="0.3">
      <c r="A13" s="49">
        <v>11</v>
      </c>
      <c r="B13" s="33" t="s">
        <v>12</v>
      </c>
      <c r="C13" s="101">
        <v>20110</v>
      </c>
      <c r="D13" s="33">
        <f t="shared" si="8"/>
        <v>20298.666666666668</v>
      </c>
      <c r="E13" s="33">
        <f t="shared" si="9"/>
        <v>22139.636363636364</v>
      </c>
      <c r="F13" s="33">
        <f t="shared" si="2"/>
        <v>20606.139851042</v>
      </c>
      <c r="G13" s="33">
        <f t="shared" si="3"/>
        <v>496.13985104200037</v>
      </c>
      <c r="H13" s="33">
        <f t="shared" si="4"/>
        <v>20375.932945251465</v>
      </c>
      <c r="I13" s="33">
        <f t="shared" si="5"/>
        <v>265.93294525146484</v>
      </c>
      <c r="J13" s="33">
        <f t="shared" si="6"/>
        <v>246154.75179197831</v>
      </c>
      <c r="K13" s="33">
        <f t="shared" si="7"/>
        <v>70720.331370118598</v>
      </c>
      <c r="L13" s="50">
        <f t="shared" si="0"/>
        <v>2.4671300399900564E-2</v>
      </c>
      <c r="M13" s="51">
        <f t="shared" si="1"/>
        <v>1.3223915726079803E-2</v>
      </c>
    </row>
    <row r="14" spans="1:13" ht="15.6" x14ac:dyDescent="0.3">
      <c r="A14" s="49">
        <v>12</v>
      </c>
      <c r="B14" s="52" t="s">
        <v>13</v>
      </c>
      <c r="C14" s="101">
        <v>20037</v>
      </c>
      <c r="D14" s="52">
        <f t="shared" si="8"/>
        <v>20229.333333333332</v>
      </c>
      <c r="E14" s="33">
        <f t="shared" si="9"/>
        <v>22050.363636363636</v>
      </c>
      <c r="F14" s="33">
        <f t="shared" si="2"/>
        <v>20556.525865937801</v>
      </c>
      <c r="G14" s="52">
        <f t="shared" si="3"/>
        <v>519.52586593780143</v>
      </c>
      <c r="H14" s="33">
        <f t="shared" si="4"/>
        <v>20309.449708938599</v>
      </c>
      <c r="I14" s="52">
        <f t="shared" si="5"/>
        <v>272.44970893859863</v>
      </c>
      <c r="J14" s="52">
        <f t="shared" si="6"/>
        <v>269907.12537842244</v>
      </c>
      <c r="K14" s="52">
        <f t="shared" si="7"/>
        <v>74228.843900727108</v>
      </c>
      <c r="L14" s="50">
        <f t="shared" si="0"/>
        <v>2.5928325893986196E-2</v>
      </c>
      <c r="M14" s="51">
        <f t="shared" si="1"/>
        <v>1.3597330385716356E-2</v>
      </c>
    </row>
    <row r="15" spans="1:13" ht="15.6" x14ac:dyDescent="0.3">
      <c r="A15" s="4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13" ht="15.6" x14ac:dyDescent="0.3">
      <c r="A16" s="49"/>
      <c r="B16" s="56" t="s">
        <v>18</v>
      </c>
      <c r="C16" s="112">
        <f>SUM(C3:C14)</f>
        <v>244610</v>
      </c>
      <c r="D16" s="60"/>
      <c r="E16" s="60"/>
      <c r="F16" s="60"/>
      <c r="G16" s="59">
        <f>SUM(G3:G14)</f>
        <v>4924.2672065598053</v>
      </c>
      <c r="H16" s="60"/>
      <c r="I16" s="110">
        <f>SUM(I3:I14)</f>
        <v>3022.6508731842041</v>
      </c>
      <c r="J16" s="110">
        <f>SUM(J3:J14)</f>
        <v>2242536.6826353613</v>
      </c>
      <c r="K16" s="110">
        <f>SUM(K3:K14)</f>
        <v>916048.20217262814</v>
      </c>
      <c r="L16" s="62">
        <f>SUM(L3:L14)</f>
        <v>0.24237634292558907</v>
      </c>
      <c r="M16" s="63">
        <f>SUM(M3:M14)</f>
        <v>0.14851780079384758</v>
      </c>
    </row>
    <row r="17" spans="1:13" ht="15.6" x14ac:dyDescent="0.3">
      <c r="A17" s="49"/>
      <c r="B17" s="57" t="s">
        <v>19</v>
      </c>
      <c r="C17" s="34"/>
      <c r="D17" s="34"/>
      <c r="E17" s="34"/>
      <c r="F17" s="61"/>
      <c r="G17" s="67">
        <f>G16/12</f>
        <v>410.35560054665046</v>
      </c>
      <c r="H17" s="61"/>
      <c r="I17" s="69">
        <f>I16/12</f>
        <v>251.88757276535034</v>
      </c>
      <c r="J17" s="101"/>
      <c r="K17" s="101"/>
      <c r="L17" s="64"/>
      <c r="M17" s="34"/>
    </row>
    <row r="18" spans="1:13" ht="15.6" x14ac:dyDescent="0.3">
      <c r="A18" s="49"/>
      <c r="B18" s="57" t="s">
        <v>20</v>
      </c>
      <c r="C18" s="34"/>
      <c r="D18" s="34"/>
      <c r="E18" s="34"/>
      <c r="F18" s="34"/>
      <c r="G18" s="34"/>
      <c r="H18" s="34"/>
      <c r="I18" s="101"/>
      <c r="J18" s="69">
        <f>J16/12</f>
        <v>186878.0568862801</v>
      </c>
      <c r="K18" s="69">
        <f>K16/12</f>
        <v>76337.350181052345</v>
      </c>
      <c r="L18" s="64"/>
      <c r="M18" s="34"/>
    </row>
    <row r="19" spans="1:13" ht="15.6" x14ac:dyDescent="0.3">
      <c r="A19" s="49"/>
      <c r="B19" s="57" t="s">
        <v>21</v>
      </c>
      <c r="C19" s="34"/>
      <c r="D19" s="34"/>
      <c r="E19" s="34"/>
      <c r="F19" s="34"/>
      <c r="G19" s="34"/>
      <c r="H19" s="34"/>
      <c r="I19" s="101"/>
      <c r="J19" s="101"/>
      <c r="K19" s="101"/>
      <c r="L19" s="68">
        <f>L16/12</f>
        <v>2.0198028577132422E-2</v>
      </c>
      <c r="M19" s="111">
        <f>M16/12</f>
        <v>1.2376483399487298E-2</v>
      </c>
    </row>
  </sheetData>
  <sortState xmlns:xlrd2="http://schemas.microsoft.com/office/spreadsheetml/2017/richdata2" ref="C3:C14">
    <sortCondition descending="1" ref="C3:C14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0DBC-9B0E-A541-988E-C2215DDAA485}">
  <dimension ref="A1:I16"/>
  <sheetViews>
    <sheetView zoomScale="50" workbookViewId="0">
      <selection activeCell="V30" sqref="V30"/>
    </sheetView>
  </sheetViews>
  <sheetFormatPr defaultColWidth="11.44140625" defaultRowHeight="15.6" x14ac:dyDescent="0.3"/>
  <cols>
    <col min="1" max="1" width="11.77734375" style="25" bestFit="1" customWidth="1"/>
    <col min="2" max="2" width="11.6640625" style="25" bestFit="1" customWidth="1"/>
    <col min="3" max="3" width="10.6640625" style="25" bestFit="1" customWidth="1"/>
    <col min="4" max="4" width="33.44140625" style="25" bestFit="1" customWidth="1"/>
    <col min="5" max="5" width="8.33203125" style="25" bestFit="1" customWidth="1"/>
    <col min="6" max="6" width="13.77734375" style="25" bestFit="1" customWidth="1"/>
    <col min="7" max="7" width="16.77734375" style="25" bestFit="1" customWidth="1"/>
    <col min="8" max="8" width="4" style="25" bestFit="1" customWidth="1"/>
    <col min="9" max="9" width="14.109375" style="25" bestFit="1" customWidth="1"/>
    <col min="10" max="16384" width="11.44140625" style="25"/>
  </cols>
  <sheetData>
    <row r="1" spans="1:9" x14ac:dyDescent="0.3">
      <c r="A1" s="104"/>
      <c r="B1" s="105" t="s">
        <v>35</v>
      </c>
      <c r="C1" s="106" t="s">
        <v>0</v>
      </c>
      <c r="D1" s="106" t="s">
        <v>73</v>
      </c>
      <c r="E1" s="105" t="s">
        <v>29</v>
      </c>
      <c r="F1" s="105" t="s">
        <v>30</v>
      </c>
      <c r="G1" s="105" t="s">
        <v>37</v>
      </c>
    </row>
    <row r="2" spans="1:9" x14ac:dyDescent="0.3">
      <c r="A2" s="104"/>
      <c r="B2" s="21">
        <v>1</v>
      </c>
      <c r="C2" s="11" t="s">
        <v>2</v>
      </c>
      <c r="D2" s="107">
        <v>20917</v>
      </c>
      <c r="E2" s="107">
        <f>B2^2</f>
        <v>1</v>
      </c>
      <c r="F2" s="107">
        <f>B2*D2</f>
        <v>20917</v>
      </c>
      <c r="G2" s="107">
        <f>$I$7+$I$6*B2</f>
        <v>20727.320512820515</v>
      </c>
    </row>
    <row r="3" spans="1:9" x14ac:dyDescent="0.3">
      <c r="A3" s="104"/>
      <c r="B3" s="21">
        <v>2</v>
      </c>
      <c r="C3" s="11" t="s">
        <v>3</v>
      </c>
      <c r="D3" s="107">
        <v>20791</v>
      </c>
      <c r="E3" s="107">
        <f t="shared" ref="E3:E13" si="0">B3^2</f>
        <v>4</v>
      </c>
      <c r="F3" s="107">
        <f t="shared" ref="F3:F13" si="1">B3*D3</f>
        <v>41582</v>
      </c>
      <c r="G3" s="107">
        <f>$I$7+$I$6*B3</f>
        <v>20664.928904428907</v>
      </c>
    </row>
    <row r="4" spans="1:9" x14ac:dyDescent="0.3">
      <c r="A4" s="104"/>
      <c r="B4" s="21">
        <v>3</v>
      </c>
      <c r="C4" s="11" t="s">
        <v>4</v>
      </c>
      <c r="D4" s="107">
        <v>20509</v>
      </c>
      <c r="E4" s="107">
        <f t="shared" si="0"/>
        <v>9</v>
      </c>
      <c r="F4" s="107">
        <f t="shared" si="1"/>
        <v>61527</v>
      </c>
      <c r="G4" s="107">
        <f>$I$7+$I$6*B4</f>
        <v>20602.537296037299</v>
      </c>
    </row>
    <row r="5" spans="1:9" x14ac:dyDescent="0.3">
      <c r="A5" s="104"/>
      <c r="B5" s="21">
        <v>4</v>
      </c>
      <c r="C5" s="11" t="s">
        <v>5</v>
      </c>
      <c r="D5" s="107">
        <v>20369</v>
      </c>
      <c r="E5" s="107">
        <f t="shared" si="0"/>
        <v>16</v>
      </c>
      <c r="F5" s="107">
        <f t="shared" si="1"/>
        <v>81476</v>
      </c>
      <c r="G5" s="107">
        <f t="shared" ref="G5:G13" si="2">$I$7+$I$6*B5</f>
        <v>20540.14568764569</v>
      </c>
    </row>
    <row r="6" spans="1:9" x14ac:dyDescent="0.3">
      <c r="A6" s="104"/>
      <c r="B6" s="21">
        <v>5</v>
      </c>
      <c r="C6" s="11" t="s">
        <v>6</v>
      </c>
      <c r="D6" s="107">
        <v>20334</v>
      </c>
      <c r="E6" s="107">
        <f t="shared" si="0"/>
        <v>25</v>
      </c>
      <c r="F6" s="107">
        <f t="shared" si="1"/>
        <v>101670</v>
      </c>
      <c r="G6" s="107">
        <f>$I$7+$I$6*B6</f>
        <v>20477.754079254082</v>
      </c>
      <c r="H6" s="108" t="s">
        <v>33</v>
      </c>
      <c r="I6" s="21">
        <f>(F15-(12*B16*D16))/(E15-(12*(B16^2)))</f>
        <v>-62.391608391608393</v>
      </c>
    </row>
    <row r="7" spans="1:9" x14ac:dyDescent="0.3">
      <c r="A7" s="104"/>
      <c r="B7" s="21">
        <v>6</v>
      </c>
      <c r="C7" s="11" t="s">
        <v>7</v>
      </c>
      <c r="D7" s="107">
        <v>20328</v>
      </c>
      <c r="E7" s="107">
        <f t="shared" si="0"/>
        <v>36</v>
      </c>
      <c r="F7" s="107">
        <f t="shared" si="1"/>
        <v>121968</v>
      </c>
      <c r="G7" s="107">
        <f>$I$7+$I$6*B7</f>
        <v>20415.362470862474</v>
      </c>
      <c r="H7" s="108" t="s">
        <v>34</v>
      </c>
      <c r="I7" s="21">
        <f>D16-I6*B16</f>
        <v>20789.712121212124</v>
      </c>
    </row>
    <row r="8" spans="1:9" x14ac:dyDescent="0.3">
      <c r="A8" s="104"/>
      <c r="B8" s="21">
        <v>7</v>
      </c>
      <c r="C8" s="11" t="s">
        <v>8</v>
      </c>
      <c r="D8" s="107">
        <v>20319</v>
      </c>
      <c r="E8" s="107">
        <f t="shared" si="0"/>
        <v>49</v>
      </c>
      <c r="F8" s="107">
        <f t="shared" si="1"/>
        <v>142233</v>
      </c>
      <c r="G8" s="107">
        <f t="shared" si="2"/>
        <v>20352.970862470866</v>
      </c>
    </row>
    <row r="9" spans="1:9" x14ac:dyDescent="0.3">
      <c r="A9" s="104"/>
      <c r="B9" s="21">
        <v>8</v>
      </c>
      <c r="C9" s="11" t="s">
        <v>9</v>
      </c>
      <c r="D9" s="107">
        <v>20318</v>
      </c>
      <c r="E9" s="107">
        <f t="shared" si="0"/>
        <v>64</v>
      </c>
      <c r="F9" s="107">
        <f t="shared" si="1"/>
        <v>162544</v>
      </c>
      <c r="G9" s="107">
        <f>$I$7+$I$6*B9</f>
        <v>20290.579254079257</v>
      </c>
    </row>
    <row r="10" spans="1:9" x14ac:dyDescent="0.3">
      <c r="A10" s="104"/>
      <c r="B10" s="21">
        <v>9</v>
      </c>
      <c r="C10" s="11" t="s">
        <v>10</v>
      </c>
      <c r="D10" s="107">
        <v>20308</v>
      </c>
      <c r="E10" s="107">
        <f t="shared" si="0"/>
        <v>81</v>
      </c>
      <c r="F10" s="107">
        <f t="shared" si="1"/>
        <v>182772</v>
      </c>
      <c r="G10" s="107">
        <f>$I$7+$I$6*B10</f>
        <v>20228.187645687649</v>
      </c>
    </row>
    <row r="11" spans="1:9" x14ac:dyDescent="0.3">
      <c r="A11" s="104"/>
      <c r="B11" s="21">
        <v>10</v>
      </c>
      <c r="C11" s="11" t="s">
        <v>11</v>
      </c>
      <c r="D11" s="107">
        <v>20270</v>
      </c>
      <c r="E11" s="107">
        <f t="shared" si="0"/>
        <v>100</v>
      </c>
      <c r="F11" s="107">
        <f t="shared" si="1"/>
        <v>202700</v>
      </c>
      <c r="G11" s="107">
        <f t="shared" si="2"/>
        <v>20165.796037296041</v>
      </c>
    </row>
    <row r="12" spans="1:9" x14ac:dyDescent="0.3">
      <c r="A12" s="104"/>
      <c r="B12" s="21">
        <v>11</v>
      </c>
      <c r="C12" s="11" t="s">
        <v>12</v>
      </c>
      <c r="D12" s="107">
        <v>20110</v>
      </c>
      <c r="E12" s="107">
        <f t="shared" si="0"/>
        <v>121</v>
      </c>
      <c r="F12" s="107">
        <f t="shared" si="1"/>
        <v>221210</v>
      </c>
      <c r="G12" s="107">
        <f t="shared" si="2"/>
        <v>20103.404428904432</v>
      </c>
    </row>
    <row r="13" spans="1:9" x14ac:dyDescent="0.3">
      <c r="A13" s="104"/>
      <c r="B13" s="21">
        <v>12</v>
      </c>
      <c r="C13" s="11" t="s">
        <v>13</v>
      </c>
      <c r="D13" s="107">
        <v>20037</v>
      </c>
      <c r="E13" s="107">
        <f t="shared" si="0"/>
        <v>144</v>
      </c>
      <c r="F13" s="107">
        <f t="shared" si="1"/>
        <v>240444</v>
      </c>
      <c r="G13" s="107">
        <f t="shared" si="2"/>
        <v>20041.012820512824</v>
      </c>
    </row>
    <row r="14" spans="1:9" x14ac:dyDescent="0.3">
      <c r="A14" s="104"/>
      <c r="B14" s="104"/>
      <c r="C14" s="104"/>
      <c r="D14" s="104"/>
      <c r="E14" s="104"/>
      <c r="F14" s="104"/>
    </row>
    <row r="15" spans="1:9" x14ac:dyDescent="0.3">
      <c r="A15" s="105" t="s">
        <v>31</v>
      </c>
      <c r="B15" s="21">
        <f>SUM(B2:B13)</f>
        <v>78</v>
      </c>
      <c r="C15" s="21"/>
      <c r="D15" s="11">
        <f>SUM(D2:D13)</f>
        <v>244610</v>
      </c>
      <c r="E15" s="11">
        <f t="shared" ref="E15" si="3">SUM(E2:E13)</f>
        <v>650</v>
      </c>
      <c r="F15" s="11">
        <f>SUM(F2:F13)</f>
        <v>1581043</v>
      </c>
    </row>
    <row r="16" spans="1:9" x14ac:dyDescent="0.3">
      <c r="A16" s="105" t="s">
        <v>32</v>
      </c>
      <c r="B16" s="21">
        <f>AVERAGE(B2:B13)</f>
        <v>6.5</v>
      </c>
      <c r="C16" s="21"/>
      <c r="D16" s="11">
        <f>AVERAGE(D2:D13)</f>
        <v>20384.166666666668</v>
      </c>
      <c r="E16" s="11">
        <f>AVERAGE(E2:E13)</f>
        <v>54.166666666666664</v>
      </c>
      <c r="F16" s="11">
        <f t="shared" ref="F16" si="4">AVERAGE(F2:F13)</f>
        <v>131753.58333333334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C42D-FB12-864A-95BD-1690BABF92C6}">
  <dimension ref="A2:M19"/>
  <sheetViews>
    <sheetView zoomScale="50" zoomScaleNormal="123" workbookViewId="0">
      <selection activeCell="F62" sqref="F62"/>
    </sheetView>
  </sheetViews>
  <sheetFormatPr defaultColWidth="8.77734375" defaultRowHeight="15.6" x14ac:dyDescent="0.3"/>
  <cols>
    <col min="1" max="1" width="8.77734375" style="49"/>
    <col min="2" max="2" width="37" style="49" bestFit="1" customWidth="1"/>
    <col min="3" max="3" width="43.109375" style="49" bestFit="1" customWidth="1"/>
    <col min="4" max="4" width="27.6640625" style="49" bestFit="1" customWidth="1"/>
    <col min="5" max="5" width="48.109375" style="49" bestFit="1" customWidth="1"/>
    <col min="6" max="6" width="36.44140625" style="49" bestFit="1" customWidth="1"/>
    <col min="7" max="7" width="32.77734375" style="49" bestFit="1" customWidth="1"/>
    <col min="8" max="8" width="36.44140625" style="49" bestFit="1" customWidth="1"/>
    <col min="9" max="9" width="32.77734375" style="49" bestFit="1" customWidth="1"/>
    <col min="10" max="11" width="45.33203125" style="49" bestFit="1" customWidth="1"/>
    <col min="12" max="13" width="57.109375" style="49" bestFit="1" customWidth="1"/>
    <col min="14" max="16384" width="8.77734375" style="49"/>
  </cols>
  <sheetData>
    <row r="2" spans="1:13" s="114" customFormat="1" ht="17.399999999999999" x14ac:dyDescent="0.3">
      <c r="B2" s="36" t="s">
        <v>68</v>
      </c>
      <c r="C2" s="36" t="s">
        <v>74</v>
      </c>
      <c r="D2" s="36" t="s">
        <v>48</v>
      </c>
      <c r="E2" s="36" t="s">
        <v>49</v>
      </c>
      <c r="F2" s="115" t="s">
        <v>50</v>
      </c>
      <c r="G2" s="115" t="s">
        <v>51</v>
      </c>
      <c r="H2" s="115" t="s">
        <v>52</v>
      </c>
      <c r="I2" s="115" t="s">
        <v>53</v>
      </c>
      <c r="J2" s="36" t="s">
        <v>54</v>
      </c>
      <c r="K2" s="36" t="s">
        <v>55</v>
      </c>
      <c r="L2" s="36" t="s">
        <v>56</v>
      </c>
      <c r="M2" s="116" t="s">
        <v>57</v>
      </c>
    </row>
    <row r="3" spans="1:13" x14ac:dyDescent="0.3">
      <c r="A3" s="49">
        <v>1</v>
      </c>
      <c r="B3" s="33" t="s">
        <v>2</v>
      </c>
      <c r="C3" s="33">
        <v>41898</v>
      </c>
      <c r="D3" s="33" t="s">
        <v>15</v>
      </c>
      <c r="E3" s="33" t="s">
        <v>15</v>
      </c>
      <c r="F3" s="33">
        <v>42126</v>
      </c>
      <c r="G3" s="33">
        <f>ABS(C3-F3)</f>
        <v>228</v>
      </c>
      <c r="H3" s="33">
        <v>42126</v>
      </c>
      <c r="I3" s="33">
        <f>ABS(C3-H3)</f>
        <v>228</v>
      </c>
      <c r="J3" s="33">
        <f>(G3)^2</f>
        <v>51984</v>
      </c>
      <c r="K3" s="33">
        <f>I3^2</f>
        <v>51984</v>
      </c>
      <c r="L3" s="50">
        <f>(G3/C3)</f>
        <v>5.4417871974795935E-3</v>
      </c>
      <c r="M3" s="51">
        <f>(I3/C3)</f>
        <v>5.4417871974795935E-3</v>
      </c>
    </row>
    <row r="4" spans="1:13" x14ac:dyDescent="0.3">
      <c r="A4" s="49">
        <v>2</v>
      </c>
      <c r="B4" s="33" t="s">
        <v>3</v>
      </c>
      <c r="C4" s="33">
        <v>41226</v>
      </c>
      <c r="D4" s="33" t="s">
        <v>15</v>
      </c>
      <c r="E4" s="33" t="s">
        <v>15</v>
      </c>
      <c r="F4" s="33">
        <f>F3+(0.15*(C3-F3))</f>
        <v>42091.8</v>
      </c>
      <c r="G4" s="33">
        <f>ABS(C4-F4)</f>
        <v>865.80000000000291</v>
      </c>
      <c r="H4" s="33">
        <f>H3+(0.85*(C3-H3))</f>
        <v>41932.199999999997</v>
      </c>
      <c r="I4" s="33">
        <f>ABS(C4-H4)</f>
        <v>706.19999999999709</v>
      </c>
      <c r="J4" s="33">
        <f>(G4)^2</f>
        <v>749609.64000000502</v>
      </c>
      <c r="K4" s="33">
        <f>I4^2</f>
        <v>498718.43999999587</v>
      </c>
      <c r="L4" s="50">
        <f t="shared" ref="L4:L14" si="0">(G4/C4)</f>
        <v>2.1001309853005457E-2</v>
      </c>
      <c r="M4" s="51">
        <f t="shared" ref="M4:M14" si="1">(I4/C4)</f>
        <v>1.7129966525978681E-2</v>
      </c>
    </row>
    <row r="5" spans="1:13" x14ac:dyDescent="0.3">
      <c r="A5" s="49">
        <v>3</v>
      </c>
      <c r="B5" s="33" t="s">
        <v>4</v>
      </c>
      <c r="C5" s="33">
        <v>43563</v>
      </c>
      <c r="D5" s="33" t="s">
        <v>15</v>
      </c>
      <c r="E5" s="33" t="s">
        <v>15</v>
      </c>
      <c r="F5" s="33">
        <f t="shared" ref="F5:F14" si="2">F4+(0.15*(C4-F4))</f>
        <v>41961.93</v>
      </c>
      <c r="G5" s="33">
        <f t="shared" ref="G5:G14" si="3">ABS(C5-F5)</f>
        <v>1601.0699999999997</v>
      </c>
      <c r="H5" s="33">
        <f t="shared" ref="H5:H14" si="4">H4+(0.85*(C4-H4))</f>
        <v>41331.93</v>
      </c>
      <c r="I5" s="33">
        <f t="shared" ref="I5:I14" si="5">ABS(C5-H5)</f>
        <v>2231.0699999999997</v>
      </c>
      <c r="J5" s="33">
        <f t="shared" ref="J5:J14" si="6">(G5)^2</f>
        <v>2563425.1448999993</v>
      </c>
      <c r="K5" s="33">
        <f t="shared" ref="K5:K14" si="7">I5^2</f>
        <v>4977673.344899999</v>
      </c>
      <c r="L5" s="50">
        <f t="shared" si="0"/>
        <v>3.6752978445010666E-2</v>
      </c>
      <c r="M5" s="51">
        <f t="shared" si="1"/>
        <v>5.1214792369671504E-2</v>
      </c>
    </row>
    <row r="6" spans="1:13" x14ac:dyDescent="0.3">
      <c r="A6" s="49">
        <v>4</v>
      </c>
      <c r="B6" s="33" t="s">
        <v>5</v>
      </c>
      <c r="C6" s="33">
        <v>41390</v>
      </c>
      <c r="D6" s="33" t="s">
        <v>15</v>
      </c>
      <c r="E6" s="33" t="s">
        <v>15</v>
      </c>
      <c r="F6" s="33">
        <f t="shared" si="2"/>
        <v>42202.090499999998</v>
      </c>
      <c r="G6" s="33">
        <f t="shared" si="3"/>
        <v>812.09049999999843</v>
      </c>
      <c r="H6" s="33">
        <f t="shared" si="4"/>
        <v>43228.339500000002</v>
      </c>
      <c r="I6" s="33">
        <f t="shared" si="5"/>
        <v>1838.3395000000019</v>
      </c>
      <c r="J6" s="33">
        <f t="shared" si="6"/>
        <v>659490.98019024741</v>
      </c>
      <c r="K6" s="33">
        <f t="shared" si="7"/>
        <v>3379492.1172602568</v>
      </c>
      <c r="L6" s="50">
        <f t="shared" si="0"/>
        <v>1.962045179995164E-2</v>
      </c>
      <c r="M6" s="51">
        <f t="shared" si="1"/>
        <v>4.4415064025126884E-2</v>
      </c>
    </row>
    <row r="7" spans="1:13" x14ac:dyDescent="0.3">
      <c r="A7" s="49">
        <v>5</v>
      </c>
      <c r="B7" s="33" t="s">
        <v>6</v>
      </c>
      <c r="C7" s="33">
        <v>43299</v>
      </c>
      <c r="D7" s="33">
        <f>(C3+C4+C5+C6)/4</f>
        <v>42019.25</v>
      </c>
      <c r="E7" s="33">
        <f>(C3*2+C4*3+C5*4+C6*5)/14</f>
        <v>42048.285714285717</v>
      </c>
      <c r="F7" s="33">
        <f t="shared" si="2"/>
        <v>42080.276924999998</v>
      </c>
      <c r="G7" s="33">
        <f t="shared" si="3"/>
        <v>1218.7230750000017</v>
      </c>
      <c r="H7" s="33">
        <f t="shared" si="4"/>
        <v>41665.750925</v>
      </c>
      <c r="I7" s="33">
        <f t="shared" si="5"/>
        <v>1633.2490749999997</v>
      </c>
      <c r="J7" s="33">
        <f t="shared" si="6"/>
        <v>1485285.9335374597</v>
      </c>
      <c r="K7" s="33">
        <f t="shared" si="7"/>
        <v>2667502.5409883549</v>
      </c>
      <c r="L7" s="50">
        <f t="shared" si="0"/>
        <v>2.8146679484514693E-2</v>
      </c>
      <c r="M7" s="51">
        <f t="shared" si="1"/>
        <v>3.7720249312917148E-2</v>
      </c>
    </row>
    <row r="8" spans="1:13" x14ac:dyDescent="0.3">
      <c r="A8" s="49">
        <v>6</v>
      </c>
      <c r="B8" s="33" t="s">
        <v>7</v>
      </c>
      <c r="C8" s="33">
        <v>43507</v>
      </c>
      <c r="D8" s="33">
        <f t="shared" ref="D8:D14" si="8">(C4+C5+C6+C7)/4</f>
        <v>42369.5</v>
      </c>
      <c r="E8" s="33">
        <f t="shared" ref="E8:E14" si="9">(C4*2+C5*3+C6*4+C7*5)/14</f>
        <v>42514</v>
      </c>
      <c r="F8" s="33">
        <f t="shared" si="2"/>
        <v>42263.085386250001</v>
      </c>
      <c r="G8" s="33">
        <f t="shared" si="3"/>
        <v>1243.9146137499993</v>
      </c>
      <c r="H8" s="33">
        <f t="shared" si="4"/>
        <v>43054.012638749999</v>
      </c>
      <c r="I8" s="33">
        <f t="shared" si="5"/>
        <v>452.98736125000141</v>
      </c>
      <c r="J8" s="33">
        <f t="shared" si="6"/>
        <v>1547323.5663008098</v>
      </c>
      <c r="K8" s="33">
        <f t="shared" si="7"/>
        <v>205197.54945223927</v>
      </c>
      <c r="L8" s="50">
        <f t="shared" si="0"/>
        <v>2.8591137374445474E-2</v>
      </c>
      <c r="M8" s="51">
        <f t="shared" si="1"/>
        <v>1.0411827091042854E-2</v>
      </c>
    </row>
    <row r="9" spans="1:13" x14ac:dyDescent="0.3">
      <c r="A9" s="49">
        <v>7</v>
      </c>
      <c r="B9" s="33" t="s">
        <v>8</v>
      </c>
      <c r="C9" s="33">
        <v>44166</v>
      </c>
      <c r="D9" s="33">
        <f t="shared" si="8"/>
        <v>42939.75</v>
      </c>
      <c r="E9" s="33">
        <f t="shared" si="9"/>
        <v>43001.928571428572</v>
      </c>
      <c r="F9" s="33">
        <f t="shared" si="2"/>
        <v>42449.6725783125</v>
      </c>
      <c r="G9" s="33">
        <f t="shared" si="3"/>
        <v>1716.3274216874997</v>
      </c>
      <c r="H9" s="33">
        <f t="shared" si="4"/>
        <v>43439.051895812503</v>
      </c>
      <c r="I9" s="33">
        <f t="shared" si="5"/>
        <v>726.94810418749694</v>
      </c>
      <c r="J9" s="33">
        <f t="shared" si="6"/>
        <v>2945779.8184364606</v>
      </c>
      <c r="K9" s="33">
        <f t="shared" si="7"/>
        <v>528453.54618179589</v>
      </c>
      <c r="L9" s="50">
        <f t="shared" si="0"/>
        <v>3.8860830088473027E-2</v>
      </c>
      <c r="M9" s="51">
        <f t="shared" si="1"/>
        <v>1.6459450803502626E-2</v>
      </c>
    </row>
    <row r="10" spans="1:13" x14ac:dyDescent="0.3">
      <c r="A10" s="49">
        <v>8</v>
      </c>
      <c r="B10" s="33" t="s">
        <v>9</v>
      </c>
      <c r="C10" s="33">
        <v>43967</v>
      </c>
      <c r="D10" s="33">
        <f t="shared" si="8"/>
        <v>43090.5</v>
      </c>
      <c r="E10" s="33">
        <f t="shared" si="9"/>
        <v>43395.357142857145</v>
      </c>
      <c r="F10" s="33">
        <f t="shared" si="2"/>
        <v>42707.121691565626</v>
      </c>
      <c r="G10" s="33">
        <f t="shared" si="3"/>
        <v>1259.878308434374</v>
      </c>
      <c r="H10" s="33">
        <f t="shared" si="4"/>
        <v>44056.957784371873</v>
      </c>
      <c r="I10" s="33">
        <f t="shared" si="5"/>
        <v>89.957784371872549</v>
      </c>
      <c r="J10" s="33">
        <f t="shared" si="6"/>
        <v>1587293.3520634598</v>
      </c>
      <c r="K10" s="33">
        <f t="shared" si="7"/>
        <v>8092.4029690963171</v>
      </c>
      <c r="L10" s="50">
        <f t="shared" si="0"/>
        <v>2.8655089235889965E-2</v>
      </c>
      <c r="M10" s="51">
        <f t="shared" si="1"/>
        <v>2.0460296215769223E-3</v>
      </c>
    </row>
    <row r="11" spans="1:13" x14ac:dyDescent="0.3">
      <c r="A11" s="49">
        <v>9</v>
      </c>
      <c r="B11" s="33" t="s">
        <v>10</v>
      </c>
      <c r="C11" s="33">
        <v>42290</v>
      </c>
      <c r="D11" s="33">
        <f t="shared" si="8"/>
        <v>43734.75</v>
      </c>
      <c r="E11" s="33">
        <f t="shared" si="9"/>
        <v>43829.857142857145</v>
      </c>
      <c r="F11" s="33">
        <f t="shared" si="2"/>
        <v>42896.103437830781</v>
      </c>
      <c r="G11" s="33">
        <f t="shared" si="3"/>
        <v>606.10343783078133</v>
      </c>
      <c r="H11" s="33">
        <f t="shared" si="4"/>
        <v>43980.493667655785</v>
      </c>
      <c r="I11" s="33">
        <f t="shared" si="5"/>
        <v>1690.4936676557845</v>
      </c>
      <c r="J11" s="33">
        <f t="shared" si="6"/>
        <v>367361.37735029182</v>
      </c>
      <c r="K11" s="33">
        <f t="shared" si="7"/>
        <v>2857768.8403843059</v>
      </c>
      <c r="L11" s="50">
        <f t="shared" si="0"/>
        <v>1.4332074670862647E-2</v>
      </c>
      <c r="M11" s="51">
        <f t="shared" si="1"/>
        <v>3.9973839386516538E-2</v>
      </c>
    </row>
    <row r="12" spans="1:13" x14ac:dyDescent="0.3">
      <c r="A12" s="49">
        <v>10</v>
      </c>
      <c r="B12" s="33" t="s">
        <v>11</v>
      </c>
      <c r="C12" s="33">
        <v>43429</v>
      </c>
      <c r="D12" s="33">
        <f t="shared" si="8"/>
        <v>43482.5</v>
      </c>
      <c r="E12" s="33">
        <f t="shared" si="9"/>
        <v>43345</v>
      </c>
      <c r="F12" s="33">
        <f t="shared" si="2"/>
        <v>42805.187922156161</v>
      </c>
      <c r="G12" s="33">
        <f t="shared" si="3"/>
        <v>623.81207784383878</v>
      </c>
      <c r="H12" s="33">
        <f t="shared" si="4"/>
        <v>42543.574050148367</v>
      </c>
      <c r="I12" s="33">
        <f t="shared" si="5"/>
        <v>885.42594985163305</v>
      </c>
      <c r="J12" s="33">
        <f t="shared" si="6"/>
        <v>389141.50846384757</v>
      </c>
      <c r="K12" s="33">
        <f t="shared" si="7"/>
        <v>783979.11267066665</v>
      </c>
      <c r="L12" s="50">
        <f t="shared" si="0"/>
        <v>1.4363952148192194E-2</v>
      </c>
      <c r="M12" s="51">
        <f t="shared" si="1"/>
        <v>2.0387896333132999E-2</v>
      </c>
    </row>
    <row r="13" spans="1:13" x14ac:dyDescent="0.3">
      <c r="A13" s="49">
        <v>11</v>
      </c>
      <c r="B13" s="33" t="s">
        <v>12</v>
      </c>
      <c r="C13" s="33">
        <v>44846</v>
      </c>
      <c r="D13" s="33">
        <f t="shared" si="8"/>
        <v>43463</v>
      </c>
      <c r="E13" s="33">
        <f t="shared" si="9"/>
        <v>43324.142857142855</v>
      </c>
      <c r="F13" s="33">
        <f t="shared" si="2"/>
        <v>42898.75973383274</v>
      </c>
      <c r="G13" s="33">
        <f t="shared" si="3"/>
        <v>1947.2402661672604</v>
      </c>
      <c r="H13" s="33">
        <f t="shared" si="4"/>
        <v>43296.186107522255</v>
      </c>
      <c r="I13" s="33">
        <f t="shared" si="5"/>
        <v>1549.813892477745</v>
      </c>
      <c r="J13" s="33">
        <f t="shared" si="6"/>
        <v>3791744.6541831433</v>
      </c>
      <c r="K13" s="33">
        <f t="shared" si="7"/>
        <v>2401923.1013170192</v>
      </c>
      <c r="L13" s="50">
        <f t="shared" si="0"/>
        <v>4.3420600859993316E-2</v>
      </c>
      <c r="M13" s="51">
        <f t="shared" si="1"/>
        <v>3.4558575847962916E-2</v>
      </c>
    </row>
    <row r="14" spans="1:13" x14ac:dyDescent="0.3">
      <c r="A14" s="49">
        <v>12</v>
      </c>
      <c r="B14" s="52" t="s">
        <v>13</v>
      </c>
      <c r="C14" s="52">
        <v>42148</v>
      </c>
      <c r="D14" s="33">
        <f t="shared" si="8"/>
        <v>43633</v>
      </c>
      <c r="E14" s="33">
        <f t="shared" si="9"/>
        <v>43767.857142857145</v>
      </c>
      <c r="F14" s="33">
        <f t="shared" si="2"/>
        <v>43190.845773757828</v>
      </c>
      <c r="G14" s="52">
        <f t="shared" si="3"/>
        <v>1042.8457737578283</v>
      </c>
      <c r="H14" s="33">
        <f t="shared" si="4"/>
        <v>44613.52791612834</v>
      </c>
      <c r="I14" s="52">
        <f t="shared" si="5"/>
        <v>2465.5279161283397</v>
      </c>
      <c r="J14" s="52">
        <f t="shared" si="6"/>
        <v>1087527.3078445636</v>
      </c>
      <c r="K14" s="52">
        <f t="shared" si="7"/>
        <v>6078827.9052081537</v>
      </c>
      <c r="L14" s="50">
        <f t="shared" si="0"/>
        <v>2.474247351612955E-2</v>
      </c>
      <c r="M14" s="51">
        <f t="shared" si="1"/>
        <v>5.8496913640702752E-2</v>
      </c>
    </row>
    <row r="15" spans="1:13" x14ac:dyDescent="0.3"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13" x14ac:dyDescent="0.3">
      <c r="B16" s="117" t="s">
        <v>18</v>
      </c>
      <c r="C16" s="113">
        <f>SUM(C3:C14)</f>
        <v>515729</v>
      </c>
      <c r="D16" s="60"/>
      <c r="E16" s="60"/>
      <c r="F16" s="60"/>
      <c r="G16" s="59">
        <f>SUM(G3:G14)</f>
        <v>13165.805474471585</v>
      </c>
      <c r="H16" s="60"/>
      <c r="I16" s="58">
        <f>SUM(I3:I14)</f>
        <v>14498.013250922872</v>
      </c>
      <c r="J16" s="58">
        <f>SUM(J3:J14)</f>
        <v>17225967.283270288</v>
      </c>
      <c r="K16" s="58">
        <f>SUM(K3:K14)</f>
        <v>24439612.901331887</v>
      </c>
      <c r="L16" s="62">
        <f>SUM(L3:L14)</f>
        <v>0.30392936467394821</v>
      </c>
      <c r="M16" s="63">
        <f>SUM(M3:M14)</f>
        <v>0.33825639215561143</v>
      </c>
    </row>
    <row r="17" spans="2:13" x14ac:dyDescent="0.3">
      <c r="B17" s="102" t="s">
        <v>19</v>
      </c>
      <c r="C17" s="34"/>
      <c r="D17" s="34"/>
      <c r="E17" s="34"/>
      <c r="F17" s="61"/>
      <c r="G17" s="69">
        <f>G16/12</f>
        <v>1097.1504562059654</v>
      </c>
      <c r="H17" s="61"/>
      <c r="I17" s="69">
        <f>I16/12</f>
        <v>1208.1677709102394</v>
      </c>
      <c r="J17" s="34"/>
      <c r="K17" s="34"/>
      <c r="L17" s="64"/>
      <c r="M17" s="34"/>
    </row>
    <row r="18" spans="2:13" x14ac:dyDescent="0.3">
      <c r="B18" s="102" t="s">
        <v>20</v>
      </c>
      <c r="C18" s="34"/>
      <c r="D18" s="34"/>
      <c r="E18" s="34"/>
      <c r="F18" s="34"/>
      <c r="G18" s="34"/>
      <c r="H18" s="34"/>
      <c r="I18" s="34"/>
      <c r="J18" s="69">
        <f>J16/12</f>
        <v>1435497.2736058573</v>
      </c>
      <c r="K18" s="69">
        <f>K16/12</f>
        <v>2036634.4084443238</v>
      </c>
      <c r="L18" s="64"/>
      <c r="M18" s="34"/>
    </row>
    <row r="19" spans="2:13" x14ac:dyDescent="0.3">
      <c r="B19" s="102" t="s">
        <v>21</v>
      </c>
      <c r="C19" s="34"/>
      <c r="D19" s="34"/>
      <c r="E19" s="34"/>
      <c r="F19" s="34"/>
      <c r="G19" s="34"/>
      <c r="H19" s="34"/>
      <c r="I19" s="34"/>
      <c r="J19" s="65"/>
      <c r="K19" s="65"/>
      <c r="L19" s="68">
        <f>L16/12</f>
        <v>2.5327447056162352E-2</v>
      </c>
      <c r="M19" s="111">
        <f>M16/12</f>
        <v>2.8188032679634285E-2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YAV10M8 FORCECAST</vt:lpstr>
      <vt:lpstr>YAV10M8 REGRESSION</vt:lpstr>
      <vt:lpstr>AL 050M10 FORCECAST </vt:lpstr>
      <vt:lpstr>AL 050M10 REGRESSION</vt:lpstr>
      <vt:lpstr>DIN18516 FORCECAST</vt:lpstr>
      <vt:lpstr>DIN18516 REGRESSION </vt:lpstr>
      <vt:lpstr>RY300AM12TN FORCECAST</vt:lpstr>
      <vt:lpstr> RY300AM12TN REGRESSION </vt:lpstr>
      <vt:lpstr>Y4CA075A20M12HTN1 FORCECAST</vt:lpstr>
      <vt:lpstr>Y4CA075A20M12HTN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Gedik</dc:creator>
  <cp:lastModifiedBy>SALİH ALADDİN SARIHAN</cp:lastModifiedBy>
  <dcterms:created xsi:type="dcterms:W3CDTF">2022-11-22T13:59:07Z</dcterms:created>
  <dcterms:modified xsi:type="dcterms:W3CDTF">2023-12-17T21:18:26Z</dcterms:modified>
</cp:coreProperties>
</file>