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5480" windowHeight="7710"/>
  </bookViews>
  <sheets>
    <sheet name="Gastos mensuales" sheetId="1" r:id="rId1"/>
    <sheet name="Hoja1" sheetId="7" r:id="rId2"/>
    <sheet name="Hoja2" sheetId="8" r:id="rId3"/>
  </sheets>
  <calcPr calcId="124519"/>
</workbook>
</file>

<file path=xl/calcChain.xml><?xml version="1.0" encoding="utf-8"?>
<calcChain xmlns="http://schemas.openxmlformats.org/spreadsheetml/2006/main">
  <c r="IV13" i="1"/>
  <c r="IV25"/>
  <c r="IV26" s="1"/>
  <c r="IL25"/>
  <c r="IV15"/>
  <c r="IV14"/>
  <c r="IQ15"/>
  <c r="IQ13"/>
  <c r="IQ14"/>
  <c r="IM9"/>
  <c r="IM22"/>
  <c r="IM29"/>
  <c r="IJ12"/>
  <c r="IL18" l="1"/>
  <c r="IM13"/>
  <c r="IM11"/>
  <c r="IL40"/>
  <c r="IL41" s="1"/>
  <c r="IL42" s="1"/>
  <c r="IK40"/>
  <c r="IL39"/>
  <c r="IJ31"/>
  <c r="IJ8" s="1"/>
  <c r="IM8" s="1"/>
  <c r="IL30"/>
  <c r="IM28"/>
  <c r="IM27"/>
  <c r="IL26"/>
  <c r="IM24"/>
  <c r="IL21"/>
  <c r="IL20"/>
  <c r="IL17"/>
  <c r="IM16"/>
  <c r="IJ16"/>
  <c r="IJ15" s="1"/>
  <c r="IL14"/>
  <c r="IL12"/>
  <c r="IJ10"/>
  <c r="IL10" s="1"/>
  <c r="IL6"/>
  <c r="IL11" s="1"/>
  <c r="IM2"/>
  <c r="IM6" s="1"/>
  <c r="IB23"/>
  <c r="IB4"/>
  <c r="ID30"/>
  <c r="IE28"/>
  <c r="ID26"/>
  <c r="IE27"/>
  <c r="IC40"/>
  <c r="ID40" s="1"/>
  <c r="ID41" s="1"/>
  <c r="ID42" s="1"/>
  <c r="ID39"/>
  <c r="IB31"/>
  <c r="IB8" s="1"/>
  <c r="IE24"/>
  <c r="ID21"/>
  <c r="ID20"/>
  <c r="IE18"/>
  <c r="ID17"/>
  <c r="IB16"/>
  <c r="IE16" s="1"/>
  <c r="ID14"/>
  <c r="ID12"/>
  <c r="IB10"/>
  <c r="IE2"/>
  <c r="ID6" s="1"/>
  <c r="ID22" s="1"/>
  <c r="HT10"/>
  <c r="HY31"/>
  <c r="HT23"/>
  <c r="HV40"/>
  <c r="HU40"/>
  <c r="HV39"/>
  <c r="HV14"/>
  <c r="HW16"/>
  <c r="HT16"/>
  <c r="HT15" s="1"/>
  <c r="HT31"/>
  <c r="HT8" s="1"/>
  <c r="HW24"/>
  <c r="HV21"/>
  <c r="HV20"/>
  <c r="HW18"/>
  <c r="HV17"/>
  <c r="HV12"/>
  <c r="HM4"/>
  <c r="HO14"/>
  <c r="HM8"/>
  <c r="HP17"/>
  <c r="HO16"/>
  <c r="IM15" l="1"/>
  <c r="IL15"/>
  <c r="IM10"/>
  <c r="IL23"/>
  <c r="IL22"/>
  <c r="ID29"/>
  <c r="IL13"/>
  <c r="IM19"/>
  <c r="IM34" s="1"/>
  <c r="IL19"/>
  <c r="IL29"/>
  <c r="IL9"/>
  <c r="ID9"/>
  <c r="IM23"/>
  <c r="IL8"/>
  <c r="IJ34"/>
  <c r="IJ35" s="1"/>
  <c r="IJ36" s="1"/>
  <c r="HV41"/>
  <c r="HV42" s="1"/>
  <c r="IB15"/>
  <c r="ID15" s="1"/>
  <c r="ID10"/>
  <c r="ID11"/>
  <c r="ID8"/>
  <c r="ID13"/>
  <c r="ID23"/>
  <c r="ID19"/>
  <c r="IE6"/>
  <c r="HT34"/>
  <c r="HT35" s="1"/>
  <c r="HT36" s="1"/>
  <c r="HW2"/>
  <c r="HW6" s="1"/>
  <c r="HW15" s="1"/>
  <c r="HP24"/>
  <c r="HM18"/>
  <c r="HM23"/>
  <c r="HO20"/>
  <c r="HO19"/>
  <c r="HO15"/>
  <c r="HO12"/>
  <c r="HO9"/>
  <c r="HP2"/>
  <c r="HO6" s="1"/>
  <c r="HO8" s="1"/>
  <c r="HF8"/>
  <c r="HI8"/>
  <c r="IM35" l="1"/>
  <c r="IO34"/>
  <c r="IE9"/>
  <c r="IE29"/>
  <c r="HW23"/>
  <c r="IL34"/>
  <c r="IL35" s="1"/>
  <c r="IB34"/>
  <c r="IB35" s="1"/>
  <c r="IB36" s="1"/>
  <c r="HW19"/>
  <c r="HW22"/>
  <c r="HW11"/>
  <c r="HW29"/>
  <c r="HW13"/>
  <c r="HW9"/>
  <c r="HW10"/>
  <c r="HW8"/>
  <c r="IE8"/>
  <c r="IE15"/>
  <c r="IE22"/>
  <c r="IE23"/>
  <c r="IE19"/>
  <c r="IE10"/>
  <c r="IE13"/>
  <c r="IE11"/>
  <c r="ID34"/>
  <c r="ID35" s="1"/>
  <c r="HV6"/>
  <c r="HM34"/>
  <c r="HM35" s="1"/>
  <c r="HM36" s="1"/>
  <c r="HP6"/>
  <c r="HH8"/>
  <c r="HW34" l="1"/>
  <c r="HW35" s="1"/>
  <c r="HV23"/>
  <c r="HY32" s="1"/>
  <c r="HV22"/>
  <c r="HV11"/>
  <c r="HV29"/>
  <c r="HV13"/>
  <c r="HV9"/>
  <c r="HV19"/>
  <c r="HV15"/>
  <c r="HV8"/>
  <c r="HV10"/>
  <c r="IE34"/>
  <c r="HP21"/>
  <c r="HP10"/>
  <c r="HP22"/>
  <c r="HP11"/>
  <c r="HP23"/>
  <c r="HP13"/>
  <c r="HP18"/>
  <c r="HP8"/>
  <c r="HI42"/>
  <c r="HF40"/>
  <c r="IE35" l="1"/>
  <c r="HV34"/>
  <c r="HV35" s="1"/>
  <c r="HI43"/>
  <c r="HP34"/>
  <c r="HP35" s="1"/>
  <c r="HB49"/>
  <c r="HB50" l="1"/>
  <c r="HB17"/>
  <c r="HB18"/>
  <c r="HB21"/>
  <c r="HB45"/>
  <c r="HI24"/>
  <c r="HF23"/>
  <c r="HH20"/>
  <c r="HH19"/>
  <c r="HH15"/>
  <c r="HH12"/>
  <c r="HH9"/>
  <c r="HI2"/>
  <c r="HH6" s="1"/>
  <c r="HF18"/>
  <c r="HF17"/>
  <c r="GX22"/>
  <c r="GX21"/>
  <c r="GX9"/>
  <c r="GT23"/>
  <c r="GT22"/>
  <c r="GT21"/>
  <c r="GT9"/>
  <c r="GT2"/>
  <c r="GP22"/>
  <c r="GP21"/>
  <c r="GP2"/>
  <c r="GP9"/>
  <c r="GL22"/>
  <c r="GH11"/>
  <c r="GG23"/>
  <c r="GG9"/>
  <c r="GG14"/>
  <c r="GG20"/>
  <c r="GG22"/>
  <c r="GL19"/>
  <c r="GL9"/>
  <c r="GC19"/>
  <c r="GC21"/>
  <c r="GC9"/>
  <c r="FY19"/>
  <c r="FY9"/>
  <c r="FU9"/>
  <c r="FU19"/>
  <c r="FQ19"/>
  <c r="FQ22"/>
  <c r="L14" i="8"/>
  <c r="L15"/>
  <c r="L16"/>
  <c r="FQ9" i="1"/>
  <c r="FM9"/>
  <c r="FM34" s="1"/>
  <c r="FM35" s="1"/>
  <c r="FM37" s="1"/>
  <c r="FM41" s="1"/>
  <c r="FI8"/>
  <c r="FI4"/>
  <c r="FI3" s="1"/>
  <c r="FI40"/>
  <c r="FI39"/>
  <c r="FI9"/>
  <c r="FI34" s="1"/>
  <c r="FE9"/>
  <c r="FE8"/>
  <c r="FE4"/>
  <c r="FE40"/>
  <c r="FE39"/>
  <c r="FA11"/>
  <c r="FA40"/>
  <c r="FA39"/>
  <c r="FA14"/>
  <c r="FA8"/>
  <c r="FA9"/>
  <c r="EW1"/>
  <c r="EW24"/>
  <c r="EW11"/>
  <c r="EW8"/>
  <c r="EW38"/>
  <c r="EW9"/>
  <c r="ET4"/>
  <c r="ES8"/>
  <c r="ES9"/>
  <c r="ES38"/>
  <c r="EO2"/>
  <c r="EO19"/>
  <c r="EO24"/>
  <c r="EO9"/>
  <c r="EO4"/>
  <c r="EO38"/>
  <c r="H6" i="8"/>
  <c r="H7"/>
  <c r="H8"/>
  <c r="H9"/>
  <c r="H10"/>
  <c r="H11"/>
  <c r="H12"/>
  <c r="H13"/>
  <c r="H14"/>
  <c r="H15"/>
  <c r="EK9" i="1"/>
  <c r="EK34" s="1"/>
  <c r="EK38"/>
  <c r="EK4"/>
  <c r="EG9"/>
  <c r="EG34" s="1"/>
  <c r="EG35" s="1"/>
  <c r="EG41" s="1"/>
  <c r="EC9"/>
  <c r="EC34" s="1"/>
  <c r="EC35" s="1"/>
  <c r="EC41" s="1"/>
  <c r="DY9"/>
  <c r="DY8"/>
  <c r="DX37"/>
  <c r="DX39" s="1"/>
  <c r="DV22"/>
  <c r="DU5"/>
  <c r="DU9"/>
  <c r="DU8"/>
  <c r="DQ48"/>
  <c r="DQ51" s="1"/>
  <c r="DQ11"/>
  <c r="DR21"/>
  <c r="DQ45"/>
  <c r="DQ8"/>
  <c r="DQ9"/>
  <c r="DQ5"/>
  <c r="DN13"/>
  <c r="DL5"/>
  <c r="DL9"/>
  <c r="DL36" s="1"/>
  <c r="DE22"/>
  <c r="DF13"/>
  <c r="DF14" s="1"/>
  <c r="DE9"/>
  <c r="DE8"/>
  <c r="DF9"/>
  <c r="DF8"/>
  <c r="CZ21"/>
  <c r="CY10"/>
  <c r="CY5"/>
  <c r="CV14"/>
  <c r="CV15" s="1"/>
  <c r="CV16" s="1"/>
  <c r="CW42"/>
  <c r="CW41"/>
  <c r="CU5"/>
  <c r="CU8"/>
  <c r="CU34" s="1"/>
  <c r="CS36"/>
  <c r="CQ11"/>
  <c r="CQ5"/>
  <c r="CQ8"/>
  <c r="CX60"/>
  <c r="CX48"/>
  <c r="CT59"/>
  <c r="CT54"/>
  <c r="CT61" s="1"/>
  <c r="CL11"/>
  <c r="CN9" s="1"/>
  <c r="CY9"/>
  <c r="CN8"/>
  <c r="CQ36"/>
  <c r="CQ9"/>
  <c r="CL5"/>
  <c r="CL9"/>
  <c r="CL10"/>
  <c r="CL37"/>
  <c r="CL36"/>
  <c r="CH16"/>
  <c r="CH5"/>
  <c r="CH9"/>
  <c r="CD11"/>
  <c r="CD9"/>
  <c r="CD8"/>
  <c r="CH37"/>
  <c r="CH36"/>
  <c r="CD37"/>
  <c r="BZ11"/>
  <c r="BZ37"/>
  <c r="BZ9"/>
  <c r="BZ8"/>
  <c r="CD36"/>
  <c r="BZ36"/>
  <c r="BV11"/>
  <c r="BV36"/>
  <c r="BV9"/>
  <c r="BV16"/>
  <c r="BV17"/>
  <c r="BV18"/>
  <c r="BV8"/>
  <c r="BR21"/>
  <c r="BS18"/>
  <c r="BR11"/>
  <c r="BR9"/>
  <c r="BR8"/>
  <c r="BN11"/>
  <c r="BC37"/>
  <c r="BC39" s="1"/>
  <c r="AL38"/>
  <c r="AM38" s="1"/>
  <c r="AW38"/>
  <c r="AW40" s="1"/>
  <c r="AW41" s="1"/>
  <c r="Y39"/>
  <c r="AL39"/>
  <c r="AM39" s="1"/>
  <c r="BJ39"/>
  <c r="BJ38" s="1"/>
  <c r="BJ21" s="1"/>
  <c r="AL40"/>
  <c r="AM40" s="1"/>
  <c r="BF40"/>
  <c r="G41"/>
  <c r="J41"/>
  <c r="M41"/>
  <c r="AL41"/>
  <c r="AM41" s="1"/>
  <c r="BN5"/>
  <c r="BN9"/>
  <c r="BJ11"/>
  <c r="BJ9"/>
  <c r="BJ8"/>
  <c r="BF43"/>
  <c r="BF8"/>
  <c r="BF9"/>
  <c r="BF5"/>
  <c r="BC9"/>
  <c r="BC34" s="1"/>
  <c r="BC5"/>
  <c r="AZ9"/>
  <c r="AZ12"/>
  <c r="AZ8"/>
  <c r="AZ5"/>
  <c r="AW9"/>
  <c r="AW8"/>
  <c r="AT11"/>
  <c r="AT8"/>
  <c r="AT35"/>
  <c r="AQ12"/>
  <c r="AQ11"/>
  <c r="AQ13"/>
  <c r="AQ9" s="1"/>
  <c r="AQ8"/>
  <c r="AN12"/>
  <c r="AN14"/>
  <c r="AN11"/>
  <c r="AK11"/>
  <c r="AK33"/>
  <c r="AK9"/>
  <c r="AH11"/>
  <c r="AH9"/>
  <c r="AK10"/>
  <c r="AE8"/>
  <c r="AH4" s="1"/>
  <c r="AK13"/>
  <c r="AE11"/>
  <c r="AE9"/>
  <c r="AH13"/>
  <c r="AE13"/>
  <c r="AB9"/>
  <c r="AB11"/>
  <c r="AB8"/>
  <c r="Y11"/>
  <c r="AB13"/>
  <c r="Y13"/>
  <c r="Y9"/>
  <c r="V11"/>
  <c r="V9"/>
  <c r="S11"/>
  <c r="S34"/>
  <c r="S9"/>
  <c r="P9"/>
  <c r="P11"/>
  <c r="M34"/>
  <c r="M18"/>
  <c r="N16" s="1"/>
  <c r="N18" s="1"/>
  <c r="M11"/>
  <c r="J11"/>
  <c r="G65"/>
  <c r="G12"/>
  <c r="G11"/>
  <c r="G34"/>
  <c r="U65"/>
  <c r="U67" s="1"/>
  <c r="J18"/>
  <c r="FU34" l="1"/>
  <c r="FU35" s="1"/>
  <c r="HB34"/>
  <c r="HB35" s="1"/>
  <c r="HB36" s="1"/>
  <c r="HO22"/>
  <c r="HO10"/>
  <c r="HO11"/>
  <c r="HO21"/>
  <c r="HO13"/>
  <c r="HO23"/>
  <c r="HO18"/>
  <c r="AN34"/>
  <c r="BC35"/>
  <c r="BF38"/>
  <c r="BF21" s="1"/>
  <c r="BN34"/>
  <c r="BN35" s="1"/>
  <c r="BV34"/>
  <c r="BV35" s="1"/>
  <c r="CQ34"/>
  <c r="CQ35" s="1"/>
  <c r="CQ38" s="1"/>
  <c r="CX62"/>
  <c r="DQ36"/>
  <c r="FQ34"/>
  <c r="FQ35" s="1"/>
  <c r="J38"/>
  <c r="J59" s="1"/>
  <c r="GX34"/>
  <c r="GX35" s="1"/>
  <c r="GX36" s="1"/>
  <c r="GL34"/>
  <c r="GL35" s="1"/>
  <c r="GL36" s="1"/>
  <c r="AW34"/>
  <c r="AW35" s="1"/>
  <c r="BR34"/>
  <c r="BR35" s="1"/>
  <c r="BZ34"/>
  <c r="BZ35" s="1"/>
  <c r="BZ38" s="1"/>
  <c r="CD34"/>
  <c r="CD35" s="1"/>
  <c r="CD38" s="1"/>
  <c r="CH34"/>
  <c r="CH35" s="1"/>
  <c r="CH38" s="1"/>
  <c r="CL34"/>
  <c r="CL35" s="1"/>
  <c r="CL38" s="1"/>
  <c r="CN10"/>
  <c r="GH12"/>
  <c r="GH13" s="1"/>
  <c r="V38"/>
  <c r="V40" s="1"/>
  <c r="AE38"/>
  <c r="AE40" s="1"/>
  <c r="HI6"/>
  <c r="HI11" s="1"/>
  <c r="HF34"/>
  <c r="HF35" s="1"/>
  <c r="HF36" s="1"/>
  <c r="AK34"/>
  <c r="DE34"/>
  <c r="DE35" s="1"/>
  <c r="DE39" s="1"/>
  <c r="FI35"/>
  <c r="FI37" s="1"/>
  <c r="FY34"/>
  <c r="FY35" s="1"/>
  <c r="GP34"/>
  <c r="GP35" s="1"/>
  <c r="GP36" s="1"/>
  <c r="GT34"/>
  <c r="GT35" s="1"/>
  <c r="GT36" s="1"/>
  <c r="P38"/>
  <c r="P40" s="1"/>
  <c r="P59" s="1"/>
  <c r="V67"/>
  <c r="V68" s="1"/>
  <c r="G38"/>
  <c r="G59" s="1"/>
  <c r="DX40"/>
  <c r="DX41" s="1"/>
  <c r="M38"/>
  <c r="M59" s="1"/>
  <c r="BF34"/>
  <c r="BF35" s="1"/>
  <c r="EK35"/>
  <c r="EK41" s="1"/>
  <c r="EW34"/>
  <c r="EW35" s="1"/>
  <c r="EW41" s="1"/>
  <c r="FA34"/>
  <c r="FA35" s="1"/>
  <c r="FA41" s="1"/>
  <c r="HI22"/>
  <c r="Y38"/>
  <c r="Y40" s="1"/>
  <c r="AQ34"/>
  <c r="CY34"/>
  <c r="CY35" s="1"/>
  <c r="CY38" s="1"/>
  <c r="CU35"/>
  <c r="CU38" s="1"/>
  <c r="AB38"/>
  <c r="AB40" s="1"/>
  <c r="AT34"/>
  <c r="AT36" s="1"/>
  <c r="AZ34"/>
  <c r="AZ35" s="1"/>
  <c r="DL37"/>
  <c r="DL41" s="1"/>
  <c r="DU36"/>
  <c r="DU37" s="1"/>
  <c r="DU41" s="1"/>
  <c r="BJ34"/>
  <c r="BJ35" s="1"/>
  <c r="GC34"/>
  <c r="GC35" s="1"/>
  <c r="GC36" s="1"/>
  <c r="S38"/>
  <c r="S40" s="1"/>
  <c r="S59" s="1"/>
  <c r="DQ37"/>
  <c r="ES34"/>
  <c r="ES35" s="1"/>
  <c r="ES41" s="1"/>
  <c r="GG35"/>
  <c r="GG36" s="1"/>
  <c r="GG37" s="1"/>
  <c r="EO34"/>
  <c r="EO35" s="1"/>
  <c r="EO41" s="1"/>
  <c r="FE34"/>
  <c r="FE35" s="1"/>
  <c r="FE41" s="1"/>
  <c r="U68"/>
  <c r="HB51"/>
  <c r="HB52" s="1"/>
  <c r="DV23"/>
  <c r="DV24" s="1"/>
  <c r="HH18"/>
  <c r="HH13"/>
  <c r="HH23"/>
  <c r="HH17"/>
  <c r="HH11"/>
  <c r="HH22"/>
  <c r="HH16"/>
  <c r="HH10"/>
  <c r="HH21"/>
  <c r="HH14"/>
  <c r="HI21" l="1"/>
  <c r="FI41"/>
  <c r="HI14"/>
  <c r="HO34"/>
  <c r="HO35" s="1"/>
  <c r="HI17"/>
  <c r="HI23"/>
  <c r="HI16"/>
  <c r="HI13"/>
  <c r="HI10"/>
  <c r="HI18"/>
  <c r="HH34"/>
  <c r="HH35" s="1"/>
  <c r="HI34" l="1"/>
  <c r="HI35" s="1"/>
</calcChain>
</file>

<file path=xl/comments1.xml><?xml version="1.0" encoding="utf-8"?>
<comments xmlns="http://schemas.openxmlformats.org/spreadsheetml/2006/main">
  <authors>
    <author>Julio</author>
  </authors>
  <commentList>
    <comment ref="IL9" authorId="0">
      <text>
        <r>
          <rPr>
            <b/>
            <sz val="9"/>
            <color indexed="81"/>
            <rFont val="Tahoma"/>
            <charset val="1"/>
          </rPr>
          <t>DEVOLVER A RITA</t>
        </r>
      </text>
    </comment>
    <comment ref="IL22" authorId="0">
      <text>
        <r>
          <rPr>
            <b/>
            <sz val="9"/>
            <color indexed="81"/>
            <rFont val="Tahoma"/>
            <charset val="1"/>
          </rPr>
          <t>DEVOLVER A RITA</t>
        </r>
      </text>
    </comment>
    <comment ref="IL25" authorId="0">
      <text>
        <r>
          <rPr>
            <b/>
            <sz val="9"/>
            <color indexed="81"/>
            <rFont val="Tahoma"/>
            <charset val="1"/>
          </rPr>
          <t>DEVOLVER A RITA</t>
        </r>
      </text>
    </comment>
    <comment ref="IL29" authorId="0">
      <text>
        <r>
          <rPr>
            <b/>
            <sz val="9"/>
            <color indexed="81"/>
            <rFont val="Tahoma"/>
            <charset val="1"/>
          </rPr>
          <t>DEVOLVER A RITA</t>
        </r>
      </text>
    </comment>
  </commentList>
</comments>
</file>

<file path=xl/sharedStrings.xml><?xml version="1.0" encoding="utf-8"?>
<sst xmlns="http://schemas.openxmlformats.org/spreadsheetml/2006/main" count="1192" uniqueCount="248">
  <si>
    <t>naranja</t>
  </si>
  <si>
    <t>santander Rio</t>
  </si>
  <si>
    <t>alquiler</t>
  </si>
  <si>
    <t>luz + agua + cable</t>
  </si>
  <si>
    <t>cel</t>
  </si>
  <si>
    <t>gigared</t>
  </si>
  <si>
    <t>gim</t>
  </si>
  <si>
    <t>curso</t>
  </si>
  <si>
    <t>circulo</t>
  </si>
  <si>
    <t>aumento</t>
  </si>
  <si>
    <t>en mano</t>
  </si>
  <si>
    <t>sobra</t>
  </si>
  <si>
    <t>total</t>
  </si>
  <si>
    <t>prestamo chico</t>
  </si>
  <si>
    <t>prestamo chico + aspiradora</t>
  </si>
  <si>
    <t>Junio</t>
  </si>
  <si>
    <t>Julio</t>
  </si>
  <si>
    <t>el server</t>
  </si>
  <si>
    <t>diego</t>
  </si>
  <si>
    <t>riki</t>
  </si>
  <si>
    <t>cel + rec</t>
  </si>
  <si>
    <t>acto</t>
  </si>
  <si>
    <t xml:space="preserve"> y mano</t>
  </si>
  <si>
    <t>belen + modista</t>
  </si>
  <si>
    <t>Agosto</t>
  </si>
  <si>
    <t>Septiembre</t>
  </si>
  <si>
    <t>belen + modista + mati</t>
  </si>
  <si>
    <t>sueldo</t>
  </si>
  <si>
    <t>real</t>
  </si>
  <si>
    <t>ni idea</t>
  </si>
  <si>
    <t>Octubre</t>
  </si>
  <si>
    <t>El Server</t>
  </si>
  <si>
    <t>limpieza - salida</t>
  </si>
  <si>
    <t>afip</t>
  </si>
  <si>
    <t>no se suma solo recordatodrio</t>
  </si>
  <si>
    <t>seguro</t>
  </si>
  <si>
    <t>noviembre</t>
  </si>
  <si>
    <t>Diciembre</t>
  </si>
  <si>
    <t>prima</t>
  </si>
  <si>
    <t>Enero</t>
  </si>
  <si>
    <t>garage</t>
  </si>
  <si>
    <t>pajon</t>
  </si>
  <si>
    <t>Febrero</t>
  </si>
  <si>
    <t>Marzo</t>
  </si>
  <si>
    <t>abril</t>
  </si>
  <si>
    <t>prestamo</t>
  </si>
  <si>
    <t>monto cuota</t>
  </si>
  <si>
    <t>cantidad cuota</t>
  </si>
  <si>
    <t>diferencia que pago</t>
  </si>
  <si>
    <t>garage + prima</t>
  </si>
  <si>
    <t>mayo</t>
  </si>
  <si>
    <t>prestamo santander</t>
  </si>
  <si>
    <t>AFIP</t>
  </si>
  <si>
    <t>sobra angau</t>
  </si>
  <si>
    <t>fibertel</t>
  </si>
  <si>
    <t xml:space="preserve">en caja </t>
  </si>
  <si>
    <t>aguinaldo</t>
  </si>
  <si>
    <t>contrato</t>
  </si>
  <si>
    <t>El server</t>
  </si>
  <si>
    <t>gastos + mouse</t>
  </si>
  <si>
    <t>en cajero</t>
  </si>
  <si>
    <t>prest + fibertel</t>
  </si>
  <si>
    <t>auto</t>
  </si>
  <si>
    <t>S/devoluciones de los demas</t>
  </si>
  <si>
    <t>javier</t>
  </si>
  <si>
    <t>gastos varios</t>
  </si>
  <si>
    <t>Gastos Varios</t>
  </si>
  <si>
    <t>pantalon 1º cuota</t>
  </si>
  <si>
    <t>sabado maira</t>
  </si>
  <si>
    <t>domingo voley + alm</t>
  </si>
  <si>
    <t>pantalon 2º cuota</t>
  </si>
  <si>
    <t>remera + zapatilla</t>
  </si>
  <si>
    <t>lopago con lab</t>
  </si>
  <si>
    <t>remera + zapatilla 2 º cuota</t>
  </si>
  <si>
    <t>mercedes</t>
  </si>
  <si>
    <t>rosi</t>
  </si>
  <si>
    <t>mami</t>
  </si>
  <si>
    <t>nafta + el surtidor+asado</t>
  </si>
  <si>
    <t>Mati ok</t>
  </si>
  <si>
    <t>celular mami</t>
  </si>
  <si>
    <t>rentas</t>
  </si>
  <si>
    <t>ange</t>
  </si>
  <si>
    <t>maira ok - nuevo ok</t>
  </si>
  <si>
    <t>luz</t>
  </si>
  <si>
    <t>voley</t>
  </si>
  <si>
    <t>afip - este mes no</t>
  </si>
  <si>
    <t>reposicion de plata</t>
  </si>
  <si>
    <t>madera</t>
  </si>
  <si>
    <t>juego de comedro y living</t>
  </si>
  <si>
    <t>mesa de vidrio</t>
  </si>
  <si>
    <t>otros</t>
  </si>
  <si>
    <t>juego de living</t>
  </si>
  <si>
    <t>transporte</t>
  </si>
  <si>
    <t>juego de sillas</t>
  </si>
  <si>
    <t>Total</t>
  </si>
  <si>
    <t>obra social</t>
  </si>
  <si>
    <t>Dev. Rita</t>
  </si>
  <si>
    <t>ecografia</t>
  </si>
  <si>
    <t>nafta</t>
  </si>
  <si>
    <t>desayuno</t>
  </si>
  <si>
    <t>almuerzo</t>
  </si>
  <si>
    <t>helado</t>
  </si>
  <si>
    <t>cuanta rita</t>
  </si>
  <si>
    <t>de 350 que saque devolví 300 mas otras pelotudeces que cobran</t>
  </si>
  <si>
    <t>mati ok - Maira ok</t>
  </si>
  <si>
    <t>reloj</t>
  </si>
  <si>
    <t>ropa</t>
  </si>
  <si>
    <t>.</t>
  </si>
  <si>
    <t>sumar</t>
  </si>
  <si>
    <t>farmacia</t>
  </si>
  <si>
    <t>regalo mama rita</t>
  </si>
  <si>
    <t>Sabina</t>
  </si>
  <si>
    <t>Matias</t>
  </si>
  <si>
    <t>Pago - 05/11</t>
  </si>
  <si>
    <t>Maira</t>
  </si>
  <si>
    <t>Luciano</t>
  </si>
  <si>
    <t>Afip</t>
  </si>
  <si>
    <t>menos lo que tengo que pagar</t>
  </si>
  <si>
    <t>perdido</t>
  </si>
  <si>
    <t>Pago - 21/11</t>
  </si>
  <si>
    <t>Pago - 18/11</t>
  </si>
  <si>
    <t>Naranja Rita</t>
  </si>
  <si>
    <t>Corefin</t>
  </si>
  <si>
    <t>Celular Rita</t>
  </si>
  <si>
    <t>Pago - 07/12</t>
  </si>
  <si>
    <t>Pago - 01/12</t>
  </si>
  <si>
    <t>Credito argentino</t>
  </si>
  <si>
    <t>plomero</t>
  </si>
  <si>
    <t>Aguinaldo</t>
  </si>
  <si>
    <t>Cuota 1</t>
  </si>
  <si>
    <t>Cuota 2</t>
  </si>
  <si>
    <t>Cuota 3</t>
  </si>
  <si>
    <t>Cuota 4</t>
  </si>
  <si>
    <t>Pago - 10/02</t>
  </si>
  <si>
    <t>Pago -</t>
  </si>
  <si>
    <t>Pago - 12/02</t>
  </si>
  <si>
    <t>TOTAL</t>
  </si>
  <si>
    <t>DIF.</t>
  </si>
  <si>
    <t>MAMI</t>
  </si>
  <si>
    <t>KEYPRESS</t>
  </si>
  <si>
    <t>pañales</t>
  </si>
  <si>
    <t>pago 11/04</t>
  </si>
  <si>
    <t>pago</t>
  </si>
  <si>
    <t>devolucion Plata ropa bebe</t>
  </si>
  <si>
    <t>farmacia indio</t>
  </si>
  <si>
    <t>farmacia linoe</t>
  </si>
  <si>
    <t>z</t>
  </si>
  <si>
    <t>Far. Catedral 4</t>
  </si>
  <si>
    <t>zorzon</t>
  </si>
  <si>
    <t>vital</t>
  </si>
  <si>
    <t>bet tel</t>
  </si>
  <si>
    <t>calefactor</t>
  </si>
  <si>
    <t>eben ezer</t>
  </si>
  <si>
    <t>devolucion Plata javier + Voley + ropa</t>
  </si>
  <si>
    <t>dev. Plata ropa</t>
  </si>
  <si>
    <t>dev. Plata Voley</t>
  </si>
  <si>
    <t>Hijo Victor</t>
  </si>
  <si>
    <t>devolucion Plata Voley + ropa</t>
  </si>
  <si>
    <t>peluqueria</t>
  </si>
  <si>
    <t>devolucion Plata Voley + alfajor</t>
  </si>
  <si>
    <t>VIATICO + NACIMIOENTO</t>
  </si>
  <si>
    <t>PAGO</t>
  </si>
  <si>
    <t>Sueldo</t>
  </si>
  <si>
    <t>Arreglo Reloj</t>
  </si>
  <si>
    <t>Azucena</t>
  </si>
  <si>
    <t>devolucion Plata alfajor</t>
  </si>
  <si>
    <t>Pago</t>
  </si>
  <si>
    <t>Salario</t>
  </si>
  <si>
    <t>devolucion mami</t>
  </si>
  <si>
    <t>devolucion cajero</t>
  </si>
  <si>
    <t>devolucion voley</t>
  </si>
  <si>
    <t>Peluqueria</t>
  </si>
  <si>
    <t>contratop</t>
  </si>
  <si>
    <t>pagado a principio de mes</t>
  </si>
  <si>
    <t>nestor</t>
  </si>
  <si>
    <t>Mati</t>
  </si>
  <si>
    <t>falta</t>
  </si>
  <si>
    <t>sindicato</t>
  </si>
  <si>
    <t>Rita</t>
  </si>
  <si>
    <t>Damian</t>
  </si>
  <si>
    <t>dev. Voley</t>
  </si>
  <si>
    <t>boxer</t>
  </si>
  <si>
    <t>Boxer</t>
  </si>
  <si>
    <t>descubierto</t>
  </si>
  <si>
    <t>gas</t>
  </si>
  <si>
    <t>Barby</t>
  </si>
  <si>
    <t>falta 60</t>
  </si>
  <si>
    <t>camisetas voley</t>
  </si>
  <si>
    <t>aument</t>
  </si>
  <si>
    <t>Ange</t>
  </si>
  <si>
    <t>Rufino</t>
  </si>
  <si>
    <t>camietas</t>
  </si>
  <si>
    <t>Gordex</t>
  </si>
  <si>
    <t>Plazo Fijo</t>
  </si>
  <si>
    <t>sistema Seguros</t>
  </si>
  <si>
    <t>Diego</t>
  </si>
  <si>
    <t>descubierto - rita</t>
  </si>
  <si>
    <t>Barby - rita</t>
  </si>
  <si>
    <t>celular</t>
  </si>
  <si>
    <t>Roxana</t>
  </si>
  <si>
    <t>julio</t>
  </si>
  <si>
    <t>rita</t>
  </si>
  <si>
    <t>cel julio</t>
  </si>
  <si>
    <t>Comida</t>
  </si>
  <si>
    <t>Celular</t>
  </si>
  <si>
    <t xml:space="preserve"> </t>
  </si>
  <si>
    <t>1ñ</t>
  </si>
  <si>
    <t>el dia</t>
  </si>
  <si>
    <t>pasaje</t>
  </si>
  <si>
    <t>sistema</t>
  </si>
  <si>
    <t>ambar - cuota 2-6</t>
  </si>
  <si>
    <t>chivas - cuota 1-3</t>
  </si>
  <si>
    <t>geans - 3 cuot</t>
  </si>
  <si>
    <t>ambar - cuota 3-6</t>
  </si>
  <si>
    <t>chivas - cuota 2-3</t>
  </si>
  <si>
    <t>naranja - rita</t>
  </si>
  <si>
    <t>bella cosmetica 1-3 (naranja rita)</t>
  </si>
  <si>
    <t>barby</t>
  </si>
  <si>
    <t>Celular rita</t>
  </si>
  <si>
    <t>luz + luz del mes pasado</t>
  </si>
  <si>
    <t>chivas - cuota 3-3</t>
  </si>
  <si>
    <t>ambar - cuota 4-6</t>
  </si>
  <si>
    <t>bella cosmetica 2-3 (naranja rita)</t>
  </si>
  <si>
    <t>desc - rita</t>
  </si>
  <si>
    <t>ambar - cuota 5-6</t>
  </si>
  <si>
    <t>bella cosmetica 3-3 (naranja rita)</t>
  </si>
  <si>
    <t>coyote + leuname - 1 - 3</t>
  </si>
  <si>
    <t xml:space="preserve">coyote + leuname 2 - 3 </t>
  </si>
  <si>
    <t>coyote + leuname  3 - 3</t>
  </si>
  <si>
    <t>Disco Rigido - 1-6</t>
  </si>
  <si>
    <t>In Moto - cubierta (naranja rita) - 1-3</t>
  </si>
  <si>
    <t>In Moto - cubierta (naranja rita) - 2-3</t>
  </si>
  <si>
    <t>Anteojo rita (naranja rita) - 1-3</t>
  </si>
  <si>
    <t>Anteojo rita (naranja rita) - 2-3</t>
  </si>
  <si>
    <t>Fuxia (naranja rita) -  1-3</t>
  </si>
  <si>
    <t>Fuxia (naranja rita)  -  2-3</t>
  </si>
  <si>
    <t>BEBDIAS CUMPLE</t>
  </si>
  <si>
    <t>Vestido Julieta</t>
  </si>
  <si>
    <t>julio saco</t>
  </si>
  <si>
    <t>para estar cubierto el domingo</t>
  </si>
  <si>
    <t>Julio Para cumple</t>
  </si>
  <si>
    <t>EN MANO</t>
  </si>
  <si>
    <t>RETIRAR</t>
  </si>
  <si>
    <t>TIENE QUE QUEDAR EN EL BANCO</t>
  </si>
  <si>
    <t>sircreb</t>
  </si>
  <si>
    <t>plazo</t>
  </si>
  <si>
    <t>hijo</t>
  </si>
  <si>
    <t>CAMBIOS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</si>
</sst>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164" fontId="1" fillId="0" borderId="0" xfId="0" applyNumberFormat="1" applyFont="1" applyFill="1"/>
    <xf numFmtId="164" fontId="0" fillId="3" borderId="0" xfId="0" applyNumberFormat="1" applyFill="1"/>
    <xf numFmtId="164" fontId="2" fillId="0" borderId="0" xfId="0" applyNumberFormat="1" applyFont="1"/>
    <xf numFmtId="164" fontId="0" fillId="4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3" fillId="0" borderId="0" xfId="0" applyNumberFormat="1" applyFont="1"/>
    <xf numFmtId="0" fontId="0" fillId="2" borderId="0" xfId="0" applyFill="1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right"/>
    </xf>
    <xf numFmtId="164" fontId="0" fillId="2" borderId="1" xfId="0" applyNumberFormat="1" applyFill="1" applyBorder="1"/>
    <xf numFmtId="0" fontId="0" fillId="0" borderId="0" xfId="0" applyFill="1" applyAlignment="1">
      <alignment horizontal="center"/>
    </xf>
    <xf numFmtId="164" fontId="0" fillId="0" borderId="0" xfId="0" applyNumberFormat="1" applyFill="1" applyBorder="1"/>
    <xf numFmtId="164" fontId="3" fillId="2" borderId="1" xfId="0" applyNumberFormat="1" applyFont="1" applyFill="1" applyBorder="1"/>
    <xf numFmtId="0" fontId="2" fillId="0" borderId="0" xfId="0" applyFont="1" applyFill="1"/>
    <xf numFmtId="164" fontId="0" fillId="5" borderId="0" xfId="0" applyNumberFormat="1" applyFill="1"/>
    <xf numFmtId="14" fontId="0" fillId="0" borderId="0" xfId="0" applyNumberFormat="1"/>
    <xf numFmtId="164" fontId="0" fillId="2" borderId="0" xfId="0" applyNumberFormat="1" applyFill="1" applyBorder="1"/>
    <xf numFmtId="17" fontId="4" fillId="6" borderId="0" xfId="0" applyNumberFormat="1" applyFont="1" applyFill="1"/>
    <xf numFmtId="0" fontId="4" fillId="6" borderId="0" xfId="0" applyFont="1" applyFill="1" applyBorder="1"/>
    <xf numFmtId="164" fontId="4" fillId="6" borderId="0" xfId="0" applyNumberFormat="1" applyFont="1" applyFill="1" applyBorder="1"/>
    <xf numFmtId="0" fontId="0" fillId="0" borderId="0" xfId="0" applyAlignment="1">
      <alignment horizontal="center" vertical="center"/>
    </xf>
    <xf numFmtId="164" fontId="4" fillId="2" borderId="0" xfId="0" applyNumberFormat="1" applyFont="1" applyFill="1" applyBorder="1"/>
    <xf numFmtId="0" fontId="0" fillId="0" borderId="0" xfId="0" applyNumberFormat="1"/>
    <xf numFmtId="0" fontId="1" fillId="0" borderId="0" xfId="0" applyFont="1"/>
    <xf numFmtId="17" fontId="0" fillId="0" borderId="0" xfId="0" applyNumberFormat="1" applyFill="1"/>
    <xf numFmtId="0" fontId="0" fillId="7" borderId="0" xfId="0" applyFill="1"/>
    <xf numFmtId="4" fontId="0" fillId="0" borderId="0" xfId="0" applyNumberFormat="1"/>
    <xf numFmtId="164" fontId="0" fillId="0" borderId="1" xfId="0" applyNumberFormat="1" applyFill="1" applyBorder="1"/>
    <xf numFmtId="0" fontId="0" fillId="8" borderId="0" xfId="0" applyFill="1"/>
    <xf numFmtId="0" fontId="0" fillId="9" borderId="0" xfId="0" applyFill="1"/>
    <xf numFmtId="4" fontId="0" fillId="2" borderId="0" xfId="0" applyNumberFormat="1" applyFill="1"/>
    <xf numFmtId="4" fontId="0" fillId="0" borderId="0" xfId="0" applyNumberFormat="1" applyFill="1"/>
    <xf numFmtId="0" fontId="0" fillId="0" borderId="0" xfId="0" applyFill="1" applyAlignment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0" xfId="0" applyBorder="1"/>
    <xf numFmtId="0" fontId="0" fillId="0" borderId="6" xfId="0" applyBorder="1"/>
    <xf numFmtId="0" fontId="0" fillId="0" borderId="6" xfId="0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17" fontId="0" fillId="0" borderId="5" xfId="0" applyNumberFormat="1" applyFill="1" applyBorder="1"/>
    <xf numFmtId="17" fontId="0" fillId="0" borderId="0" xfId="0" applyNumberFormat="1" applyFill="1" applyBorder="1"/>
    <xf numFmtId="17" fontId="0" fillId="0" borderId="6" xfId="0" applyNumberFormat="1" applyFill="1" applyBorder="1"/>
    <xf numFmtId="164" fontId="0" fillId="2" borderId="6" xfId="0" applyNumberFormat="1" applyFill="1" applyBorder="1"/>
    <xf numFmtId="4" fontId="0" fillId="0" borderId="0" xfId="0" applyNumberFormat="1" applyFill="1" applyBorder="1"/>
    <xf numFmtId="164" fontId="0" fillId="0" borderId="6" xfId="0" applyNumberFormat="1" applyFill="1" applyBorder="1"/>
    <xf numFmtId="164" fontId="0" fillId="0" borderId="0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/>
    <xf numFmtId="0" fontId="0" fillId="0" borderId="11" xfId="0" applyFill="1" applyBorder="1" applyAlignment="1"/>
    <xf numFmtId="17" fontId="0" fillId="0" borderId="11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Border="1"/>
    <xf numFmtId="0" fontId="0" fillId="10" borderId="10" xfId="0" applyFill="1" applyBorder="1"/>
    <xf numFmtId="0" fontId="0" fillId="10" borderId="11" xfId="0" applyFill="1" applyBorder="1" applyAlignment="1"/>
    <xf numFmtId="17" fontId="0" fillId="10" borderId="11" xfId="0" applyNumberFormat="1" applyFill="1" applyBorder="1"/>
    <xf numFmtId="164" fontId="0" fillId="10" borderId="11" xfId="0" applyNumberFormat="1" applyFill="1" applyBorder="1"/>
    <xf numFmtId="164" fontId="0" fillId="10" borderId="12" xfId="0" applyNumberFormat="1" applyFill="1" applyBorder="1"/>
    <xf numFmtId="0" fontId="0" fillId="0" borderId="2" xfId="0" applyBorder="1"/>
    <xf numFmtId="164" fontId="0" fillId="0" borderId="9" xfId="0" applyNumberFormat="1" applyBorder="1"/>
    <xf numFmtId="17" fontId="0" fillId="2" borderId="5" xfId="0" applyNumberFormat="1" applyFill="1" applyBorder="1"/>
    <xf numFmtId="4" fontId="0" fillId="2" borderId="0" xfId="0" applyNumberFormat="1" applyFill="1" applyBorder="1"/>
    <xf numFmtId="164" fontId="5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/>
    <xf numFmtId="164" fontId="0" fillId="11" borderId="1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IV69"/>
  <sheetViews>
    <sheetView showGridLines="0" tabSelected="1" topLeftCell="IH5" zoomScale="85" zoomScaleNormal="85" workbookViewId="0">
      <selection activeCell="IR34" sqref="IR34"/>
    </sheetView>
  </sheetViews>
  <sheetFormatPr baseColWidth="10" defaultColWidth="11.42578125" defaultRowHeight="15"/>
  <cols>
    <col min="6" max="6" width="13.140625" bestFit="1" customWidth="1"/>
    <col min="14" max="17" width="11.42578125" style="4"/>
    <col min="18" max="18" width="16.28515625" style="4" bestFit="1" customWidth="1"/>
    <col min="19" max="19" width="9.5703125" bestFit="1" customWidth="1"/>
    <col min="28" max="28" width="15.42578125" bestFit="1" customWidth="1"/>
    <col min="32" max="32" width="13.7109375" bestFit="1" customWidth="1"/>
    <col min="35" max="35" width="9.42578125" bestFit="1" customWidth="1"/>
    <col min="36" max="36" width="16.28515625" bestFit="1" customWidth="1"/>
    <col min="37" max="37" width="13.85546875" bestFit="1" customWidth="1"/>
    <col min="38" max="38" width="8" bestFit="1" customWidth="1"/>
    <col min="39" max="39" width="18.7109375" bestFit="1" customWidth="1"/>
    <col min="54" max="54" width="18.85546875" bestFit="1" customWidth="1"/>
    <col min="55" max="55" width="9.5703125" bestFit="1" customWidth="1"/>
    <col min="57" max="57" width="18.85546875" bestFit="1" customWidth="1"/>
    <col min="58" max="58" width="9.5703125" bestFit="1" customWidth="1"/>
    <col min="59" max="59" width="15.140625" style="4" bestFit="1" customWidth="1"/>
    <col min="60" max="60" width="13" customWidth="1"/>
    <col min="61" max="61" width="25" bestFit="1" customWidth="1"/>
    <col min="62" max="62" width="17.28515625" bestFit="1" customWidth="1"/>
    <col min="77" max="77" width="12.7109375" customWidth="1"/>
    <col min="85" max="85" width="16.85546875" bestFit="1" customWidth="1"/>
    <col min="108" max="108" width="16.85546875" bestFit="1" customWidth="1"/>
    <col min="109" max="109" width="13.28515625" bestFit="1" customWidth="1"/>
    <col min="110" max="110" width="18.42578125" customWidth="1"/>
    <col min="116" max="116" width="13.28515625" bestFit="1" customWidth="1"/>
    <col min="120" max="120" width="16.7109375" bestFit="1" customWidth="1"/>
    <col min="121" max="121" width="13.28515625" bestFit="1" customWidth="1"/>
    <col min="125" max="125" width="13.28515625" bestFit="1" customWidth="1"/>
    <col min="129" max="129" width="13.28515625" bestFit="1" customWidth="1"/>
    <col min="139" max="139" width="16.42578125" bestFit="1" customWidth="1"/>
    <col min="144" max="144" width="18.42578125" customWidth="1"/>
    <col min="148" max="148" width="17.85546875" customWidth="1"/>
    <col min="149" max="149" width="9.7109375" bestFit="1" customWidth="1"/>
    <col min="151" max="151" width="17.140625" bestFit="1" customWidth="1"/>
    <col min="154" max="154" width="14" customWidth="1"/>
    <col min="156" max="156" width="30.5703125" bestFit="1" customWidth="1"/>
    <col min="157" max="157" width="9.7109375" bestFit="1" customWidth="1"/>
    <col min="160" max="160" width="23.28515625" bestFit="1" customWidth="1"/>
    <col min="164" max="164" width="17.42578125" bestFit="1" customWidth="1"/>
    <col min="168" max="168" width="17.42578125" bestFit="1" customWidth="1"/>
    <col min="188" max="188" width="15.7109375" bestFit="1" customWidth="1"/>
    <col min="191" max="191" width="17" bestFit="1" customWidth="1"/>
    <col min="205" max="205" width="16.42578125" bestFit="1" customWidth="1"/>
    <col min="209" max="209" width="16.42578125" bestFit="1" customWidth="1"/>
    <col min="210" max="210" width="12.28515625" style="4" bestFit="1" customWidth="1"/>
    <col min="220" max="220" width="18" bestFit="1" customWidth="1"/>
    <col min="227" max="227" width="30.140625" bestFit="1" customWidth="1"/>
    <col min="235" max="235" width="30.140625" bestFit="1" customWidth="1"/>
    <col min="243" max="243" width="35.140625" bestFit="1" customWidth="1"/>
    <col min="251" max="251" width="15.5703125" customWidth="1"/>
  </cols>
  <sheetData>
    <row r="1" spans="6:256">
      <c r="EO1">
        <v>2500</v>
      </c>
      <c r="ES1">
        <v>1500</v>
      </c>
      <c r="EV1" t="s">
        <v>160</v>
      </c>
      <c r="EW1">
        <f>750+600</f>
        <v>1350</v>
      </c>
      <c r="EZ1" t="s">
        <v>167</v>
      </c>
      <c r="FA1">
        <v>240</v>
      </c>
      <c r="FD1" t="s">
        <v>167</v>
      </c>
      <c r="FE1">
        <v>430</v>
      </c>
      <c r="FH1" t="s">
        <v>167</v>
      </c>
      <c r="FI1">
        <v>430</v>
      </c>
      <c r="FL1" t="s">
        <v>167</v>
      </c>
      <c r="FM1">
        <v>430</v>
      </c>
      <c r="FP1" t="s">
        <v>167</v>
      </c>
      <c r="FQ1">
        <v>430</v>
      </c>
      <c r="FT1" t="s">
        <v>167</v>
      </c>
      <c r="FU1">
        <v>430</v>
      </c>
      <c r="FX1" t="s">
        <v>167</v>
      </c>
      <c r="FY1">
        <v>640</v>
      </c>
      <c r="GB1" t="s">
        <v>167</v>
      </c>
      <c r="GC1">
        <v>432</v>
      </c>
      <c r="GF1" t="s">
        <v>167</v>
      </c>
      <c r="GG1">
        <v>432</v>
      </c>
      <c r="GK1" s="4" t="s">
        <v>167</v>
      </c>
      <c r="GL1" s="4">
        <v>532</v>
      </c>
      <c r="GO1" s="4" t="s">
        <v>167</v>
      </c>
      <c r="GP1" s="4">
        <v>532</v>
      </c>
      <c r="GS1" s="4" t="s">
        <v>167</v>
      </c>
      <c r="GT1" s="4">
        <v>334</v>
      </c>
      <c r="GW1" s="4" t="s">
        <v>167</v>
      </c>
      <c r="GX1" s="4">
        <v>65</v>
      </c>
      <c r="HA1" s="4" t="s">
        <v>167</v>
      </c>
      <c r="HB1" s="4">
        <v>335</v>
      </c>
      <c r="HE1" s="4" t="s">
        <v>167</v>
      </c>
      <c r="HF1" s="4">
        <v>335</v>
      </c>
      <c r="HL1" s="44" t="s">
        <v>167</v>
      </c>
      <c r="HM1" s="45">
        <v>335</v>
      </c>
      <c r="HN1" s="46"/>
      <c r="HO1" s="46"/>
      <c r="HP1" s="47"/>
      <c r="HS1" s="44" t="s">
        <v>167</v>
      </c>
      <c r="HT1" s="45">
        <v>335</v>
      </c>
      <c r="HU1" s="46"/>
      <c r="HV1" s="46"/>
      <c r="HW1" s="47"/>
      <c r="IA1" s="44" t="s">
        <v>167</v>
      </c>
      <c r="IB1" s="45">
        <v>335</v>
      </c>
      <c r="IC1" s="46"/>
      <c r="ID1" s="46"/>
      <c r="IE1" s="47"/>
      <c r="II1" s="44" t="s">
        <v>167</v>
      </c>
      <c r="IJ1" s="45">
        <v>659</v>
      </c>
      <c r="IK1" s="46"/>
      <c r="IL1" s="46"/>
      <c r="IM1" s="47"/>
    </row>
    <row r="2" spans="6:256">
      <c r="DL2">
        <v>1565.48</v>
      </c>
      <c r="EB2" t="s">
        <v>139</v>
      </c>
      <c r="EC2">
        <v>500</v>
      </c>
      <c r="EF2" t="s">
        <v>139</v>
      </c>
      <c r="EG2">
        <v>500</v>
      </c>
      <c r="EJ2" t="s">
        <v>139</v>
      </c>
      <c r="EK2">
        <v>500</v>
      </c>
      <c r="EN2" t="s">
        <v>139</v>
      </c>
      <c r="EO2">
        <f>500-500</f>
        <v>0</v>
      </c>
      <c r="ER2" t="s">
        <v>139</v>
      </c>
      <c r="ES2">
        <v>500</v>
      </c>
      <c r="EV2" t="s">
        <v>139</v>
      </c>
      <c r="EW2">
        <v>500</v>
      </c>
      <c r="EZ2" t="s">
        <v>139</v>
      </c>
      <c r="FA2">
        <v>700</v>
      </c>
      <c r="FD2" t="s">
        <v>139</v>
      </c>
      <c r="FE2">
        <v>600</v>
      </c>
      <c r="FH2" t="s">
        <v>139</v>
      </c>
      <c r="FI2">
        <v>500</v>
      </c>
      <c r="FL2" t="s">
        <v>139</v>
      </c>
      <c r="FP2" t="s">
        <v>139</v>
      </c>
      <c r="FT2" t="s">
        <v>139</v>
      </c>
      <c r="FX2" t="s">
        <v>139</v>
      </c>
      <c r="GB2" t="s">
        <v>139</v>
      </c>
      <c r="GF2" t="s">
        <v>188</v>
      </c>
      <c r="GG2" s="39"/>
      <c r="GK2" s="4" t="s">
        <v>188</v>
      </c>
      <c r="GL2" s="4"/>
      <c r="GO2" s="4" t="s">
        <v>188</v>
      </c>
      <c r="GP2" s="4">
        <f>1500/2</f>
        <v>750</v>
      </c>
      <c r="GS2" s="4" t="s">
        <v>188</v>
      </c>
      <c r="GT2" s="4">
        <f>1500/2</f>
        <v>750</v>
      </c>
      <c r="GW2" s="4" t="s">
        <v>188</v>
      </c>
      <c r="GX2" s="4">
        <v>500</v>
      </c>
      <c r="HA2" s="4" t="s">
        <v>188</v>
      </c>
      <c r="HB2" s="4">
        <v>500</v>
      </c>
      <c r="HE2" s="4" t="s">
        <v>188</v>
      </c>
      <c r="HF2" s="4">
        <v>500</v>
      </c>
      <c r="HH2" t="s">
        <v>12</v>
      </c>
      <c r="HI2">
        <f>+HI4+HF4</f>
        <v>18850</v>
      </c>
      <c r="HL2" s="48" t="s">
        <v>188</v>
      </c>
      <c r="HM2" s="17"/>
      <c r="HN2" s="49"/>
      <c r="HO2" s="49" t="s">
        <v>12</v>
      </c>
      <c r="HP2" s="50">
        <f>+HP4+HM4</f>
        <v>19052.739999999998</v>
      </c>
      <c r="HS2" s="48" t="s">
        <v>188</v>
      </c>
      <c r="HT2" s="17"/>
      <c r="HU2" s="49"/>
      <c r="HV2" s="49" t="s">
        <v>12</v>
      </c>
      <c r="HW2" s="50">
        <f>+HW4+HT4</f>
        <v>18880</v>
      </c>
      <c r="IA2" s="48" t="s">
        <v>188</v>
      </c>
      <c r="IB2" s="17"/>
      <c r="IC2" s="49"/>
      <c r="ID2" s="49" t="s">
        <v>12</v>
      </c>
      <c r="IE2" s="50">
        <f>+IE4+IB4</f>
        <v>19650</v>
      </c>
      <c r="II2" s="48" t="s">
        <v>188</v>
      </c>
      <c r="IJ2" s="17"/>
      <c r="IK2" s="49"/>
      <c r="IL2" s="49" t="s">
        <v>12</v>
      </c>
      <c r="IM2" s="50">
        <f>+IM4+IJ4</f>
        <v>20434</v>
      </c>
    </row>
    <row r="3" spans="6:256">
      <c r="DD3" t="s">
        <v>111</v>
      </c>
      <c r="DE3">
        <v>1500</v>
      </c>
      <c r="DK3" t="s">
        <v>111</v>
      </c>
      <c r="DL3">
        <v>1600</v>
      </c>
      <c r="DP3" t="s">
        <v>111</v>
      </c>
      <c r="DQ3">
        <v>1500</v>
      </c>
      <c r="DT3" t="s">
        <v>111</v>
      </c>
      <c r="DU3">
        <v>1500</v>
      </c>
      <c r="DX3" t="s">
        <v>111</v>
      </c>
      <c r="DY3">
        <v>1500</v>
      </c>
      <c r="EB3" t="s">
        <v>138</v>
      </c>
      <c r="EC3">
        <v>1500</v>
      </c>
      <c r="EF3" t="s">
        <v>138</v>
      </c>
      <c r="EG3">
        <v>1500</v>
      </c>
      <c r="EJ3" t="s">
        <v>138</v>
      </c>
      <c r="EK3">
        <v>1000</v>
      </c>
      <c r="EN3" t="s">
        <v>138</v>
      </c>
      <c r="EO3">
        <v>1000</v>
      </c>
      <c r="ER3" t="s">
        <v>138</v>
      </c>
      <c r="ES3">
        <v>1000</v>
      </c>
      <c r="EV3" t="s">
        <v>138</v>
      </c>
      <c r="EW3">
        <v>1000</v>
      </c>
      <c r="EZ3" t="s">
        <v>138</v>
      </c>
      <c r="FA3">
        <v>1000</v>
      </c>
      <c r="FD3" t="s">
        <v>138</v>
      </c>
      <c r="FE3">
        <v>1000</v>
      </c>
      <c r="FH3" t="s">
        <v>176</v>
      </c>
      <c r="FI3">
        <f>8500-FI4</f>
        <v>594.60000000000036</v>
      </c>
      <c r="FL3" t="s">
        <v>176</v>
      </c>
      <c r="FP3" t="s">
        <v>176</v>
      </c>
      <c r="FT3" t="s">
        <v>176</v>
      </c>
      <c r="FX3" t="s">
        <v>184</v>
      </c>
      <c r="FY3">
        <v>154</v>
      </c>
      <c r="GB3" t="s">
        <v>184</v>
      </c>
      <c r="GF3" t="s">
        <v>184</v>
      </c>
      <c r="GK3" s="4" t="s">
        <v>184</v>
      </c>
      <c r="GL3" s="4"/>
      <c r="GO3" s="4" t="s">
        <v>184</v>
      </c>
      <c r="GP3" s="4"/>
      <c r="GS3" s="4" t="s">
        <v>184</v>
      </c>
      <c r="GT3" s="4"/>
      <c r="GW3" s="4" t="s">
        <v>194</v>
      </c>
      <c r="GX3" s="4"/>
      <c r="HA3" s="4" t="s">
        <v>194</v>
      </c>
      <c r="HE3" s="4" t="s">
        <v>194</v>
      </c>
      <c r="HF3" s="4"/>
      <c r="HH3" s="4"/>
      <c r="HI3" s="4"/>
      <c r="HL3" s="48" t="s">
        <v>209</v>
      </c>
      <c r="HM3" s="17"/>
      <c r="HN3" s="49"/>
      <c r="HO3" s="17"/>
      <c r="HP3" s="51"/>
      <c r="HS3" s="48" t="s">
        <v>209</v>
      </c>
      <c r="HT3" s="17"/>
      <c r="HU3" s="49"/>
      <c r="HV3" s="17"/>
      <c r="HW3" s="51"/>
      <c r="IA3" s="48" t="s">
        <v>209</v>
      </c>
      <c r="IB3" s="17"/>
      <c r="IC3" s="49"/>
      <c r="ID3" s="17"/>
      <c r="IE3" s="51"/>
      <c r="II3" s="48" t="s">
        <v>209</v>
      </c>
      <c r="IJ3" s="17"/>
      <c r="IK3" s="49"/>
      <c r="IL3" s="17"/>
      <c r="IM3" s="51"/>
    </row>
    <row r="4" spans="6:256" ht="15.75" thickBot="1">
      <c r="AH4" s="1">
        <f>+AE8-AH8</f>
        <v>265</v>
      </c>
      <c r="AK4" s="1"/>
      <c r="BE4" s="84" t="s">
        <v>63</v>
      </c>
      <c r="BF4" s="84"/>
      <c r="BG4" s="21"/>
      <c r="BH4" s="16"/>
      <c r="BI4" s="18"/>
      <c r="CD4" s="12">
        <v>2266.46</v>
      </c>
      <c r="CE4" t="s">
        <v>60</v>
      </c>
      <c r="DF4">
        <v>239</v>
      </c>
      <c r="DY4">
        <v>5300</v>
      </c>
      <c r="EC4">
        <v>5300</v>
      </c>
      <c r="EG4" s="4">
        <v>5300</v>
      </c>
      <c r="EK4" s="4">
        <f>5100+1400</f>
        <v>6500</v>
      </c>
      <c r="EO4" s="4">
        <f>5100+1400</f>
        <v>6500</v>
      </c>
      <c r="ES4" s="4">
        <v>5090</v>
      </c>
      <c r="ET4">
        <f>+ES4+ES3+ES2+ES1</f>
        <v>8090</v>
      </c>
      <c r="EW4" s="4">
        <v>6500</v>
      </c>
      <c r="EZ4" t="s">
        <v>162</v>
      </c>
      <c r="FA4" s="4">
        <v>7475</v>
      </c>
      <c r="FD4" t="s">
        <v>162</v>
      </c>
      <c r="FE4" s="4">
        <f>5770.2+2279.8</f>
        <v>8050</v>
      </c>
      <c r="FH4" t="s">
        <v>162</v>
      </c>
      <c r="FI4" s="4">
        <f>5775+2130.4</f>
        <v>7905.4</v>
      </c>
      <c r="FL4" t="s">
        <v>162</v>
      </c>
      <c r="FM4" s="4">
        <v>8700</v>
      </c>
      <c r="FP4" t="s">
        <v>162</v>
      </c>
      <c r="FQ4" s="4">
        <v>8555</v>
      </c>
      <c r="FT4" t="s">
        <v>162</v>
      </c>
      <c r="FU4" s="4">
        <v>8585</v>
      </c>
      <c r="FX4" t="s">
        <v>162</v>
      </c>
      <c r="FY4" s="4">
        <v>8500</v>
      </c>
      <c r="GB4" t="s">
        <v>162</v>
      </c>
      <c r="GC4" s="4">
        <v>8500</v>
      </c>
      <c r="GF4" t="s">
        <v>162</v>
      </c>
      <c r="GG4" s="4">
        <v>10000</v>
      </c>
      <c r="GK4" s="4" t="s">
        <v>162</v>
      </c>
      <c r="GL4" s="4">
        <v>10000</v>
      </c>
      <c r="GO4" s="4" t="s">
        <v>162</v>
      </c>
      <c r="GP4" s="4">
        <v>10000</v>
      </c>
      <c r="GS4" s="4" t="s">
        <v>162</v>
      </c>
      <c r="GT4" s="4">
        <v>10000</v>
      </c>
      <c r="GW4" s="4" t="s">
        <v>162</v>
      </c>
      <c r="GX4" s="4">
        <v>10000</v>
      </c>
      <c r="HA4" s="4" t="s">
        <v>162</v>
      </c>
      <c r="HB4" s="4">
        <v>10000</v>
      </c>
      <c r="HE4" s="4" t="s">
        <v>162</v>
      </c>
      <c r="HF4" s="4">
        <v>10850</v>
      </c>
      <c r="HH4" s="4" t="s">
        <v>162</v>
      </c>
      <c r="HI4" s="4">
        <v>8000</v>
      </c>
      <c r="HL4" s="48" t="s">
        <v>162</v>
      </c>
      <c r="HM4" s="17">
        <f>7652.74+3400</f>
        <v>11052.74</v>
      </c>
      <c r="HN4" s="49"/>
      <c r="HO4" s="17" t="s">
        <v>162</v>
      </c>
      <c r="HP4" s="51">
        <v>8000</v>
      </c>
      <c r="HS4" s="48" t="s">
        <v>162</v>
      </c>
      <c r="HT4" s="17">
        <v>10880</v>
      </c>
      <c r="HU4" s="49"/>
      <c r="HV4" s="17" t="s">
        <v>162</v>
      </c>
      <c r="HW4" s="51">
        <v>8000</v>
      </c>
      <c r="IA4" s="48" t="s">
        <v>162</v>
      </c>
      <c r="IB4" s="17">
        <f>12400-750</f>
        <v>11650</v>
      </c>
      <c r="IC4" s="49"/>
      <c r="ID4" s="17" t="s">
        <v>162</v>
      </c>
      <c r="IE4" s="51">
        <v>8000</v>
      </c>
      <c r="II4" s="48" t="s">
        <v>162</v>
      </c>
      <c r="IJ4" s="17">
        <v>12434</v>
      </c>
      <c r="IK4" s="49"/>
      <c r="IL4" s="17" t="s">
        <v>162</v>
      </c>
      <c r="IM4" s="51">
        <v>8000</v>
      </c>
    </row>
    <row r="5" spans="6:256">
      <c r="AH5" s="1"/>
      <c r="AK5" s="1"/>
      <c r="AW5">
        <v>3850</v>
      </c>
      <c r="AZ5">
        <f>700+3149.7</f>
        <v>3849.7</v>
      </c>
      <c r="BC5">
        <f>700+3149.7</f>
        <v>3849.7</v>
      </c>
      <c r="BF5">
        <f>700+3149.7</f>
        <v>3849.7</v>
      </c>
      <c r="BJ5">
        <v>3850</v>
      </c>
      <c r="BN5">
        <f>3400-200</f>
        <v>3200</v>
      </c>
      <c r="BR5">
        <v>3500</v>
      </c>
      <c r="BV5">
        <v>3428.46</v>
      </c>
      <c r="BZ5">
        <v>3428.46</v>
      </c>
      <c r="CD5">
        <v>3428.46</v>
      </c>
      <c r="CH5">
        <f>550+3923.81-20-200</f>
        <v>4253.8099999999995</v>
      </c>
      <c r="CJ5" s="17"/>
      <c r="CL5">
        <f>3974.8+525.2</f>
        <v>4500</v>
      </c>
      <c r="CQ5">
        <f>3923.81+576.5</f>
        <v>4500.3099999999995</v>
      </c>
      <c r="CU5">
        <f>3923.81+576.19</f>
        <v>4500</v>
      </c>
      <c r="CV5" s="5"/>
      <c r="CY5">
        <f>4081.6+418.4</f>
        <v>4500</v>
      </c>
      <c r="DD5" t="s">
        <v>27</v>
      </c>
      <c r="DE5">
        <v>5300</v>
      </c>
      <c r="DL5">
        <f>4379.33+920.67</f>
        <v>5300</v>
      </c>
      <c r="DQ5">
        <f>4800+273.48</f>
        <v>5073.4799999999996</v>
      </c>
      <c r="DU5">
        <f>970+4329.33</f>
        <v>5299.33</v>
      </c>
      <c r="DY5">
        <v>4279.1899999999996</v>
      </c>
      <c r="EC5">
        <v>4279.1899999999996</v>
      </c>
      <c r="EG5" s="4">
        <v>4279.1899999999996</v>
      </c>
      <c r="EK5" s="4"/>
      <c r="EO5" s="4"/>
      <c r="ES5" s="4"/>
      <c r="EW5" s="4"/>
      <c r="FA5" s="4"/>
      <c r="FE5" s="4"/>
      <c r="FI5" s="4"/>
      <c r="FM5" s="4"/>
      <c r="FQ5" s="4"/>
      <c r="FU5" s="4"/>
      <c r="FY5" s="4"/>
      <c r="GC5" s="4"/>
      <c r="GG5" s="4"/>
      <c r="GK5" s="4"/>
      <c r="GL5" s="4"/>
      <c r="GO5" s="4"/>
      <c r="GP5" s="4"/>
      <c r="GS5" s="4"/>
      <c r="GT5" s="4"/>
      <c r="GW5" s="4"/>
      <c r="GX5" s="4"/>
      <c r="HA5" s="4"/>
      <c r="HE5" s="4"/>
      <c r="HF5" s="4"/>
      <c r="HH5" s="43" t="s">
        <v>200</v>
      </c>
      <c r="HI5" t="s">
        <v>201</v>
      </c>
      <c r="HL5" s="48"/>
      <c r="HM5" s="17"/>
      <c r="HN5" s="49"/>
      <c r="HO5" s="52" t="s">
        <v>200</v>
      </c>
      <c r="HP5" s="50" t="s">
        <v>201</v>
      </c>
      <c r="HS5" s="48"/>
      <c r="HT5" s="17"/>
      <c r="HU5" s="49"/>
      <c r="HV5" s="66" t="s">
        <v>200</v>
      </c>
      <c r="HW5" s="71" t="s">
        <v>201</v>
      </c>
      <c r="IA5" s="48"/>
      <c r="IB5" s="17"/>
      <c r="IC5" s="49"/>
      <c r="ID5" s="66" t="s">
        <v>200</v>
      </c>
      <c r="IE5" s="71" t="s">
        <v>201</v>
      </c>
      <c r="II5" s="48"/>
      <c r="IJ5" s="17"/>
      <c r="IK5" s="49"/>
      <c r="IL5" s="66" t="s">
        <v>200</v>
      </c>
      <c r="IM5" s="71" t="s">
        <v>201</v>
      </c>
    </row>
    <row r="6" spans="6:256">
      <c r="AH6" s="1"/>
      <c r="AK6" s="1"/>
      <c r="CJ6" s="17"/>
      <c r="CV6" s="5"/>
      <c r="EG6" s="4"/>
      <c r="EK6" s="4"/>
      <c r="EO6" s="4"/>
      <c r="ES6" s="4"/>
      <c r="EW6" s="4"/>
      <c r="FA6" s="4"/>
      <c r="FE6" s="4"/>
      <c r="FI6" s="4"/>
      <c r="FM6" s="4"/>
      <c r="FQ6" s="4"/>
      <c r="FU6" s="4"/>
      <c r="FY6" s="4"/>
      <c r="GC6" s="4"/>
      <c r="GG6" s="4"/>
      <c r="GK6" s="4"/>
      <c r="GL6" s="4"/>
      <c r="GO6" s="4"/>
      <c r="GP6" s="4"/>
      <c r="GS6" s="4"/>
      <c r="GT6" s="4"/>
      <c r="GW6" s="4"/>
      <c r="GX6" s="4"/>
      <c r="HA6" s="4"/>
      <c r="HE6" s="43"/>
      <c r="HF6" s="43"/>
      <c r="HH6" s="43">
        <f>+HF4/HI2</f>
        <v>0.5755968169761273</v>
      </c>
      <c r="HI6" s="43">
        <f>+HI4/HI2</f>
        <v>0.4244031830238727</v>
      </c>
      <c r="HL6" s="53"/>
      <c r="HM6" s="52"/>
      <c r="HN6" s="49"/>
      <c r="HO6" s="52">
        <f>+HM4/HP2</f>
        <v>0.58011288665042404</v>
      </c>
      <c r="HP6" s="54">
        <f>+HP4/HP2</f>
        <v>0.41988711334957601</v>
      </c>
      <c r="HS6" s="53"/>
      <c r="HT6" s="52"/>
      <c r="HU6" s="49"/>
      <c r="HV6" s="67">
        <f>+HT4/HW2</f>
        <v>0.57627118644067798</v>
      </c>
      <c r="HW6" s="72">
        <f>+HW4/HW2</f>
        <v>0.42372881355932202</v>
      </c>
      <c r="IA6" s="53"/>
      <c r="IB6" s="52"/>
      <c r="IC6" s="49"/>
      <c r="ID6" s="67">
        <f>+IB4/IE2</f>
        <v>0.59287531806615779</v>
      </c>
      <c r="IE6" s="72">
        <f>+IE4/IE2</f>
        <v>0.40712468193384221</v>
      </c>
      <c r="II6" s="53"/>
      <c r="IJ6" s="52"/>
      <c r="IK6" s="49"/>
      <c r="IL6" s="67">
        <f>+IJ4/IM2</f>
        <v>0.60849564451404525</v>
      </c>
      <c r="IM6" s="72">
        <f>+IM4/IM2</f>
        <v>0.3915043554859548</v>
      </c>
    </row>
    <row r="7" spans="6:256" ht="18.75">
      <c r="F7" t="s">
        <v>15</v>
      </c>
      <c r="I7" t="s">
        <v>16</v>
      </c>
      <c r="L7" t="s">
        <v>24</v>
      </c>
      <c r="O7" t="s">
        <v>25</v>
      </c>
      <c r="P7"/>
      <c r="R7" t="s">
        <v>30</v>
      </c>
      <c r="U7" t="s">
        <v>36</v>
      </c>
      <c r="X7" t="s">
        <v>37</v>
      </c>
      <c r="AA7" t="s">
        <v>39</v>
      </c>
      <c r="AD7" t="s">
        <v>42</v>
      </c>
      <c r="AG7" t="s">
        <v>43</v>
      </c>
      <c r="AH7" s="1"/>
      <c r="AJ7" t="s">
        <v>44</v>
      </c>
      <c r="AK7" s="1"/>
      <c r="AM7" t="s">
        <v>50</v>
      </c>
      <c r="AN7" s="1"/>
      <c r="AP7" t="s">
        <v>15</v>
      </c>
      <c r="AQ7" s="1"/>
      <c r="AS7" t="s">
        <v>16</v>
      </c>
      <c r="AT7" s="1"/>
      <c r="AV7" t="s">
        <v>16</v>
      </c>
      <c r="AW7" s="1"/>
      <c r="AY7" t="s">
        <v>24</v>
      </c>
      <c r="AZ7" s="1"/>
      <c r="BB7" s="15">
        <v>41183</v>
      </c>
      <c r="BC7" s="1"/>
      <c r="BE7" s="15">
        <v>41214</v>
      </c>
      <c r="BF7" s="1"/>
      <c r="BG7" s="5"/>
      <c r="BH7" s="15"/>
      <c r="BI7" s="15"/>
      <c r="BJ7" s="15">
        <v>41244</v>
      </c>
      <c r="BM7" s="15"/>
      <c r="BN7" s="15">
        <v>41275</v>
      </c>
      <c r="BP7" s="4"/>
      <c r="BQ7" s="15"/>
      <c r="BR7" s="15">
        <v>41306</v>
      </c>
      <c r="BU7" s="15"/>
      <c r="BV7" s="15">
        <v>41334</v>
      </c>
      <c r="BY7" s="15"/>
      <c r="BZ7" s="15">
        <v>41365</v>
      </c>
      <c r="CC7" s="15"/>
      <c r="CD7" s="15">
        <v>41395</v>
      </c>
      <c r="CG7" s="15"/>
      <c r="CH7" s="15">
        <v>41426</v>
      </c>
      <c r="CJ7" s="17"/>
      <c r="CK7" s="15"/>
      <c r="CL7" s="15">
        <v>41456</v>
      </c>
      <c r="CM7" s="17"/>
      <c r="CN7" s="17">
        <v>372.63</v>
      </c>
      <c r="CO7" s="17"/>
      <c r="CP7" s="15"/>
      <c r="CQ7" s="15">
        <v>41487</v>
      </c>
      <c r="CT7" s="15"/>
      <c r="CU7" s="15">
        <v>41518</v>
      </c>
      <c r="CX7" s="15"/>
      <c r="CY7" s="15">
        <v>41548</v>
      </c>
      <c r="DD7" s="28"/>
      <c r="DE7" s="28">
        <v>41579</v>
      </c>
      <c r="DF7" t="s">
        <v>108</v>
      </c>
      <c r="DK7" s="15"/>
      <c r="DL7" s="15">
        <v>41609</v>
      </c>
      <c r="DP7" s="15"/>
      <c r="DQ7" s="15">
        <v>41640</v>
      </c>
      <c r="DT7" s="15"/>
      <c r="DU7" s="15">
        <v>41671</v>
      </c>
      <c r="DX7" s="15"/>
      <c r="DY7" s="15">
        <v>41699</v>
      </c>
      <c r="EB7" s="15"/>
      <c r="EC7" s="15">
        <v>41730</v>
      </c>
      <c r="EF7" s="15"/>
      <c r="EG7" s="35">
        <v>41760</v>
      </c>
      <c r="EJ7" s="15"/>
      <c r="EK7" s="35">
        <v>41791</v>
      </c>
      <c r="EN7" s="15"/>
      <c r="EO7" s="35">
        <v>41821</v>
      </c>
      <c r="ER7" s="15"/>
      <c r="ES7" s="35">
        <v>41852</v>
      </c>
      <c r="EV7" s="15"/>
      <c r="EW7" s="35">
        <v>41883</v>
      </c>
      <c r="EZ7" s="15"/>
      <c r="FA7" s="35">
        <v>41913</v>
      </c>
      <c r="FD7" s="15"/>
      <c r="FE7" s="35">
        <v>41944</v>
      </c>
      <c r="FH7" s="15"/>
      <c r="FI7" s="35">
        <v>41974</v>
      </c>
      <c r="FL7" s="15"/>
      <c r="FM7" s="35">
        <v>42005</v>
      </c>
      <c r="FP7" s="15"/>
      <c r="FQ7" s="35">
        <v>42036</v>
      </c>
      <c r="FT7" s="15"/>
      <c r="FU7" s="35">
        <v>42064</v>
      </c>
      <c r="FX7" s="15"/>
      <c r="FY7" s="35">
        <v>42095</v>
      </c>
      <c r="GB7" s="15"/>
      <c r="GC7" s="35">
        <v>42125</v>
      </c>
      <c r="GF7" s="15"/>
      <c r="GG7" s="35">
        <v>42156</v>
      </c>
      <c r="GK7" s="35"/>
      <c r="GL7" s="35">
        <v>42186</v>
      </c>
      <c r="GO7" s="35"/>
      <c r="GP7" s="35">
        <v>42217</v>
      </c>
      <c r="GS7" s="35"/>
      <c r="GT7" s="35">
        <v>42248</v>
      </c>
      <c r="GU7" s="37"/>
      <c r="GW7" s="35"/>
      <c r="GX7" s="35">
        <v>42248</v>
      </c>
      <c r="HA7" s="35"/>
      <c r="HB7" s="35">
        <v>42309</v>
      </c>
      <c r="HE7" s="35"/>
      <c r="HF7" s="35">
        <v>42339</v>
      </c>
      <c r="HH7" s="35"/>
      <c r="HI7" s="35">
        <v>42339</v>
      </c>
      <c r="HL7" s="55"/>
      <c r="HM7" s="56">
        <v>42370</v>
      </c>
      <c r="HN7" s="49"/>
      <c r="HO7" s="56"/>
      <c r="HP7" s="57">
        <v>42370</v>
      </c>
      <c r="HS7" s="55"/>
      <c r="HT7" s="56">
        <v>42401</v>
      </c>
      <c r="HU7" s="49"/>
      <c r="HV7" s="68"/>
      <c r="HW7" s="73">
        <v>42401</v>
      </c>
      <c r="IA7" s="55"/>
      <c r="IB7" s="56">
        <v>42430</v>
      </c>
      <c r="IC7" s="49"/>
      <c r="ID7" s="68"/>
      <c r="IE7" s="73">
        <v>42401</v>
      </c>
      <c r="II7" s="55"/>
      <c r="IJ7" s="56">
        <v>42430</v>
      </c>
      <c r="IK7" s="49"/>
      <c r="IL7" s="68"/>
      <c r="IM7" s="73">
        <v>42401</v>
      </c>
    </row>
    <row r="8" spans="6:256">
      <c r="F8" t="s">
        <v>0</v>
      </c>
      <c r="G8" s="3">
        <v>464.91</v>
      </c>
      <c r="I8" t="s">
        <v>0</v>
      </c>
      <c r="J8" s="3">
        <v>506</v>
      </c>
      <c r="L8" t="s">
        <v>0</v>
      </c>
      <c r="M8" s="3">
        <v>456</v>
      </c>
      <c r="N8" s="5"/>
      <c r="O8" t="s">
        <v>0</v>
      </c>
      <c r="P8" s="7">
        <v>487.64</v>
      </c>
      <c r="Q8" s="5"/>
      <c r="R8" t="s">
        <v>0</v>
      </c>
      <c r="S8" s="3">
        <v>375.88</v>
      </c>
      <c r="U8" t="s">
        <v>0</v>
      </c>
      <c r="V8" s="3">
        <v>501.46</v>
      </c>
      <c r="X8" t="s">
        <v>0</v>
      </c>
      <c r="Y8" s="3">
        <v>682.72</v>
      </c>
      <c r="AA8" t="s">
        <v>0</v>
      </c>
      <c r="AB8" s="3">
        <f>636.13+350.63</f>
        <v>986.76</v>
      </c>
      <c r="AD8" t="s">
        <v>0</v>
      </c>
      <c r="AE8" s="3">
        <f>736+360</f>
        <v>1096</v>
      </c>
      <c r="AG8" t="s">
        <v>0</v>
      </c>
      <c r="AH8" s="3">
        <v>831</v>
      </c>
      <c r="AJ8" t="s">
        <v>0</v>
      </c>
      <c r="AK8" s="3">
        <v>946.75</v>
      </c>
      <c r="AM8" t="s">
        <v>0</v>
      </c>
      <c r="AN8" s="3">
        <v>863.71</v>
      </c>
      <c r="AP8" t="s">
        <v>0</v>
      </c>
      <c r="AQ8" s="3">
        <f>865.16+80</f>
        <v>945.16</v>
      </c>
      <c r="AS8" t="s">
        <v>0</v>
      </c>
      <c r="AT8" s="3">
        <f>637.23+173.8</f>
        <v>811.03</v>
      </c>
      <c r="AV8" t="s">
        <v>0</v>
      </c>
      <c r="AW8" s="3">
        <f>731+227.99</f>
        <v>958.99</v>
      </c>
      <c r="AY8" t="s">
        <v>0</v>
      </c>
      <c r="AZ8" s="3">
        <f>650.76+277.25</f>
        <v>928.01</v>
      </c>
      <c r="BB8" t="s">
        <v>0</v>
      </c>
      <c r="BC8" s="3">
        <v>775.75</v>
      </c>
      <c r="BE8" t="s">
        <v>0</v>
      </c>
      <c r="BF8" s="3">
        <f>825+211</f>
        <v>1036</v>
      </c>
      <c r="BG8" s="5"/>
      <c r="BH8" s="5"/>
      <c r="BI8" t="s">
        <v>0</v>
      </c>
      <c r="BJ8" s="3">
        <f>576.26+103.29</f>
        <v>679.55</v>
      </c>
      <c r="BK8" s="1"/>
      <c r="BM8" t="s">
        <v>0</v>
      </c>
      <c r="BN8" s="3">
        <v>583.85</v>
      </c>
      <c r="BP8" s="4"/>
      <c r="BQ8" t="s">
        <v>0</v>
      </c>
      <c r="BR8" s="3">
        <f>458.18+196.57</f>
        <v>654.75</v>
      </c>
      <c r="BU8" t="s">
        <v>0</v>
      </c>
      <c r="BV8" s="3">
        <f>745.41+88</f>
        <v>833.41</v>
      </c>
      <c r="BW8" s="1"/>
      <c r="BY8" t="s">
        <v>0</v>
      </c>
      <c r="BZ8" s="3">
        <f>665.71+100</f>
        <v>765.71</v>
      </c>
      <c r="CA8" s="4"/>
      <c r="CB8" s="4"/>
      <c r="CC8" s="4" t="s">
        <v>0</v>
      </c>
      <c r="CD8" s="3">
        <f>469.04+37.67</f>
        <v>506.71000000000004</v>
      </c>
      <c r="CF8" s="1"/>
      <c r="CG8" s="4" t="s">
        <v>0</v>
      </c>
      <c r="CH8" s="3">
        <v>613.41</v>
      </c>
      <c r="CJ8" s="17"/>
      <c r="CK8" s="4" t="s">
        <v>0</v>
      </c>
      <c r="CL8" s="3">
        <v>1086.0999999999999</v>
      </c>
      <c r="CM8" s="17"/>
      <c r="CN8" s="17">
        <f>500+400-68</f>
        <v>832</v>
      </c>
      <c r="CO8" s="17"/>
      <c r="CP8" s="4" t="s">
        <v>0</v>
      </c>
      <c r="CQ8" s="3">
        <f>1312.65+239.38</f>
        <v>1552.0300000000002</v>
      </c>
      <c r="CT8" s="4" t="s">
        <v>0</v>
      </c>
      <c r="CU8" s="3">
        <f>1076.97+96.97</f>
        <v>1173.94</v>
      </c>
      <c r="CX8" s="4" t="s">
        <v>0</v>
      </c>
      <c r="CY8" s="3">
        <v>1100.82</v>
      </c>
      <c r="DD8" s="4" t="s">
        <v>0</v>
      </c>
      <c r="DE8" s="3">
        <f>848.79+87.87</f>
        <v>936.66</v>
      </c>
      <c r="DF8">
        <f>131/3</f>
        <v>43.666666666666664</v>
      </c>
      <c r="DG8" t="s">
        <v>109</v>
      </c>
      <c r="DK8" s="4" t="s">
        <v>0</v>
      </c>
      <c r="DL8" s="3">
        <v>992.14</v>
      </c>
      <c r="DP8" s="4" t="s">
        <v>0</v>
      </c>
      <c r="DQ8" s="3">
        <f>614.65+252.38</f>
        <v>867.03</v>
      </c>
      <c r="DT8" s="4" t="s">
        <v>0</v>
      </c>
      <c r="DU8" s="12">
        <f>594.98+160.71</f>
        <v>755.69</v>
      </c>
      <c r="DX8" s="4" t="s">
        <v>0</v>
      </c>
      <c r="DY8" s="3">
        <f>677.66+84.37</f>
        <v>762.03</v>
      </c>
      <c r="EB8" s="4" t="s">
        <v>0</v>
      </c>
      <c r="EC8" s="3">
        <v>686.5</v>
      </c>
      <c r="EF8" s="4" t="s">
        <v>0</v>
      </c>
      <c r="EG8" s="3">
        <v>961.2</v>
      </c>
      <c r="EH8" s="1"/>
      <c r="EI8" s="36"/>
      <c r="EJ8" s="4" t="s">
        <v>0</v>
      </c>
      <c r="EK8" s="3">
        <v>1019.42</v>
      </c>
      <c r="EN8" s="4" t="s">
        <v>0</v>
      </c>
      <c r="EO8" s="3">
        <v>1138.3900000000001</v>
      </c>
      <c r="ER8" s="4" t="s">
        <v>0</v>
      </c>
      <c r="ES8" s="38">
        <f>1285.22-466.5</f>
        <v>818.72</v>
      </c>
      <c r="ET8" s="11">
        <v>1285.22</v>
      </c>
      <c r="EV8" s="4" t="s">
        <v>0</v>
      </c>
      <c r="EW8" s="3">
        <f>1350-466.5</f>
        <v>883.5</v>
      </c>
      <c r="EZ8" s="4" t="s">
        <v>0</v>
      </c>
      <c r="FA8" s="3">
        <f>1403.67-466.5</f>
        <v>937.17000000000007</v>
      </c>
      <c r="FD8" s="4" t="s">
        <v>0</v>
      </c>
      <c r="FE8" s="3">
        <f>1892.93</f>
        <v>1892.93</v>
      </c>
      <c r="FH8" s="4" t="s">
        <v>0</v>
      </c>
      <c r="FI8" s="3">
        <f>1900.48</f>
        <v>1900.48</v>
      </c>
      <c r="FJ8">
        <v>466.5</v>
      </c>
      <c r="FL8" s="4" t="s">
        <v>0</v>
      </c>
      <c r="FM8" s="3">
        <v>2167.61</v>
      </c>
      <c r="FN8" s="1"/>
      <c r="FO8" s="4"/>
      <c r="FP8" s="4" t="s">
        <v>0</v>
      </c>
      <c r="FQ8" s="3">
        <v>1745.57</v>
      </c>
      <c r="FT8" s="4" t="s">
        <v>0</v>
      </c>
      <c r="FU8" s="3">
        <v>2543.4699999999998</v>
      </c>
      <c r="FX8" s="4" t="s">
        <v>0</v>
      </c>
      <c r="FY8" s="3">
        <v>3316.95</v>
      </c>
      <c r="GA8" s="37"/>
      <c r="GB8" s="4" t="s">
        <v>0</v>
      </c>
      <c r="GC8" s="3">
        <v>3028.8</v>
      </c>
      <c r="GF8" s="4" t="s">
        <v>0</v>
      </c>
      <c r="GG8" s="3">
        <v>3144.25</v>
      </c>
      <c r="GK8" s="4" t="s">
        <v>0</v>
      </c>
      <c r="GL8" s="3">
        <v>2755.66</v>
      </c>
      <c r="GO8" s="4" t="s">
        <v>0</v>
      </c>
      <c r="GP8" s="3">
        <v>3010.47</v>
      </c>
      <c r="GS8" s="4" t="s">
        <v>0</v>
      </c>
      <c r="GT8" s="41">
        <v>3090.13</v>
      </c>
      <c r="GW8" s="4" t="s">
        <v>0</v>
      </c>
      <c r="GX8" s="41">
        <v>3536.08</v>
      </c>
      <c r="HA8" s="4" t="s">
        <v>0</v>
      </c>
      <c r="HB8" s="41">
        <v>3809.4</v>
      </c>
      <c r="HE8" s="4" t="s">
        <v>0</v>
      </c>
      <c r="HF8" s="41">
        <f>3900-136.67</f>
        <v>3763.33</v>
      </c>
      <c r="HH8" s="3">
        <f>+HF8-HI8</f>
        <v>2545.13</v>
      </c>
      <c r="HI8" s="3">
        <f>1354.87-136.67</f>
        <v>1218.1999999999998</v>
      </c>
      <c r="HL8" s="48" t="s">
        <v>0</v>
      </c>
      <c r="HM8" s="27">
        <f>3912.27-HM26-HM16-HM17</f>
        <v>3523.93</v>
      </c>
      <c r="HN8" s="17"/>
      <c r="HO8" s="22">
        <f>+HM8*HO6</f>
        <v>2044.2772046540288</v>
      </c>
      <c r="HP8" s="58">
        <f>+HM8*$HP$6</f>
        <v>1479.6527953459713</v>
      </c>
      <c r="HS8" s="55" t="s">
        <v>0</v>
      </c>
      <c r="HT8" s="27">
        <f>4014.62-HT26-HT17-HT18-HT31</f>
        <v>3231.2599999999998</v>
      </c>
      <c r="HU8" s="49"/>
      <c r="HV8" s="69">
        <f>+HT8*$HV$6</f>
        <v>1862.0820338983051</v>
      </c>
      <c r="HW8" s="74">
        <f>+HT8*$HW$6</f>
        <v>1369.1779661016947</v>
      </c>
      <c r="IA8" s="55" t="s">
        <v>0</v>
      </c>
      <c r="IB8" s="27">
        <f>2928.22-IB26-IB17-IB18-IB31</f>
        <v>2021.5299999999997</v>
      </c>
      <c r="IC8" s="49"/>
      <c r="ID8" s="69">
        <f>+IB8*$ID$6</f>
        <v>1198.5152417302797</v>
      </c>
      <c r="IE8" s="74">
        <f>+IB8*$IE$6</f>
        <v>823.01475826971989</v>
      </c>
      <c r="II8" s="55" t="s">
        <v>0</v>
      </c>
      <c r="IJ8" s="27">
        <f>2824.92-IJ31-IJ18-IJ17</f>
        <v>2096.2600000000002</v>
      </c>
      <c r="IK8" s="49"/>
      <c r="IL8" s="69">
        <f>+IJ8*$IL$6</f>
        <v>1275.5650797690125</v>
      </c>
      <c r="IM8" s="74">
        <f>+IJ8*$IM$6</f>
        <v>820.69492023098769</v>
      </c>
    </row>
    <row r="9" spans="6:256">
      <c r="F9" t="s">
        <v>1</v>
      </c>
      <c r="G9" s="3">
        <v>200</v>
      </c>
      <c r="I9" t="s">
        <v>1</v>
      </c>
      <c r="J9" s="3">
        <v>371</v>
      </c>
      <c r="L9" t="s">
        <v>1</v>
      </c>
      <c r="M9" s="3">
        <v>320</v>
      </c>
      <c r="N9" s="5"/>
      <c r="O9" t="s">
        <v>1</v>
      </c>
      <c r="P9" s="5">
        <f>442.64-P12</f>
        <v>367.27</v>
      </c>
      <c r="Q9" s="5"/>
      <c r="R9" t="s">
        <v>1</v>
      </c>
      <c r="S9" s="3">
        <f>315-69.56</f>
        <v>245.44</v>
      </c>
      <c r="U9" t="s">
        <v>1</v>
      </c>
      <c r="V9" s="3">
        <f>499.7-69.56</f>
        <v>430.14</v>
      </c>
      <c r="X9" t="s">
        <v>1</v>
      </c>
      <c r="Y9" s="3">
        <f>485.66-Y12</f>
        <v>416.1</v>
      </c>
      <c r="AA9" t="s">
        <v>1</v>
      </c>
      <c r="AB9" s="3">
        <f>435.41-89.7</f>
        <v>345.71000000000004</v>
      </c>
      <c r="AD9" t="s">
        <v>1</v>
      </c>
      <c r="AE9" s="3">
        <f>416.41-89.7</f>
        <v>326.71000000000004</v>
      </c>
      <c r="AG9" t="s">
        <v>1</v>
      </c>
      <c r="AH9" s="3">
        <f>650-89.7</f>
        <v>560.29999999999995</v>
      </c>
      <c r="AJ9" t="s">
        <v>1</v>
      </c>
      <c r="AK9" s="3">
        <f>283-89.7</f>
        <v>193.3</v>
      </c>
      <c r="AM9" t="s">
        <v>1</v>
      </c>
      <c r="AN9" s="3">
        <v>326.75</v>
      </c>
      <c r="AP9" t="s">
        <v>1</v>
      </c>
      <c r="AQ9" s="3">
        <f>413.33-AQ13</f>
        <v>233.92999999999998</v>
      </c>
      <c r="AS9" t="s">
        <v>1</v>
      </c>
      <c r="AT9" s="3">
        <v>126.68</v>
      </c>
      <c r="AV9" t="s">
        <v>1</v>
      </c>
      <c r="AW9" s="3">
        <f>207.75-89</f>
        <v>118.75</v>
      </c>
      <c r="AY9" t="s">
        <v>1</v>
      </c>
      <c r="AZ9" s="3">
        <f>405.94-AZ13+165</f>
        <v>481.24</v>
      </c>
      <c r="BB9" t="s">
        <v>1</v>
      </c>
      <c r="BC9" s="3">
        <f>262.96-BC13</f>
        <v>173.26</v>
      </c>
      <c r="BE9" t="s">
        <v>1</v>
      </c>
      <c r="BF9" s="3">
        <f>140-101</f>
        <v>39</v>
      </c>
      <c r="BG9" s="5"/>
      <c r="BH9" s="5"/>
      <c r="BI9" t="s">
        <v>1</v>
      </c>
      <c r="BJ9" s="3">
        <f>100.79-BJ13</f>
        <v>1</v>
      </c>
      <c r="BM9" t="s">
        <v>1</v>
      </c>
      <c r="BN9" s="3">
        <f>100.79-BN13</f>
        <v>1</v>
      </c>
      <c r="BP9" s="5"/>
      <c r="BQ9" t="s">
        <v>1</v>
      </c>
      <c r="BR9" s="3">
        <f>254.51-99.79</f>
        <v>154.71999999999997</v>
      </c>
      <c r="BU9" t="s">
        <v>1</v>
      </c>
      <c r="BV9" s="3">
        <f>232.16-BV13</f>
        <v>132.37</v>
      </c>
      <c r="BW9" s="1"/>
      <c r="BY9" t="s">
        <v>1</v>
      </c>
      <c r="BZ9" s="3">
        <f>157.8-BZ13</f>
        <v>58.010000000000005</v>
      </c>
      <c r="CA9" s="4"/>
      <c r="CB9" s="4"/>
      <c r="CC9" s="4" t="s">
        <v>1</v>
      </c>
      <c r="CD9" s="3">
        <f>127.49-CD14</f>
        <v>27.699999999999989</v>
      </c>
      <c r="CF9" s="1"/>
      <c r="CG9" s="4" t="s">
        <v>1</v>
      </c>
      <c r="CH9" s="3">
        <f>127.44-CH12</f>
        <v>27.649999999999991</v>
      </c>
      <c r="CJ9" s="17"/>
      <c r="CK9" s="4" t="s">
        <v>1</v>
      </c>
      <c r="CL9" s="3">
        <f>100.44-CL12</f>
        <v>0.64999999999999147</v>
      </c>
      <c r="CM9" s="17"/>
      <c r="CN9" s="22">
        <f>-CL11-CL13-CL14-CL16-CL17-CL21</f>
        <v>-2191.9</v>
      </c>
      <c r="CO9" s="17"/>
      <c r="CP9" s="4" t="s">
        <v>1</v>
      </c>
      <c r="CQ9" s="3">
        <f>100.44-CQ12</f>
        <v>0.64999999999999147</v>
      </c>
      <c r="CT9" s="4" t="s">
        <v>1</v>
      </c>
      <c r="CU9" s="3">
        <v>1</v>
      </c>
      <c r="CX9" s="4" t="s">
        <v>1</v>
      </c>
      <c r="CY9" s="3">
        <f>100.44-CY12</f>
        <v>0.64999999999999147</v>
      </c>
      <c r="DD9" s="4" t="s">
        <v>1</v>
      </c>
      <c r="DE9" s="3">
        <f>101-DE12</f>
        <v>1.2099999999999937</v>
      </c>
      <c r="DF9">
        <f>192/3</f>
        <v>64</v>
      </c>
      <c r="DG9" t="s">
        <v>110</v>
      </c>
      <c r="DK9" s="4" t="s">
        <v>1</v>
      </c>
      <c r="DL9" s="3">
        <f>237.04-DL12</f>
        <v>137.25</v>
      </c>
      <c r="DP9" s="4" t="s">
        <v>1</v>
      </c>
      <c r="DQ9" s="3">
        <f>237.04-DQ12</f>
        <v>137.25</v>
      </c>
      <c r="DT9" s="4" t="s">
        <v>1</v>
      </c>
      <c r="DU9" s="12">
        <f>237.04-DU12</f>
        <v>137.25</v>
      </c>
      <c r="DV9" s="1"/>
      <c r="DX9" s="4" t="s">
        <v>1</v>
      </c>
      <c r="DY9" s="3">
        <f>237.22-DY12</f>
        <v>122.81</v>
      </c>
      <c r="DZ9" s="1"/>
      <c r="EB9" s="4" t="s">
        <v>1</v>
      </c>
      <c r="EC9" s="3">
        <f>236.13-EC12</f>
        <v>121.72</v>
      </c>
      <c r="EF9" s="4" t="s">
        <v>1</v>
      </c>
      <c r="EG9" s="3">
        <f>233.57-EG12+300</f>
        <v>419.15999999999997</v>
      </c>
      <c r="EH9" s="1"/>
      <c r="EI9" s="36"/>
      <c r="EJ9" s="4" t="s">
        <v>1</v>
      </c>
      <c r="EK9" s="3">
        <f>141.31+135.52-EK12</f>
        <v>136.92000000000004</v>
      </c>
      <c r="EN9" s="4" t="s">
        <v>1</v>
      </c>
      <c r="EO9" s="3">
        <f>132.35-EO12</f>
        <v>1.3100000000000023</v>
      </c>
      <c r="ER9" s="4" t="s">
        <v>1</v>
      </c>
      <c r="ES9" s="3">
        <f>132.88-ES12</f>
        <v>1.8400000000000034</v>
      </c>
      <c r="EV9" s="4" t="s">
        <v>1</v>
      </c>
      <c r="EW9" s="3">
        <f>132.88-EW12</f>
        <v>1.8400000000000034</v>
      </c>
      <c r="EZ9" s="4" t="s">
        <v>1</v>
      </c>
      <c r="FA9" s="3">
        <f>132.88-FA12</f>
        <v>1.8400000000000034</v>
      </c>
      <c r="FD9" s="4" t="s">
        <v>1</v>
      </c>
      <c r="FE9" s="3">
        <f>181-FE12</f>
        <v>49.960000000000008</v>
      </c>
      <c r="FG9" s="37"/>
      <c r="FH9" s="4" t="s">
        <v>1</v>
      </c>
      <c r="FI9" s="3">
        <f>181-FI12</f>
        <v>21</v>
      </c>
      <c r="FL9" s="4" t="s">
        <v>1</v>
      </c>
      <c r="FM9" s="3">
        <f>161-FM12</f>
        <v>1</v>
      </c>
      <c r="FP9" s="4" t="s">
        <v>1</v>
      </c>
      <c r="FQ9" s="3">
        <f>161-FQ12</f>
        <v>1</v>
      </c>
      <c r="FT9" s="4" t="s">
        <v>1</v>
      </c>
      <c r="FU9" s="3">
        <f>192.42-FU12</f>
        <v>1.9099999999999966</v>
      </c>
      <c r="FX9" s="4" t="s">
        <v>1</v>
      </c>
      <c r="FY9" s="3">
        <f>192.42-FY12</f>
        <v>1.9099999999999966</v>
      </c>
      <c r="GA9" s="37"/>
      <c r="GB9" s="4" t="s">
        <v>1</v>
      </c>
      <c r="GC9" s="3">
        <f>192.42-GC12</f>
        <v>1.9099999999999966</v>
      </c>
      <c r="GF9" s="40" t="s">
        <v>1</v>
      </c>
      <c r="GG9" s="3">
        <f>192.42-GG12</f>
        <v>1.9099999999999966</v>
      </c>
      <c r="GH9">
        <v>986</v>
      </c>
      <c r="GK9" s="4" t="s">
        <v>1</v>
      </c>
      <c r="GL9" s="3">
        <f>192.42-GL12</f>
        <v>1.9099999999999966</v>
      </c>
      <c r="GO9" s="4" t="s">
        <v>1</v>
      </c>
      <c r="GP9" s="3">
        <f>192.42-GP12</f>
        <v>1.9099999999999966</v>
      </c>
      <c r="GS9" s="4" t="s">
        <v>1</v>
      </c>
      <c r="GT9" s="3">
        <f>192.42-GT12</f>
        <v>1.9099999999999966</v>
      </c>
      <c r="GW9" s="4" t="s">
        <v>1</v>
      </c>
      <c r="GX9" s="41">
        <f>192.42-GX12</f>
        <v>-17.580000000000013</v>
      </c>
      <c r="HA9" s="4" t="s">
        <v>1</v>
      </c>
      <c r="HB9" s="3"/>
      <c r="HE9" s="4" t="s">
        <v>1</v>
      </c>
      <c r="HF9" s="41"/>
      <c r="HH9" s="5">
        <f>+HF9</f>
        <v>0</v>
      </c>
      <c r="HI9" s="5"/>
      <c r="HL9" s="48" t="s">
        <v>1</v>
      </c>
      <c r="HM9" s="59"/>
      <c r="HN9" s="17"/>
      <c r="HO9" s="22">
        <f>+HM9</f>
        <v>0</v>
      </c>
      <c r="HP9" s="60"/>
      <c r="HS9" s="55" t="s">
        <v>1</v>
      </c>
      <c r="HT9" s="59"/>
      <c r="HU9" s="17"/>
      <c r="HV9" s="69">
        <f>+HT9*$HV$6</f>
        <v>0</v>
      </c>
      <c r="HW9" s="74">
        <f>+HT9*$HW$6</f>
        <v>0</v>
      </c>
      <c r="IA9" s="55" t="s">
        <v>223</v>
      </c>
      <c r="IB9" s="79">
        <v>500</v>
      </c>
      <c r="IC9" s="17"/>
      <c r="ID9" s="69">
        <f>+IB9*$ID$6</f>
        <v>296.43765903307889</v>
      </c>
      <c r="IE9" s="74">
        <f>+IB9*$IE$6</f>
        <v>203.56234096692111</v>
      </c>
      <c r="II9" s="55" t="s">
        <v>237</v>
      </c>
      <c r="IJ9" s="27">
        <v>390</v>
      </c>
      <c r="IK9" s="17"/>
      <c r="IL9" s="83">
        <f>+IJ9*$IL$6</f>
        <v>237.31330136047765</v>
      </c>
      <c r="IM9" s="74">
        <f>+IJ9*$IM$6*0</f>
        <v>0</v>
      </c>
    </row>
    <row r="10" spans="6:256">
      <c r="F10" t="s">
        <v>2</v>
      </c>
      <c r="G10" s="3">
        <v>660</v>
      </c>
      <c r="I10" t="s">
        <v>2</v>
      </c>
      <c r="J10" s="3">
        <v>650</v>
      </c>
      <c r="L10" t="s">
        <v>2</v>
      </c>
      <c r="M10" s="3">
        <v>650</v>
      </c>
      <c r="N10" s="5"/>
      <c r="O10" t="s">
        <v>2</v>
      </c>
      <c r="P10" s="3">
        <v>660</v>
      </c>
      <c r="Q10" s="5"/>
      <c r="R10" t="s">
        <v>2</v>
      </c>
      <c r="S10" s="3">
        <v>726</v>
      </c>
      <c r="U10" t="s">
        <v>2</v>
      </c>
      <c r="V10" s="3">
        <v>726</v>
      </c>
      <c r="X10" t="s">
        <v>2</v>
      </c>
      <c r="Y10" s="5">
        <v>726</v>
      </c>
      <c r="AA10" t="s">
        <v>2</v>
      </c>
      <c r="AB10" s="3">
        <v>726</v>
      </c>
      <c r="AD10" t="s">
        <v>2</v>
      </c>
      <c r="AE10" s="3">
        <v>726</v>
      </c>
      <c r="AG10" t="s">
        <v>2</v>
      </c>
      <c r="AH10" s="3">
        <v>726</v>
      </c>
      <c r="AJ10" t="s">
        <v>2</v>
      </c>
      <c r="AK10" s="3">
        <f>726+72.6</f>
        <v>798.6</v>
      </c>
      <c r="AM10" t="s">
        <v>51</v>
      </c>
      <c r="AN10" s="12">
        <v>416.75</v>
      </c>
      <c r="AP10" t="s">
        <v>51</v>
      </c>
      <c r="AQ10" s="12">
        <v>416.75</v>
      </c>
      <c r="AS10" t="s">
        <v>51</v>
      </c>
      <c r="AT10" s="12">
        <v>416.75</v>
      </c>
      <c r="AV10" t="s">
        <v>51</v>
      </c>
      <c r="AW10" s="3">
        <v>405.38</v>
      </c>
      <c r="AY10" t="s">
        <v>51</v>
      </c>
      <c r="AZ10" s="5">
        <v>405.38</v>
      </c>
      <c r="BB10" t="s">
        <v>51</v>
      </c>
      <c r="BC10" s="3">
        <v>405.38</v>
      </c>
      <c r="BD10" s="1"/>
      <c r="BE10" t="s">
        <v>51</v>
      </c>
      <c r="BF10" s="3">
        <v>405.38</v>
      </c>
      <c r="BG10"/>
      <c r="BH10" s="5"/>
      <c r="BI10" t="s">
        <v>51</v>
      </c>
      <c r="BJ10" s="3">
        <v>393.55</v>
      </c>
      <c r="BM10" t="s">
        <v>51</v>
      </c>
      <c r="BN10" s="3">
        <v>391.85</v>
      </c>
      <c r="BP10" s="24"/>
      <c r="BQ10" t="s">
        <v>51</v>
      </c>
      <c r="BR10" s="3">
        <v>405.06</v>
      </c>
      <c r="BU10" t="s">
        <v>1</v>
      </c>
      <c r="BV10" s="3">
        <v>500</v>
      </c>
      <c r="BW10" s="1"/>
      <c r="BY10" t="s">
        <v>1</v>
      </c>
      <c r="BZ10" s="3">
        <v>222.72</v>
      </c>
      <c r="CA10" s="4"/>
      <c r="CB10" s="4"/>
      <c r="CC10" s="4" t="s">
        <v>1</v>
      </c>
      <c r="CD10" s="3">
        <v>500</v>
      </c>
      <c r="CF10" s="1"/>
      <c r="CG10" s="4"/>
      <c r="CH10" s="5"/>
      <c r="CJ10" s="17"/>
      <c r="CK10" s="4" t="s">
        <v>1</v>
      </c>
      <c r="CL10" s="3">
        <f>500-120</f>
        <v>380</v>
      </c>
      <c r="CM10" s="17"/>
      <c r="CN10" s="22">
        <f>+CN7+CN8+CN9</f>
        <v>-987.27</v>
      </c>
      <c r="CO10" s="17"/>
      <c r="CP10" s="4" t="s">
        <v>1</v>
      </c>
      <c r="CQ10" s="3">
        <v>500</v>
      </c>
      <c r="CT10" s="4" t="s">
        <v>96</v>
      </c>
      <c r="CU10" s="3">
        <v>150</v>
      </c>
      <c r="CX10" s="4" t="s">
        <v>1</v>
      </c>
      <c r="CY10" s="3">
        <f>50+25</f>
        <v>75</v>
      </c>
      <c r="CZ10" s="8" t="s">
        <v>103</v>
      </c>
      <c r="DA10" s="1" t="s">
        <v>107</v>
      </c>
      <c r="DB10" s="1"/>
      <c r="DD10" s="4" t="s">
        <v>83</v>
      </c>
      <c r="DE10" s="3">
        <v>85</v>
      </c>
      <c r="DK10" s="4" t="s">
        <v>1</v>
      </c>
      <c r="DL10" s="5"/>
      <c r="DP10" s="4" t="s">
        <v>127</v>
      </c>
      <c r="DQ10" s="3">
        <v>95</v>
      </c>
      <c r="DT10" s="4" t="s">
        <v>83</v>
      </c>
      <c r="DU10" s="5">
        <v>150</v>
      </c>
      <c r="DX10" s="4" t="s">
        <v>83</v>
      </c>
      <c r="DY10" s="3">
        <v>366</v>
      </c>
      <c r="EB10" s="4" t="s">
        <v>83</v>
      </c>
      <c r="EC10" s="3">
        <v>220</v>
      </c>
      <c r="EF10" s="4" t="s">
        <v>83</v>
      </c>
      <c r="EG10" s="5">
        <v>250</v>
      </c>
      <c r="EH10" s="1"/>
      <c r="EI10" s="36"/>
      <c r="EJ10" s="4" t="s">
        <v>83</v>
      </c>
      <c r="EK10" s="5">
        <v>250</v>
      </c>
      <c r="EN10" s="4" t="s">
        <v>83</v>
      </c>
      <c r="EO10" s="5">
        <v>67.430000000000007</v>
      </c>
      <c r="ER10" s="4" t="s">
        <v>83</v>
      </c>
      <c r="ES10" s="3">
        <v>50</v>
      </c>
      <c r="EU10" s="37"/>
      <c r="EV10" s="4" t="s">
        <v>83</v>
      </c>
      <c r="EW10" s="3">
        <v>105</v>
      </c>
      <c r="EZ10" s="4" t="s">
        <v>83</v>
      </c>
      <c r="FA10" s="3">
        <v>105</v>
      </c>
      <c r="FD10" s="4" t="s">
        <v>83</v>
      </c>
      <c r="FE10" s="3">
        <v>105</v>
      </c>
      <c r="FG10" s="37"/>
      <c r="FH10" s="4" t="s">
        <v>83</v>
      </c>
      <c r="FI10" s="5">
        <v>105</v>
      </c>
      <c r="FL10" s="4" t="s">
        <v>83</v>
      </c>
      <c r="FM10" s="3">
        <v>172</v>
      </c>
      <c r="FP10" s="4" t="s">
        <v>83</v>
      </c>
      <c r="FQ10" s="3">
        <v>200</v>
      </c>
      <c r="FS10" s="37"/>
      <c r="FT10" s="4" t="s">
        <v>83</v>
      </c>
      <c r="FU10" s="5">
        <v>200</v>
      </c>
      <c r="FX10" s="4" t="s">
        <v>83</v>
      </c>
      <c r="FY10" s="3">
        <v>200</v>
      </c>
      <c r="GB10" s="4" t="s">
        <v>83</v>
      </c>
      <c r="GC10" s="3">
        <v>200</v>
      </c>
      <c r="GF10" s="40" t="s">
        <v>83</v>
      </c>
      <c r="GG10" s="3">
        <v>200</v>
      </c>
      <c r="GH10" s="37">
        <v>500</v>
      </c>
      <c r="GK10" s="4" t="s">
        <v>83</v>
      </c>
      <c r="GL10" s="3">
        <v>100</v>
      </c>
      <c r="GO10" s="4" t="s">
        <v>83</v>
      </c>
      <c r="GP10" s="5"/>
      <c r="GS10" s="4" t="s">
        <v>83</v>
      </c>
      <c r="GT10" s="3">
        <v>110</v>
      </c>
      <c r="GW10" s="4" t="s">
        <v>83</v>
      </c>
      <c r="GX10" s="5"/>
      <c r="HA10" s="4" t="s">
        <v>83</v>
      </c>
      <c r="HB10" s="3">
        <v>110</v>
      </c>
      <c r="HE10" s="4" t="s">
        <v>83</v>
      </c>
      <c r="HF10" s="5">
        <v>110</v>
      </c>
      <c r="HH10" s="5">
        <f t="shared" ref="HH10:HH22" si="0">+HF10*$HH$6</f>
        <v>63.315649867374006</v>
      </c>
      <c r="HI10" s="3">
        <f t="shared" ref="HI10:HI22" si="1">+HF10*$HI$6</f>
        <v>46.684350132625994</v>
      </c>
      <c r="HL10" s="48" t="s">
        <v>83</v>
      </c>
      <c r="HM10" s="27">
        <v>110</v>
      </c>
      <c r="HN10" s="17"/>
      <c r="HO10" s="22">
        <f t="shared" ref="HO10:HO11" si="2">+HM10*$HH$6</f>
        <v>63.315649867374006</v>
      </c>
      <c r="HP10" s="58">
        <f>+HM10*$HP$6</f>
        <v>46.187582468453364</v>
      </c>
      <c r="HS10" s="55" t="s">
        <v>219</v>
      </c>
      <c r="HT10" s="27">
        <f>110+110-110</f>
        <v>110</v>
      </c>
      <c r="HU10" s="17"/>
      <c r="HV10" s="69">
        <f>+HT10*$HV$6+110</f>
        <v>173.38983050847457</v>
      </c>
      <c r="HW10" s="74">
        <f>+HT10*$HW$6</f>
        <v>46.610169491525419</v>
      </c>
      <c r="IA10" s="55" t="s">
        <v>219</v>
      </c>
      <c r="IB10" s="22">
        <f>110+110-110</f>
        <v>110</v>
      </c>
      <c r="IC10" s="17"/>
      <c r="ID10" s="69">
        <f>+IB10*$ID$6</f>
        <v>65.216284987277362</v>
      </c>
      <c r="IE10" s="74">
        <f>+IB10*$IE$6</f>
        <v>44.783715012722645</v>
      </c>
      <c r="II10" s="55" t="s">
        <v>219</v>
      </c>
      <c r="IJ10" s="22">
        <f>110+110-110</f>
        <v>110</v>
      </c>
      <c r="IK10" s="17"/>
      <c r="IL10" s="69">
        <f>+IJ10*$IL$6</f>
        <v>66.934520896544981</v>
      </c>
      <c r="IM10" s="74">
        <f>+IJ10*$IM$6</f>
        <v>43.065479103455026</v>
      </c>
    </row>
    <row r="11" spans="6:256">
      <c r="F11" t="s">
        <v>3</v>
      </c>
      <c r="G11" s="3">
        <f>150+44+30</f>
        <v>224</v>
      </c>
      <c r="I11" t="s">
        <v>3</v>
      </c>
      <c r="J11" s="3">
        <f>70+30+45</f>
        <v>145</v>
      </c>
      <c r="L11" t="s">
        <v>3</v>
      </c>
      <c r="M11" s="3">
        <f>70+30+45</f>
        <v>145</v>
      </c>
      <c r="N11" s="5"/>
      <c r="O11" t="s">
        <v>3</v>
      </c>
      <c r="P11" s="3">
        <f>820.1-P10</f>
        <v>160.10000000000002</v>
      </c>
      <c r="Q11" s="5"/>
      <c r="R11" t="s">
        <v>3</v>
      </c>
      <c r="S11" s="3">
        <f>30+124.62+44</f>
        <v>198.62</v>
      </c>
      <c r="U11" t="s">
        <v>3</v>
      </c>
      <c r="V11" s="3">
        <f>30+58+44</f>
        <v>132</v>
      </c>
      <c r="X11" t="s">
        <v>3</v>
      </c>
      <c r="Y11" s="5">
        <f>30+120+44</f>
        <v>194</v>
      </c>
      <c r="AA11" t="s">
        <v>3</v>
      </c>
      <c r="AB11" s="3">
        <f>30+80+74</f>
        <v>184</v>
      </c>
      <c r="AD11" t="s">
        <v>3</v>
      </c>
      <c r="AE11" s="3">
        <f>30+149</f>
        <v>179</v>
      </c>
      <c r="AG11" t="s">
        <v>3</v>
      </c>
      <c r="AH11" s="3">
        <f>851-AH10</f>
        <v>125</v>
      </c>
      <c r="AJ11" t="s">
        <v>3</v>
      </c>
      <c r="AK11" s="5">
        <f>30+148</f>
        <v>178</v>
      </c>
      <c r="AM11" t="s">
        <v>2</v>
      </c>
      <c r="AN11" s="3">
        <f>726+72.6</f>
        <v>798.6</v>
      </c>
      <c r="AP11" t="s">
        <v>2</v>
      </c>
      <c r="AQ11" s="3">
        <f>798</f>
        <v>798</v>
      </c>
      <c r="AS11" t="s">
        <v>2</v>
      </c>
      <c r="AT11" s="5">
        <f>906.8</f>
        <v>906.8</v>
      </c>
      <c r="AV11" t="s">
        <v>2</v>
      </c>
      <c r="AW11" s="3">
        <v>798</v>
      </c>
      <c r="AY11" t="s">
        <v>2</v>
      </c>
      <c r="AZ11" s="5">
        <v>798</v>
      </c>
      <c r="BB11" t="s">
        <v>2</v>
      </c>
      <c r="BC11" s="3">
        <v>1350</v>
      </c>
      <c r="BD11" s="1"/>
      <c r="BE11" t="s">
        <v>2</v>
      </c>
      <c r="BF11" s="3">
        <v>1368.4</v>
      </c>
      <c r="BG11" s="5"/>
      <c r="BH11" s="5"/>
      <c r="BI11" t="s">
        <v>2</v>
      </c>
      <c r="BJ11" s="3">
        <f>1200+134+30</f>
        <v>1364</v>
      </c>
      <c r="BM11" t="s">
        <v>2</v>
      </c>
      <c r="BN11" s="9">
        <f>1200+134+30+150-1260</f>
        <v>254</v>
      </c>
      <c r="BP11" s="5"/>
      <c r="BQ11" t="s">
        <v>2</v>
      </c>
      <c r="BR11" s="3">
        <f>1200+218+30</f>
        <v>1448</v>
      </c>
      <c r="BU11" t="s">
        <v>2</v>
      </c>
      <c r="BV11" s="3">
        <f>1200+247+40+30</f>
        <v>1517</v>
      </c>
      <c r="BW11" s="1"/>
      <c r="BY11" t="s">
        <v>2</v>
      </c>
      <c r="BZ11" s="3">
        <f>1380+250+40+30+220.6</f>
        <v>1920.6</v>
      </c>
      <c r="CA11" s="4"/>
      <c r="CB11" s="4"/>
      <c r="CC11" s="4" t="s">
        <v>2</v>
      </c>
      <c r="CD11" s="3">
        <f>1380+40+30+75</f>
        <v>1525</v>
      </c>
      <c r="CE11" s="1"/>
      <c r="CF11" s="1"/>
      <c r="CG11" s="4" t="s">
        <v>2</v>
      </c>
      <c r="CH11" s="3">
        <v>1605.12</v>
      </c>
      <c r="CJ11" s="17"/>
      <c r="CK11" s="4" t="s">
        <v>2</v>
      </c>
      <c r="CL11" s="3">
        <f>1380+40+40+122.9</f>
        <v>1582.9</v>
      </c>
      <c r="CP11" s="4" t="s">
        <v>2</v>
      </c>
      <c r="CQ11" s="3">
        <f>1605.12</f>
        <v>1605.12</v>
      </c>
      <c r="CT11" s="4" t="s">
        <v>2</v>
      </c>
      <c r="CU11" s="3">
        <v>1460</v>
      </c>
      <c r="CX11" s="4" t="s">
        <v>2</v>
      </c>
      <c r="CY11" s="3">
        <v>1757.49</v>
      </c>
      <c r="DD11" s="4" t="s">
        <v>2</v>
      </c>
      <c r="DE11" s="3">
        <v>1670</v>
      </c>
      <c r="DF11" s="1"/>
      <c r="DK11" s="4" t="s">
        <v>2</v>
      </c>
      <c r="DL11" s="3">
        <v>1800</v>
      </c>
      <c r="DP11" s="4" t="s">
        <v>2</v>
      </c>
      <c r="DQ11" s="3">
        <f>1580+40+40+112</f>
        <v>1772</v>
      </c>
      <c r="DT11" s="4" t="s">
        <v>2</v>
      </c>
      <c r="DU11" s="3">
        <v>1700</v>
      </c>
      <c r="DX11" s="4" t="s">
        <v>2</v>
      </c>
      <c r="DY11" s="3">
        <v>1680</v>
      </c>
      <c r="DZ11" s="1"/>
      <c r="EB11" s="4" t="s">
        <v>2</v>
      </c>
      <c r="EC11" s="3">
        <v>1920</v>
      </c>
      <c r="EF11" s="4" t="s">
        <v>2</v>
      </c>
      <c r="EG11" s="3">
        <v>1920</v>
      </c>
      <c r="EH11" s="1"/>
      <c r="EI11" s="36"/>
      <c r="EJ11" s="4" t="s">
        <v>2</v>
      </c>
      <c r="EK11" s="3">
        <v>1920</v>
      </c>
      <c r="EN11" s="4" t="s">
        <v>2</v>
      </c>
      <c r="EO11" s="5">
        <v>1920</v>
      </c>
      <c r="ER11" s="4" t="s">
        <v>2</v>
      </c>
      <c r="ES11" s="3">
        <v>1920</v>
      </c>
      <c r="ET11" s="37"/>
      <c r="EU11" s="37"/>
      <c r="EV11" s="4" t="s">
        <v>2</v>
      </c>
      <c r="EW11" s="3">
        <f>1920</f>
        <v>1920</v>
      </c>
      <c r="EZ11" s="4" t="s">
        <v>2</v>
      </c>
      <c r="FA11" s="3">
        <f>1900</f>
        <v>1900</v>
      </c>
      <c r="FB11" s="1"/>
      <c r="FD11" s="4" t="s">
        <v>2</v>
      </c>
      <c r="FE11" s="3">
        <v>2215</v>
      </c>
      <c r="FF11" s="37"/>
      <c r="FG11" s="37"/>
      <c r="FH11" s="4" t="s">
        <v>2</v>
      </c>
      <c r="FI11" s="3">
        <v>2215</v>
      </c>
      <c r="FL11" s="4" t="s">
        <v>2</v>
      </c>
      <c r="FM11" s="3">
        <v>2215</v>
      </c>
      <c r="FP11" s="4" t="s">
        <v>2</v>
      </c>
      <c r="FQ11" s="3">
        <v>2165</v>
      </c>
      <c r="FS11" s="37"/>
      <c r="FT11" s="4" t="s">
        <v>2</v>
      </c>
      <c r="FU11" s="3">
        <v>2165</v>
      </c>
      <c r="FX11" s="4" t="s">
        <v>2</v>
      </c>
      <c r="FY11" s="3">
        <v>2165</v>
      </c>
      <c r="GA11" s="37"/>
      <c r="GB11" s="4" t="s">
        <v>2</v>
      </c>
      <c r="GC11" s="3">
        <v>2165</v>
      </c>
      <c r="GF11" s="40" t="s">
        <v>2</v>
      </c>
      <c r="GG11" s="3">
        <v>2480</v>
      </c>
      <c r="GH11" s="37">
        <f>+GH10+GH9+GG1</f>
        <v>1918</v>
      </c>
      <c r="GK11" s="4" t="s">
        <v>2</v>
      </c>
      <c r="GL11" s="3">
        <v>2480</v>
      </c>
      <c r="GO11" s="4" t="s">
        <v>2</v>
      </c>
      <c r="GP11" s="3">
        <v>2480</v>
      </c>
      <c r="GS11" s="4" t="s">
        <v>2</v>
      </c>
      <c r="GT11" s="3">
        <v>2480</v>
      </c>
      <c r="GW11" s="4" t="s">
        <v>2</v>
      </c>
      <c r="GX11" s="3">
        <v>2651</v>
      </c>
      <c r="HA11" s="4" t="s">
        <v>2</v>
      </c>
      <c r="HB11" s="3">
        <v>2480</v>
      </c>
      <c r="HE11" s="4" t="s">
        <v>2</v>
      </c>
      <c r="HF11" s="5">
        <v>2480</v>
      </c>
      <c r="HH11" s="5">
        <f t="shared" si="0"/>
        <v>1427.4801061007956</v>
      </c>
      <c r="HI11" s="3">
        <f t="shared" si="1"/>
        <v>1052.5198938992044</v>
      </c>
      <c r="HK11" s="1"/>
      <c r="HL11" s="48" t="s">
        <v>2</v>
      </c>
      <c r="HM11" s="27">
        <v>2480</v>
      </c>
      <c r="HN11" s="17"/>
      <c r="HO11" s="22">
        <f t="shared" si="2"/>
        <v>1427.4801061007956</v>
      </c>
      <c r="HP11" s="58">
        <f>+HM11*$HP$6</f>
        <v>1041.3200411069486</v>
      </c>
      <c r="HS11" s="55" t="s">
        <v>2</v>
      </c>
      <c r="HT11" s="27">
        <v>2480</v>
      </c>
      <c r="HU11" s="17"/>
      <c r="HV11" s="69">
        <f>+HT11*$HV$6</f>
        <v>1429.1525423728815</v>
      </c>
      <c r="HW11" s="74">
        <f>+HT11*$HW$6</f>
        <v>1050.8474576271185</v>
      </c>
      <c r="IA11" s="55" t="s">
        <v>2</v>
      </c>
      <c r="IB11" s="22">
        <v>2480</v>
      </c>
      <c r="IC11" s="17"/>
      <c r="ID11" s="69">
        <f>+IB11*$ID$6</f>
        <v>1470.3307888040713</v>
      </c>
      <c r="IE11" s="74">
        <f>+IB11*$IE$6</f>
        <v>1009.6692111959287</v>
      </c>
      <c r="II11" s="55" t="s">
        <v>2</v>
      </c>
      <c r="IJ11" s="22">
        <v>2480</v>
      </c>
      <c r="IK11" s="17"/>
      <c r="IL11" s="69">
        <f>+IJ11*$IL$6</f>
        <v>1509.0691983948323</v>
      </c>
      <c r="IM11" s="74">
        <f>+IJ11*$IM$6</f>
        <v>970.93080160516786</v>
      </c>
    </row>
    <row r="12" spans="6:256">
      <c r="F12" t="s">
        <v>20</v>
      </c>
      <c r="G12" s="3">
        <f>60+20</f>
        <v>80</v>
      </c>
      <c r="I12" t="s">
        <v>4</v>
      </c>
      <c r="J12" s="3">
        <v>65</v>
      </c>
      <c r="L12" t="s">
        <v>4</v>
      </c>
      <c r="M12" s="3">
        <v>65</v>
      </c>
      <c r="N12" s="5"/>
      <c r="O12" t="s">
        <v>4</v>
      </c>
      <c r="P12" s="7">
        <v>75.37</v>
      </c>
      <c r="Q12" s="5"/>
      <c r="R12" t="s">
        <v>4</v>
      </c>
      <c r="S12" s="3">
        <v>69.56</v>
      </c>
      <c r="U12" t="s">
        <v>4</v>
      </c>
      <c r="V12" s="3">
        <v>69.56</v>
      </c>
      <c r="X12" t="s">
        <v>4</v>
      </c>
      <c r="Y12" s="3">
        <v>69.56</v>
      </c>
      <c r="AA12" t="s">
        <v>4</v>
      </c>
      <c r="AB12" s="3">
        <v>89.7</v>
      </c>
      <c r="AD12" t="s">
        <v>4</v>
      </c>
      <c r="AE12" s="3">
        <v>89.7</v>
      </c>
      <c r="AG12" t="s">
        <v>4</v>
      </c>
      <c r="AH12" s="3">
        <v>89.7</v>
      </c>
      <c r="AJ12" t="s">
        <v>4</v>
      </c>
      <c r="AK12" s="3">
        <v>89.7</v>
      </c>
      <c r="AM12" t="s">
        <v>3</v>
      </c>
      <c r="AN12" s="3">
        <f>30+115</f>
        <v>145</v>
      </c>
      <c r="AP12" t="s">
        <v>3</v>
      </c>
      <c r="AQ12" s="3">
        <f>30+110</f>
        <v>140</v>
      </c>
      <c r="AS12" t="s">
        <v>3</v>
      </c>
      <c r="AT12" s="5"/>
      <c r="AV12" t="s">
        <v>3</v>
      </c>
      <c r="AW12" s="3">
        <v>140</v>
      </c>
      <c r="AY12" t="s">
        <v>3</v>
      </c>
      <c r="AZ12" s="5">
        <f>30+60</f>
        <v>90</v>
      </c>
      <c r="BB12" t="s">
        <v>58</v>
      </c>
      <c r="BC12" s="3">
        <v>145</v>
      </c>
      <c r="BE12" t="s">
        <v>58</v>
      </c>
      <c r="BF12" s="5"/>
      <c r="BG12" s="5"/>
      <c r="BH12" s="5"/>
      <c r="BI12" t="s">
        <v>58</v>
      </c>
      <c r="BJ12" s="5"/>
      <c r="BM12" t="s">
        <v>58</v>
      </c>
      <c r="BN12" s="5"/>
      <c r="BP12" s="4"/>
      <c r="BQ12" t="s">
        <v>58</v>
      </c>
      <c r="BR12" s="5"/>
      <c r="BU12" t="s">
        <v>58</v>
      </c>
      <c r="BV12" s="5"/>
      <c r="BY12" t="s">
        <v>33</v>
      </c>
      <c r="BZ12" s="3">
        <v>39</v>
      </c>
      <c r="CA12" s="4"/>
      <c r="CB12" s="4"/>
      <c r="CC12" s="4" t="s">
        <v>83</v>
      </c>
      <c r="CD12" s="3">
        <v>157</v>
      </c>
      <c r="CE12" s="1"/>
      <c r="CF12" s="1"/>
      <c r="CG12" s="4" t="s">
        <v>4</v>
      </c>
      <c r="CH12" s="3">
        <v>99.79</v>
      </c>
      <c r="CJ12" s="17"/>
      <c r="CK12" s="4" t="s">
        <v>4</v>
      </c>
      <c r="CL12" s="3">
        <v>99.79</v>
      </c>
      <c r="CP12" s="4" t="s">
        <v>4</v>
      </c>
      <c r="CQ12" s="3">
        <v>99.79</v>
      </c>
      <c r="CT12" s="4" t="s">
        <v>4</v>
      </c>
      <c r="CU12" s="3">
        <v>99.79</v>
      </c>
      <c r="CX12" s="4" t="s">
        <v>4</v>
      </c>
      <c r="CY12" s="3">
        <v>99.79</v>
      </c>
      <c r="DD12" s="4" t="s">
        <v>4</v>
      </c>
      <c r="DE12" s="3">
        <v>99.79</v>
      </c>
      <c r="DF12">
        <v>838.41</v>
      </c>
      <c r="DG12" t="s">
        <v>60</v>
      </c>
      <c r="DK12" s="4" t="s">
        <v>4</v>
      </c>
      <c r="DL12" s="3">
        <v>99.79</v>
      </c>
      <c r="DN12">
        <v>870</v>
      </c>
      <c r="DP12" s="4" t="s">
        <v>4</v>
      </c>
      <c r="DQ12" s="3">
        <v>99.79</v>
      </c>
      <c r="DT12" s="4" t="s">
        <v>4</v>
      </c>
      <c r="DU12" s="3">
        <v>99.79</v>
      </c>
      <c r="DX12" s="4" t="s">
        <v>4</v>
      </c>
      <c r="DY12" s="3">
        <v>114.41</v>
      </c>
      <c r="DZ12" s="1"/>
      <c r="EB12" s="4" t="s">
        <v>4</v>
      </c>
      <c r="EC12" s="3">
        <v>114.41</v>
      </c>
      <c r="EF12" s="4" t="s">
        <v>4</v>
      </c>
      <c r="EG12" s="3">
        <v>114.41</v>
      </c>
      <c r="EI12" s="36"/>
      <c r="EJ12" s="4" t="s">
        <v>4</v>
      </c>
      <c r="EK12" s="3">
        <v>139.91</v>
      </c>
      <c r="EN12" s="4" t="s">
        <v>4</v>
      </c>
      <c r="EO12" s="3">
        <v>131.04</v>
      </c>
      <c r="ER12" s="4" t="s">
        <v>4</v>
      </c>
      <c r="ES12" s="3">
        <v>131.04</v>
      </c>
      <c r="EU12" s="37"/>
      <c r="EV12" s="4" t="s">
        <v>4</v>
      </c>
      <c r="EW12" s="3">
        <v>131.04</v>
      </c>
      <c r="EZ12" s="4" t="s">
        <v>4</v>
      </c>
      <c r="FA12" s="3">
        <v>131.04</v>
      </c>
      <c r="FC12" s="37"/>
      <c r="FD12" s="4" t="s">
        <v>4</v>
      </c>
      <c r="FE12" s="3">
        <v>131.04</v>
      </c>
      <c r="FF12" s="37"/>
      <c r="FG12" s="37"/>
      <c r="FH12" s="4" t="s">
        <v>4</v>
      </c>
      <c r="FI12" s="3">
        <v>160</v>
      </c>
      <c r="FL12" s="4" t="s">
        <v>4</v>
      </c>
      <c r="FM12" s="3">
        <v>160</v>
      </c>
      <c r="FP12" s="4" t="s">
        <v>4</v>
      </c>
      <c r="FQ12" s="3">
        <v>160</v>
      </c>
      <c r="FS12" s="37"/>
      <c r="FT12" s="4" t="s">
        <v>4</v>
      </c>
      <c r="FU12" s="3">
        <v>190.51</v>
      </c>
      <c r="FX12" s="4" t="s">
        <v>4</v>
      </c>
      <c r="FY12" s="3">
        <v>190.51</v>
      </c>
      <c r="GA12" s="37"/>
      <c r="GB12" s="4" t="s">
        <v>4</v>
      </c>
      <c r="GC12" s="3">
        <v>190.51</v>
      </c>
      <c r="GF12" s="40" t="s">
        <v>4</v>
      </c>
      <c r="GG12" s="3">
        <v>190.51</v>
      </c>
      <c r="GH12" s="37">
        <f>+GH11-GG13-GG15-GG19-GG23</f>
        <v>1143</v>
      </c>
      <c r="GI12" s="37"/>
      <c r="GK12" s="4" t="s">
        <v>4</v>
      </c>
      <c r="GL12" s="3">
        <v>190.51</v>
      </c>
      <c r="GO12" s="4" t="s">
        <v>4</v>
      </c>
      <c r="GP12" s="3">
        <v>190.51</v>
      </c>
      <c r="GS12" s="4" t="s">
        <v>4</v>
      </c>
      <c r="GT12" s="3">
        <v>190.51</v>
      </c>
      <c r="GW12" s="4" t="s">
        <v>4</v>
      </c>
      <c r="GX12" s="41">
        <v>210</v>
      </c>
      <c r="HA12" s="4" t="s">
        <v>4</v>
      </c>
      <c r="HB12" s="3">
        <v>210</v>
      </c>
      <c r="HE12" s="4" t="s">
        <v>202</v>
      </c>
      <c r="HF12" s="41">
        <v>377</v>
      </c>
      <c r="HH12" s="3">
        <f>+HF12</f>
        <v>377</v>
      </c>
      <c r="HI12" s="5"/>
      <c r="HK12" s="1"/>
      <c r="HL12" s="48" t="s">
        <v>202</v>
      </c>
      <c r="HM12" s="27">
        <v>377</v>
      </c>
      <c r="HN12" s="17"/>
      <c r="HO12" s="22">
        <f>+HM12</f>
        <v>377</v>
      </c>
      <c r="HP12" s="60"/>
      <c r="HS12" s="55" t="s">
        <v>202</v>
      </c>
      <c r="HT12" s="27">
        <v>377</v>
      </c>
      <c r="HU12" s="17"/>
      <c r="HV12" s="69">
        <f>+HT12</f>
        <v>377</v>
      </c>
      <c r="HW12" s="74"/>
      <c r="IA12" s="55" t="s">
        <v>202</v>
      </c>
      <c r="IB12" s="27">
        <v>377</v>
      </c>
      <c r="IC12" s="17"/>
      <c r="ID12" s="69">
        <f>+IB12</f>
        <v>377</v>
      </c>
      <c r="IE12" s="74"/>
      <c r="II12" s="55" t="s">
        <v>202</v>
      </c>
      <c r="IJ12" s="27">
        <f>70+377</f>
        <v>447</v>
      </c>
      <c r="IK12" s="17"/>
      <c r="IL12" s="69">
        <f>+IJ12</f>
        <v>447</v>
      </c>
      <c r="IM12" s="74"/>
      <c r="IU12" t="s">
        <v>241</v>
      </c>
      <c r="IV12" t="s">
        <v>136</v>
      </c>
    </row>
    <row r="13" spans="6:256">
      <c r="F13" t="s">
        <v>5</v>
      </c>
      <c r="G13" s="3">
        <v>106</v>
      </c>
      <c r="I13" t="s">
        <v>5</v>
      </c>
      <c r="J13" s="3">
        <v>106</v>
      </c>
      <c r="L13" t="s">
        <v>5</v>
      </c>
      <c r="M13" s="3">
        <v>106</v>
      </c>
      <c r="N13" s="5"/>
      <c r="O13" t="s">
        <v>5</v>
      </c>
      <c r="P13" s="7">
        <v>106</v>
      </c>
      <c r="Q13" s="5"/>
      <c r="R13" t="s">
        <v>5</v>
      </c>
      <c r="S13" s="3">
        <v>106</v>
      </c>
      <c r="U13" t="s">
        <v>5</v>
      </c>
      <c r="V13" s="3">
        <v>106</v>
      </c>
      <c r="X13" t="s">
        <v>5</v>
      </c>
      <c r="Y13" s="3">
        <f>106</f>
        <v>106</v>
      </c>
      <c r="AA13" t="s">
        <v>5</v>
      </c>
      <c r="AB13" s="3">
        <f>106</f>
        <v>106</v>
      </c>
      <c r="AD13" t="s">
        <v>5</v>
      </c>
      <c r="AE13" s="3">
        <f>106</f>
        <v>106</v>
      </c>
      <c r="AG13" t="s">
        <v>5</v>
      </c>
      <c r="AH13" s="3">
        <f>106</f>
        <v>106</v>
      </c>
      <c r="AJ13" t="s">
        <v>5</v>
      </c>
      <c r="AK13" s="3">
        <f>106</f>
        <v>106</v>
      </c>
      <c r="AM13" t="s">
        <v>4</v>
      </c>
      <c r="AN13" s="5"/>
      <c r="AP13" t="s">
        <v>4</v>
      </c>
      <c r="AQ13" s="3">
        <f>89.7+89.7</f>
        <v>179.4</v>
      </c>
      <c r="AS13" t="s">
        <v>4</v>
      </c>
      <c r="AT13" s="3">
        <v>89.7</v>
      </c>
      <c r="AV13" t="s">
        <v>4</v>
      </c>
      <c r="AW13" s="3">
        <v>89.7</v>
      </c>
      <c r="AY13" t="s">
        <v>4</v>
      </c>
      <c r="AZ13" s="3">
        <v>89.7</v>
      </c>
      <c r="BB13" t="s">
        <v>4</v>
      </c>
      <c r="BC13" s="3">
        <v>89.7</v>
      </c>
      <c r="BD13" s="1"/>
      <c r="BE13" t="s">
        <v>4</v>
      </c>
      <c r="BF13" s="3">
        <v>101</v>
      </c>
      <c r="BG13" s="5"/>
      <c r="BH13" s="5"/>
      <c r="BI13" t="s">
        <v>4</v>
      </c>
      <c r="BJ13" s="3">
        <v>99.79</v>
      </c>
      <c r="BM13" t="s">
        <v>4</v>
      </c>
      <c r="BN13" s="3">
        <v>99.79</v>
      </c>
      <c r="BP13" s="4"/>
      <c r="BQ13" t="s">
        <v>4</v>
      </c>
      <c r="BR13" s="3">
        <v>99.79</v>
      </c>
      <c r="BU13" t="s">
        <v>4</v>
      </c>
      <c r="BV13" s="3">
        <v>99.79</v>
      </c>
      <c r="BW13" s="1"/>
      <c r="BY13" t="s">
        <v>4</v>
      </c>
      <c r="BZ13" s="3">
        <v>99.79</v>
      </c>
      <c r="CA13" s="4"/>
      <c r="CB13" s="4"/>
      <c r="CC13" t="s">
        <v>33</v>
      </c>
      <c r="CD13" s="3">
        <v>39</v>
      </c>
      <c r="CF13" s="1"/>
      <c r="CG13" s="4" t="s">
        <v>54</v>
      </c>
      <c r="CH13" s="3">
        <v>110</v>
      </c>
      <c r="CJ13" s="17"/>
      <c r="CK13" s="4" t="s">
        <v>54</v>
      </c>
      <c r="CL13" s="3">
        <v>255</v>
      </c>
      <c r="CP13" s="4" t="s">
        <v>54</v>
      </c>
      <c r="CQ13" s="3">
        <v>262</v>
      </c>
      <c r="CT13" s="4" t="s">
        <v>54</v>
      </c>
      <c r="CU13" s="3">
        <v>251.1</v>
      </c>
      <c r="CV13">
        <v>335.86</v>
      </c>
      <c r="CX13" s="4" t="s">
        <v>54</v>
      </c>
      <c r="CY13" s="3">
        <v>255</v>
      </c>
      <c r="CZ13" t="s">
        <v>104</v>
      </c>
      <c r="DD13" s="4" t="s">
        <v>54</v>
      </c>
      <c r="DE13" s="3">
        <v>278.89999999999998</v>
      </c>
      <c r="DF13" s="1">
        <f>+DF12-DE10-DE13-DE15-DE16-DE18</f>
        <v>327.16999999999996</v>
      </c>
      <c r="DG13" t="s">
        <v>117</v>
      </c>
      <c r="DK13" s="4" t="s">
        <v>54</v>
      </c>
      <c r="DL13" s="3">
        <v>275</v>
      </c>
      <c r="DN13" s="1">
        <f>+DN12-DL15-DL16-DL17-DL18-DL24</f>
        <v>657.66</v>
      </c>
      <c r="DP13" s="4" t="s">
        <v>54</v>
      </c>
      <c r="DQ13" s="3">
        <v>258</v>
      </c>
      <c r="DT13" s="4" t="s">
        <v>54</v>
      </c>
      <c r="DU13" s="3">
        <v>300</v>
      </c>
      <c r="DX13" s="4" t="s">
        <v>54</v>
      </c>
      <c r="DY13" s="3">
        <v>303</v>
      </c>
      <c r="DZ13" s="5"/>
      <c r="EB13" s="4" t="s">
        <v>54</v>
      </c>
      <c r="EC13" s="3">
        <v>303</v>
      </c>
      <c r="EF13" s="4" t="s">
        <v>54</v>
      </c>
      <c r="EG13" s="3">
        <v>330</v>
      </c>
      <c r="EH13" s="1"/>
      <c r="EI13" s="36"/>
      <c r="EJ13" s="4" t="s">
        <v>54</v>
      </c>
      <c r="EK13" s="3">
        <v>264</v>
      </c>
      <c r="EN13" s="4" t="s">
        <v>54</v>
      </c>
      <c r="EO13" s="3">
        <v>269</v>
      </c>
      <c r="ER13" s="4" t="s">
        <v>54</v>
      </c>
      <c r="ES13" s="3">
        <v>269</v>
      </c>
      <c r="EV13" s="4" t="s">
        <v>54</v>
      </c>
      <c r="EW13" s="3">
        <v>269</v>
      </c>
      <c r="EZ13" s="4" t="s">
        <v>54</v>
      </c>
      <c r="FA13" s="3">
        <v>269</v>
      </c>
      <c r="FD13" s="4" t="s">
        <v>54</v>
      </c>
      <c r="FE13" s="3">
        <v>269</v>
      </c>
      <c r="FG13" s="37"/>
      <c r="FH13" s="4" t="s">
        <v>54</v>
      </c>
      <c r="FI13" s="3">
        <v>257</v>
      </c>
      <c r="FL13" s="4" t="s">
        <v>54</v>
      </c>
      <c r="FM13" s="3">
        <v>302.25</v>
      </c>
      <c r="FO13" s="37"/>
      <c r="FP13" s="4" t="s">
        <v>54</v>
      </c>
      <c r="FQ13" s="3">
        <v>302.25</v>
      </c>
      <c r="FS13" s="37"/>
      <c r="FT13" s="4" t="s">
        <v>54</v>
      </c>
      <c r="FU13" s="3">
        <v>302.25</v>
      </c>
      <c r="FX13" s="4" t="s">
        <v>54</v>
      </c>
      <c r="FY13" s="3">
        <v>470</v>
      </c>
      <c r="GB13" s="4" t="s">
        <v>54</v>
      </c>
      <c r="GC13" s="3">
        <v>375</v>
      </c>
      <c r="GF13" s="40" t="s">
        <v>54</v>
      </c>
      <c r="GG13" s="5">
        <v>375</v>
      </c>
      <c r="GH13" s="37">
        <f>+GH12/26</f>
        <v>43.96153846153846</v>
      </c>
      <c r="GK13" s="4" t="s">
        <v>54</v>
      </c>
      <c r="GL13" s="3">
        <v>428</v>
      </c>
      <c r="GN13" s="1"/>
      <c r="GO13" s="4" t="s">
        <v>54</v>
      </c>
      <c r="GP13" s="3">
        <v>89</v>
      </c>
      <c r="GS13" s="4" t="s">
        <v>54</v>
      </c>
      <c r="GT13" s="3">
        <v>424</v>
      </c>
      <c r="GV13" s="1"/>
      <c r="GW13" s="4" t="s">
        <v>54</v>
      </c>
      <c r="GX13" s="3">
        <v>424</v>
      </c>
      <c r="HA13" s="4" t="s">
        <v>54</v>
      </c>
      <c r="HB13" s="5">
        <v>425</v>
      </c>
      <c r="HE13" s="4" t="s">
        <v>54</v>
      </c>
      <c r="HF13" s="5">
        <v>425</v>
      </c>
      <c r="HH13" s="5">
        <f t="shared" si="0"/>
        <v>244.62864721485411</v>
      </c>
      <c r="HI13" s="3">
        <f t="shared" si="1"/>
        <v>180.37135278514589</v>
      </c>
      <c r="HL13" s="48" t="s">
        <v>54</v>
      </c>
      <c r="HM13" s="27">
        <v>664.81</v>
      </c>
      <c r="HN13" s="17"/>
      <c r="HO13" s="22">
        <f t="shared" ref="HO13" si="3">+HM13*$HH$6</f>
        <v>382.66251989389917</v>
      </c>
      <c r="HP13" s="58">
        <f>+HM13*$HP$6</f>
        <v>279.14515182593163</v>
      </c>
      <c r="HS13" s="55" t="s">
        <v>54</v>
      </c>
      <c r="HT13" s="27">
        <v>664.81</v>
      </c>
      <c r="HU13" s="17"/>
      <c r="HV13" s="69">
        <f>+HT13*$HV$6</f>
        <v>383.11084745762707</v>
      </c>
      <c r="HW13" s="74">
        <f>+HT13*$HW$6</f>
        <v>281.69915254237287</v>
      </c>
      <c r="IA13" s="55" t="s">
        <v>54</v>
      </c>
      <c r="IB13" s="22">
        <v>606</v>
      </c>
      <c r="IC13" s="17"/>
      <c r="ID13" s="69">
        <f>+IB13*$ID$6</f>
        <v>359.28244274809163</v>
      </c>
      <c r="IE13" s="74">
        <f>+IB13*$IE$6</f>
        <v>246.71755725190837</v>
      </c>
      <c r="II13" s="55" t="s">
        <v>54</v>
      </c>
      <c r="IJ13" s="22">
        <v>664.81</v>
      </c>
      <c r="IK13" s="17"/>
      <c r="IL13" s="69">
        <f>+IJ13*$IL$6</f>
        <v>404.53398942938242</v>
      </c>
      <c r="IM13" s="74">
        <f>+IJ13*$IM$6</f>
        <v>260.27601057061759</v>
      </c>
      <c r="IQ13" s="37">
        <f>+IJ10+IJ11+IJ14+IJ21+IJ23+IJ30+3000</f>
        <v>9240</v>
      </c>
      <c r="IR13" t="s">
        <v>242</v>
      </c>
      <c r="IU13">
        <v>1750</v>
      </c>
      <c r="IV13" s="37">
        <f>+IQ13-IU13-4000</f>
        <v>3490</v>
      </c>
    </row>
    <row r="14" spans="6:256">
      <c r="F14" t="s">
        <v>6</v>
      </c>
      <c r="G14" s="3">
        <v>60</v>
      </c>
      <c r="I14" t="s">
        <v>6</v>
      </c>
      <c r="J14" s="1">
        <v>60</v>
      </c>
      <c r="L14" t="s">
        <v>6</v>
      </c>
      <c r="M14" s="5">
        <v>60</v>
      </c>
      <c r="N14" s="5"/>
      <c r="O14" t="s">
        <v>6</v>
      </c>
      <c r="P14" s="5">
        <v>60</v>
      </c>
      <c r="Q14" s="5"/>
      <c r="R14" t="s">
        <v>6</v>
      </c>
      <c r="S14" s="3">
        <v>50</v>
      </c>
      <c r="U14" t="s">
        <v>6</v>
      </c>
      <c r="V14" s="5">
        <v>60</v>
      </c>
      <c r="X14" t="s">
        <v>6</v>
      </c>
      <c r="Y14" s="3">
        <v>60</v>
      </c>
      <c r="AA14" t="s">
        <v>6</v>
      </c>
      <c r="AB14" s="3">
        <v>70</v>
      </c>
      <c r="AD14" t="s">
        <v>6</v>
      </c>
      <c r="AE14" s="5">
        <v>70</v>
      </c>
      <c r="AG14" t="s">
        <v>6</v>
      </c>
      <c r="AH14" s="3">
        <v>70</v>
      </c>
      <c r="AJ14" t="s">
        <v>6</v>
      </c>
      <c r="AK14" s="3">
        <v>75</v>
      </c>
      <c r="AM14" t="s">
        <v>5</v>
      </c>
      <c r="AN14" s="3">
        <f>106</f>
        <v>106</v>
      </c>
      <c r="AP14" t="s">
        <v>5</v>
      </c>
      <c r="AQ14" s="3">
        <v>33</v>
      </c>
      <c r="AS14" t="s">
        <v>6</v>
      </c>
      <c r="AT14" s="5">
        <v>75</v>
      </c>
      <c r="AV14" t="s">
        <v>54</v>
      </c>
      <c r="AW14" s="3">
        <v>230.99799999999999</v>
      </c>
      <c r="AY14" t="s">
        <v>54</v>
      </c>
      <c r="AZ14" s="5">
        <v>110</v>
      </c>
      <c r="BB14" t="s">
        <v>54</v>
      </c>
      <c r="BC14" s="3">
        <v>110</v>
      </c>
      <c r="BD14" s="1"/>
      <c r="BE14" t="s">
        <v>54</v>
      </c>
      <c r="BF14" s="5">
        <v>110</v>
      </c>
      <c r="BG14" s="5"/>
      <c r="BH14" s="4"/>
      <c r="BI14" t="s">
        <v>54</v>
      </c>
      <c r="BJ14" s="3">
        <v>110</v>
      </c>
      <c r="BM14" t="s">
        <v>54</v>
      </c>
      <c r="BN14" s="3">
        <v>110</v>
      </c>
      <c r="BP14" s="5"/>
      <c r="BQ14" t="s">
        <v>54</v>
      </c>
      <c r="BR14" s="3">
        <v>110</v>
      </c>
      <c r="BU14" t="s">
        <v>54</v>
      </c>
      <c r="BV14" s="3">
        <v>110</v>
      </c>
      <c r="BW14" s="1" t="s">
        <v>78</v>
      </c>
      <c r="BY14" t="s">
        <v>54</v>
      </c>
      <c r="BZ14" s="3">
        <v>110</v>
      </c>
      <c r="CA14" s="4" t="s">
        <v>82</v>
      </c>
      <c r="CB14" s="4"/>
      <c r="CC14" s="4" t="s">
        <v>4</v>
      </c>
      <c r="CD14" s="3">
        <v>99.79</v>
      </c>
      <c r="CF14" s="1"/>
      <c r="CG14" t="s">
        <v>81</v>
      </c>
      <c r="CH14" s="5">
        <v>100</v>
      </c>
      <c r="CJ14" s="17"/>
      <c r="CK14" t="s">
        <v>81</v>
      </c>
      <c r="CL14" s="3">
        <v>100</v>
      </c>
      <c r="CP14" t="s">
        <v>81</v>
      </c>
      <c r="CQ14" s="5"/>
      <c r="CT14" t="s">
        <v>81</v>
      </c>
      <c r="CU14" s="3">
        <v>200</v>
      </c>
      <c r="CV14">
        <f>300+80+20</f>
        <v>400</v>
      </c>
      <c r="CX14" t="s">
        <v>81</v>
      </c>
      <c r="CY14" s="3">
        <v>100</v>
      </c>
      <c r="DD14" t="s">
        <v>81</v>
      </c>
      <c r="DE14" s="3">
        <v>100</v>
      </c>
      <c r="DF14" s="1">
        <f>+DF13+200</f>
        <v>527.16999999999996</v>
      </c>
      <c r="DK14" t="s">
        <v>81</v>
      </c>
      <c r="DL14" s="3">
        <v>100</v>
      </c>
      <c r="DN14" s="1"/>
      <c r="DP14" t="s">
        <v>81</v>
      </c>
      <c r="DQ14" s="3">
        <v>100</v>
      </c>
      <c r="DT14" t="s">
        <v>81</v>
      </c>
      <c r="DU14" s="3">
        <v>100</v>
      </c>
      <c r="DX14" t="s">
        <v>81</v>
      </c>
      <c r="DY14" s="3">
        <v>100</v>
      </c>
      <c r="EB14" t="s">
        <v>81</v>
      </c>
      <c r="EC14" s="3">
        <v>100</v>
      </c>
      <c r="EF14" t="s">
        <v>81</v>
      </c>
      <c r="EG14" s="3">
        <v>100</v>
      </c>
      <c r="EI14" s="36"/>
      <c r="EJ14" t="s">
        <v>81</v>
      </c>
      <c r="EK14" s="3">
        <v>100</v>
      </c>
      <c r="EN14" t="s">
        <v>81</v>
      </c>
      <c r="EO14" s="3">
        <v>100</v>
      </c>
      <c r="ER14" t="s">
        <v>81</v>
      </c>
      <c r="ES14" s="3">
        <v>100</v>
      </c>
      <c r="EV14" t="s">
        <v>81</v>
      </c>
      <c r="EW14" s="3">
        <v>100</v>
      </c>
      <c r="EZ14" t="s">
        <v>35</v>
      </c>
      <c r="FA14" s="5">
        <f>85+85</f>
        <v>170</v>
      </c>
      <c r="FD14" t="s">
        <v>35</v>
      </c>
      <c r="FE14" s="3">
        <v>85</v>
      </c>
      <c r="FG14" s="37"/>
      <c r="FH14" t="s">
        <v>35</v>
      </c>
      <c r="FI14" s="3">
        <v>101.75</v>
      </c>
      <c r="FL14" t="s">
        <v>35</v>
      </c>
      <c r="FM14" s="3">
        <v>101.75</v>
      </c>
      <c r="FO14" s="37"/>
      <c r="FP14" t="s">
        <v>35</v>
      </c>
      <c r="FQ14" s="3">
        <v>101.75</v>
      </c>
      <c r="FT14" t="s">
        <v>35</v>
      </c>
      <c r="FU14" s="3">
        <v>101.75</v>
      </c>
      <c r="FX14" t="s">
        <v>35</v>
      </c>
      <c r="FY14" s="3">
        <v>120</v>
      </c>
      <c r="GB14" t="s">
        <v>35</v>
      </c>
      <c r="GC14" s="5">
        <v>120</v>
      </c>
      <c r="GF14" s="40" t="s">
        <v>35</v>
      </c>
      <c r="GG14" s="3">
        <f>120*2</f>
        <v>240</v>
      </c>
      <c r="GH14" s="37"/>
      <c r="GK14" s="4" t="s">
        <v>35</v>
      </c>
      <c r="GL14" s="3">
        <v>120</v>
      </c>
      <c r="GO14" s="4" t="s">
        <v>35</v>
      </c>
      <c r="GP14" s="3">
        <v>120</v>
      </c>
      <c r="GQ14" s="1"/>
      <c r="GS14" s="4" t="s">
        <v>35</v>
      </c>
      <c r="GT14" s="3">
        <v>120</v>
      </c>
      <c r="GW14" s="4" t="s">
        <v>35</v>
      </c>
      <c r="GX14" s="5">
        <v>120</v>
      </c>
      <c r="HA14" s="4" t="s">
        <v>35</v>
      </c>
      <c r="HB14" s="5">
        <v>120</v>
      </c>
      <c r="HE14" s="4" t="s">
        <v>35</v>
      </c>
      <c r="HF14" s="5">
        <v>120</v>
      </c>
      <c r="HH14" s="5">
        <f t="shared" si="0"/>
        <v>69.071618037135281</v>
      </c>
      <c r="HI14" s="3">
        <f t="shared" si="1"/>
        <v>50.928381962864727</v>
      </c>
      <c r="HL14" s="48" t="s">
        <v>35</v>
      </c>
      <c r="HM14" s="27">
        <v>240</v>
      </c>
      <c r="HN14" s="22"/>
      <c r="HO14" s="22">
        <f>+HM14-HP14</f>
        <v>189.07</v>
      </c>
      <c r="HP14" s="58">
        <v>50.93</v>
      </c>
      <c r="HS14" s="55" t="s">
        <v>35</v>
      </c>
      <c r="HT14" s="27">
        <v>120</v>
      </c>
      <c r="HU14" s="22"/>
      <c r="HV14" s="69">
        <f>+HT14</f>
        <v>120</v>
      </c>
      <c r="HW14" s="74"/>
      <c r="IA14" s="55" t="s">
        <v>35</v>
      </c>
      <c r="IB14" s="22">
        <v>120</v>
      </c>
      <c r="IC14" s="22"/>
      <c r="ID14" s="69">
        <f>+IB14</f>
        <v>120</v>
      </c>
      <c r="IE14" s="74"/>
      <c r="II14" s="55" t="s">
        <v>35</v>
      </c>
      <c r="IJ14" s="22">
        <v>240</v>
      </c>
      <c r="IK14" s="22"/>
      <c r="IL14" s="69">
        <f>+IJ14</f>
        <v>240</v>
      </c>
      <c r="IM14" s="74"/>
      <c r="IQ14" s="37">
        <f>+IJ13+IJ20+IJ24</f>
        <v>1286.1499999999999</v>
      </c>
      <c r="IR14" t="s">
        <v>243</v>
      </c>
      <c r="IV14" s="37">
        <f>+IQ14</f>
        <v>1286.1499999999999</v>
      </c>
    </row>
    <row r="15" spans="6:256">
      <c r="F15" t="s">
        <v>7</v>
      </c>
      <c r="G15" s="1"/>
      <c r="I15" t="s">
        <v>7</v>
      </c>
      <c r="J15" s="1">
        <v>150</v>
      </c>
      <c r="K15" s="1"/>
      <c r="L15" t="s">
        <v>7</v>
      </c>
      <c r="M15" s="3">
        <v>150</v>
      </c>
      <c r="N15" s="5"/>
      <c r="O15" t="s">
        <v>7</v>
      </c>
      <c r="P15" s="5">
        <v>150</v>
      </c>
      <c r="Q15" s="5"/>
      <c r="R15" t="s">
        <v>7</v>
      </c>
      <c r="S15" s="3">
        <v>150</v>
      </c>
      <c r="U15" t="s">
        <v>7</v>
      </c>
      <c r="V15" s="3">
        <v>150</v>
      </c>
      <c r="X15" t="s">
        <v>7</v>
      </c>
      <c r="Y15" s="9">
        <v>150</v>
      </c>
      <c r="AA15" t="s">
        <v>40</v>
      </c>
      <c r="AB15" s="5">
        <v>50</v>
      </c>
      <c r="AD15" t="s">
        <v>7</v>
      </c>
      <c r="AE15" s="5">
        <v>150</v>
      </c>
      <c r="AG15" t="s">
        <v>7</v>
      </c>
      <c r="AH15" s="5">
        <v>150</v>
      </c>
      <c r="AJ15" t="s">
        <v>7</v>
      </c>
      <c r="AK15" s="5">
        <v>150</v>
      </c>
      <c r="AM15" t="s">
        <v>6</v>
      </c>
      <c r="AN15" s="3">
        <v>75</v>
      </c>
      <c r="AP15" t="s">
        <v>6</v>
      </c>
      <c r="AQ15" s="5">
        <v>75</v>
      </c>
      <c r="AS15" t="s">
        <v>40</v>
      </c>
      <c r="AT15" s="5">
        <v>100</v>
      </c>
      <c r="AV15" t="s">
        <v>40</v>
      </c>
      <c r="AW15" s="3">
        <v>100</v>
      </c>
      <c r="AY15" t="s">
        <v>40</v>
      </c>
      <c r="AZ15" s="5">
        <v>100</v>
      </c>
      <c r="BB15" t="s">
        <v>40</v>
      </c>
      <c r="BC15" s="3">
        <v>100</v>
      </c>
      <c r="BD15" s="1"/>
      <c r="BE15" t="s">
        <v>40</v>
      </c>
      <c r="BF15" s="3">
        <v>100</v>
      </c>
      <c r="BG15" s="5"/>
      <c r="BH15" s="5"/>
      <c r="BI15" t="s">
        <v>40</v>
      </c>
      <c r="BJ15" s="3">
        <v>100</v>
      </c>
      <c r="BM15" t="s">
        <v>40</v>
      </c>
      <c r="BN15" s="3">
        <v>100</v>
      </c>
      <c r="BP15" s="5"/>
      <c r="BQ15" t="s">
        <v>40</v>
      </c>
      <c r="BR15" s="25">
        <v>100</v>
      </c>
      <c r="BS15" s="5"/>
      <c r="BU15" t="s">
        <v>40</v>
      </c>
      <c r="BV15" s="5">
        <v>100</v>
      </c>
      <c r="BW15" s="1"/>
      <c r="BZ15" s="5"/>
      <c r="CC15" s="4" t="s">
        <v>54</v>
      </c>
      <c r="CD15" s="3">
        <v>110</v>
      </c>
      <c r="CG15" t="s">
        <v>35</v>
      </c>
      <c r="CH15" s="3">
        <v>68.34</v>
      </c>
      <c r="CJ15" s="17"/>
      <c r="CK15" t="s">
        <v>35</v>
      </c>
      <c r="CL15" s="3">
        <v>68.34</v>
      </c>
      <c r="CP15" t="s">
        <v>35</v>
      </c>
      <c r="CQ15" s="3">
        <v>68.34</v>
      </c>
      <c r="CT15" t="s">
        <v>35</v>
      </c>
      <c r="CU15" s="3">
        <v>68.34</v>
      </c>
      <c r="CV15">
        <f>+CV14+CV13</f>
        <v>735.86</v>
      </c>
      <c r="CX15" t="s">
        <v>35</v>
      </c>
      <c r="CY15" s="3">
        <v>68.34</v>
      </c>
      <c r="DD15" t="s">
        <v>35</v>
      </c>
      <c r="DE15" s="3">
        <v>68.34</v>
      </c>
      <c r="DF15" s="1"/>
      <c r="DK15" t="s">
        <v>35</v>
      </c>
      <c r="DL15" s="5">
        <v>68.34</v>
      </c>
      <c r="DP15" t="s">
        <v>35</v>
      </c>
      <c r="DQ15" s="3">
        <v>68.34</v>
      </c>
      <c r="DR15" s="1"/>
      <c r="DT15" t="s">
        <v>35</v>
      </c>
      <c r="DU15" s="3">
        <v>68.34</v>
      </c>
      <c r="DX15" t="s">
        <v>35</v>
      </c>
      <c r="DY15" s="3">
        <v>72</v>
      </c>
      <c r="EB15" t="s">
        <v>35</v>
      </c>
      <c r="EC15" s="3">
        <v>81</v>
      </c>
      <c r="EF15" t="s">
        <v>35</v>
      </c>
      <c r="EG15" s="3">
        <v>87</v>
      </c>
      <c r="EH15" s="1"/>
      <c r="EI15" s="36"/>
      <c r="EJ15" t="s">
        <v>35</v>
      </c>
      <c r="EK15" s="3">
        <v>87</v>
      </c>
      <c r="EN15" t="s">
        <v>35</v>
      </c>
      <c r="EO15" s="5">
        <v>87</v>
      </c>
      <c r="ER15" t="s">
        <v>35</v>
      </c>
      <c r="ES15" s="3">
        <v>175</v>
      </c>
      <c r="EV15" t="s">
        <v>35</v>
      </c>
      <c r="EW15" s="5"/>
      <c r="EZ15" t="s">
        <v>84</v>
      </c>
      <c r="FA15" s="3">
        <v>80</v>
      </c>
      <c r="FD15" t="s">
        <v>84</v>
      </c>
      <c r="FE15" s="3">
        <v>100</v>
      </c>
      <c r="FG15" s="37"/>
      <c r="FH15" t="s">
        <v>84</v>
      </c>
      <c r="FI15" s="3">
        <v>100</v>
      </c>
      <c r="FL15" t="s">
        <v>84</v>
      </c>
      <c r="FM15" s="5">
        <v>100</v>
      </c>
      <c r="FO15" s="37"/>
      <c r="FP15" t="s">
        <v>84</v>
      </c>
      <c r="FQ15" s="3">
        <v>150</v>
      </c>
      <c r="FT15" t="s">
        <v>84</v>
      </c>
      <c r="FU15" s="3">
        <v>150</v>
      </c>
      <c r="FW15" s="1"/>
      <c r="FX15" t="s">
        <v>84</v>
      </c>
      <c r="FY15" s="3">
        <v>150</v>
      </c>
      <c r="GB15" t="s">
        <v>84</v>
      </c>
      <c r="GC15" s="3">
        <v>200</v>
      </c>
      <c r="GF15" s="40" t="s">
        <v>84</v>
      </c>
      <c r="GG15" s="5">
        <v>200</v>
      </c>
      <c r="GK15" s="4" t="s">
        <v>84</v>
      </c>
      <c r="GL15" s="5">
        <v>200</v>
      </c>
      <c r="GO15" s="4" t="s">
        <v>84</v>
      </c>
      <c r="GP15" s="5">
        <v>200</v>
      </c>
      <c r="GS15" s="4" t="s">
        <v>84</v>
      </c>
      <c r="GT15" s="3">
        <v>200</v>
      </c>
      <c r="GW15" s="4" t="s">
        <v>84</v>
      </c>
      <c r="GX15" s="3">
        <v>200</v>
      </c>
      <c r="HA15" s="17" t="s">
        <v>177</v>
      </c>
      <c r="HB15" s="3">
        <v>145</v>
      </c>
      <c r="HE15" s="17" t="s">
        <v>177</v>
      </c>
      <c r="HF15" s="3">
        <v>145</v>
      </c>
      <c r="HH15" s="3">
        <f>+HF15</f>
        <v>145</v>
      </c>
      <c r="HI15" s="5"/>
      <c r="HL15" s="48" t="s">
        <v>177</v>
      </c>
      <c r="HM15" s="27">
        <v>145</v>
      </c>
      <c r="HN15" s="17"/>
      <c r="HO15" s="22">
        <f>+HM15</f>
        <v>145</v>
      </c>
      <c r="HP15" s="60"/>
      <c r="HS15" s="55" t="s">
        <v>215</v>
      </c>
      <c r="HT15" s="27">
        <f>570.14-HT16</f>
        <v>466.80666666666667</v>
      </c>
      <c r="HU15" s="17"/>
      <c r="HV15" s="69">
        <f>+HT15*$HV$6</f>
        <v>269.00723163841809</v>
      </c>
      <c r="HW15" s="74">
        <f>+HT15*$HW$6</f>
        <v>197.79943502824858</v>
      </c>
      <c r="IA15" s="55" t="s">
        <v>215</v>
      </c>
      <c r="IB15" s="27">
        <f>2439.42-IB16-IB26-IB27-IB28</f>
        <v>1528.7533333333333</v>
      </c>
      <c r="IC15" s="17"/>
      <c r="ID15" s="69">
        <f>+IB15*$ID$6</f>
        <v>906.36011874469898</v>
      </c>
      <c r="IE15" s="74">
        <f>+IB15*$IE$6</f>
        <v>622.39321458863435</v>
      </c>
      <c r="II15" s="55" t="s">
        <v>215</v>
      </c>
      <c r="IJ15" s="27">
        <f>2444.01-IJ16-IJ26-IJ27-IJ28</f>
        <v>1533.3433333333335</v>
      </c>
      <c r="IK15" s="17"/>
      <c r="IL15" s="69">
        <f>+IJ15*$IL$6</f>
        <v>933.03273987798127</v>
      </c>
      <c r="IM15" s="74">
        <f>+IJ15*$IM$6</f>
        <v>600.31059345535232</v>
      </c>
      <c r="IQ15" s="37">
        <f>+IQ14+IQ13</f>
        <v>10526.15</v>
      </c>
      <c r="IV15" s="37">
        <f>+IV14+IV13</f>
        <v>4776.1499999999996</v>
      </c>
    </row>
    <row r="16" spans="6:256">
      <c r="F16" t="s">
        <v>8</v>
      </c>
      <c r="G16" s="3">
        <v>200</v>
      </c>
      <c r="I16" t="s">
        <v>8</v>
      </c>
      <c r="J16" s="3">
        <v>200</v>
      </c>
      <c r="L16" t="s">
        <v>8</v>
      </c>
      <c r="M16" s="3">
        <v>200</v>
      </c>
      <c r="N16" s="5">
        <f>400-M18-M14</f>
        <v>154</v>
      </c>
      <c r="O16" t="s">
        <v>8</v>
      </c>
      <c r="P16" s="5">
        <v>200</v>
      </c>
      <c r="Q16" s="5"/>
      <c r="R16" t="s">
        <v>8</v>
      </c>
      <c r="S16" s="3">
        <v>200</v>
      </c>
      <c r="U16" t="s">
        <v>8</v>
      </c>
      <c r="V16" s="3">
        <v>200</v>
      </c>
      <c r="X16" t="s">
        <v>8</v>
      </c>
      <c r="Y16" s="3">
        <v>200</v>
      </c>
      <c r="AA16" t="s">
        <v>8</v>
      </c>
      <c r="AB16" s="3">
        <v>200</v>
      </c>
      <c r="AD16" t="s">
        <v>8</v>
      </c>
      <c r="AE16" s="5">
        <v>200</v>
      </c>
      <c r="AG16" t="s">
        <v>41</v>
      </c>
      <c r="AH16" s="5">
        <v>200</v>
      </c>
      <c r="AJ16" t="s">
        <v>41</v>
      </c>
      <c r="AK16" s="3">
        <v>200</v>
      </c>
      <c r="AM16" t="s">
        <v>40</v>
      </c>
      <c r="AN16" s="3">
        <v>50</v>
      </c>
      <c r="AP16" t="s">
        <v>40</v>
      </c>
      <c r="AQ16" s="3">
        <v>100</v>
      </c>
      <c r="AS16" t="s">
        <v>35</v>
      </c>
      <c r="AT16" s="3">
        <v>300</v>
      </c>
      <c r="AV16" t="s">
        <v>35</v>
      </c>
      <c r="AW16" s="3">
        <v>150</v>
      </c>
      <c r="AY16" t="s">
        <v>35</v>
      </c>
      <c r="AZ16" s="3">
        <v>184</v>
      </c>
      <c r="BB16" t="s">
        <v>35</v>
      </c>
      <c r="BC16" s="3">
        <v>190</v>
      </c>
      <c r="BD16" s="1"/>
      <c r="BE16" t="s">
        <v>35</v>
      </c>
      <c r="BF16" s="3">
        <v>190</v>
      </c>
      <c r="BG16" s="5"/>
      <c r="BH16" s="5"/>
      <c r="BI16" t="s">
        <v>35</v>
      </c>
      <c r="BJ16" s="5"/>
      <c r="BM16" t="s">
        <v>35</v>
      </c>
      <c r="BN16" s="5">
        <v>190</v>
      </c>
      <c r="BP16" s="5"/>
      <c r="BQ16" t="s">
        <v>35</v>
      </c>
      <c r="BR16" s="5">
        <v>190</v>
      </c>
      <c r="BS16" s="1"/>
      <c r="BU16" t="s">
        <v>35</v>
      </c>
      <c r="BV16" s="5">
        <f>190*0</f>
        <v>0</v>
      </c>
      <c r="BW16" s="1"/>
      <c r="BZ16" s="5"/>
      <c r="CA16">
        <v>2161.25</v>
      </c>
      <c r="CC16" t="s">
        <v>81</v>
      </c>
      <c r="CD16" s="3">
        <v>100</v>
      </c>
      <c r="CG16" t="s">
        <v>85</v>
      </c>
      <c r="CH16" s="3">
        <f>39*0</f>
        <v>0</v>
      </c>
      <c r="CJ16" s="17"/>
      <c r="CK16" t="s">
        <v>85</v>
      </c>
      <c r="CL16" s="3">
        <v>39</v>
      </c>
      <c r="CP16" t="s">
        <v>33</v>
      </c>
      <c r="CQ16" s="3">
        <v>39</v>
      </c>
      <c r="CT16" t="s">
        <v>33</v>
      </c>
      <c r="CU16" s="3">
        <v>39</v>
      </c>
      <c r="CV16" s="1">
        <f>+CV15-CU21-CU23</f>
        <v>585.86</v>
      </c>
      <c r="CX16" t="s">
        <v>85</v>
      </c>
      <c r="CY16" s="3">
        <v>39</v>
      </c>
      <c r="DD16" t="s">
        <v>116</v>
      </c>
      <c r="DE16" s="3">
        <v>39</v>
      </c>
      <c r="DG16" s="1"/>
      <c r="DK16" t="s">
        <v>116</v>
      </c>
      <c r="DL16" s="5">
        <v>39</v>
      </c>
      <c r="DP16" t="s">
        <v>116</v>
      </c>
      <c r="DQ16" s="3">
        <v>39</v>
      </c>
      <c r="DR16" s="1"/>
      <c r="DT16" t="s">
        <v>116</v>
      </c>
      <c r="DU16" s="3">
        <v>39</v>
      </c>
      <c r="DX16" t="s">
        <v>116</v>
      </c>
      <c r="DY16" s="3">
        <v>39</v>
      </c>
      <c r="EB16" t="s">
        <v>116</v>
      </c>
      <c r="EC16" s="3">
        <v>39</v>
      </c>
      <c r="EF16" t="s">
        <v>116</v>
      </c>
      <c r="EG16" s="3">
        <v>39</v>
      </c>
      <c r="EI16" s="36"/>
      <c r="EJ16" t="s">
        <v>116</v>
      </c>
      <c r="EK16" s="3">
        <v>39</v>
      </c>
      <c r="EN16" t="s">
        <v>116</v>
      </c>
      <c r="EO16" s="3">
        <v>39</v>
      </c>
      <c r="ER16" t="s">
        <v>116</v>
      </c>
      <c r="ES16" s="3">
        <v>39</v>
      </c>
      <c r="EU16" s="37"/>
      <c r="EV16" t="s">
        <v>116</v>
      </c>
      <c r="EW16" s="3">
        <v>39</v>
      </c>
      <c r="EZ16" t="s">
        <v>163</v>
      </c>
      <c r="FA16" s="3">
        <v>140</v>
      </c>
      <c r="FD16" t="s">
        <v>172</v>
      </c>
      <c r="FE16" s="5">
        <v>250</v>
      </c>
      <c r="FG16" s="37"/>
      <c r="FH16" t="s">
        <v>172</v>
      </c>
      <c r="FI16" s="3">
        <v>250</v>
      </c>
      <c r="FL16" t="s">
        <v>172</v>
      </c>
      <c r="FM16" s="3">
        <v>250</v>
      </c>
      <c r="FO16" s="37"/>
      <c r="FP16" s="17" t="s">
        <v>177</v>
      </c>
      <c r="FQ16" s="3">
        <v>145</v>
      </c>
      <c r="FT16" s="17" t="s">
        <v>177</v>
      </c>
      <c r="FU16" s="3">
        <v>145</v>
      </c>
      <c r="FW16" s="1"/>
      <c r="FX16" s="17" t="s">
        <v>177</v>
      </c>
      <c r="FY16" s="3">
        <v>145</v>
      </c>
      <c r="GB16" s="17" t="s">
        <v>177</v>
      </c>
      <c r="GC16" s="3">
        <v>145</v>
      </c>
      <c r="GF16" s="40" t="s">
        <v>189</v>
      </c>
      <c r="GG16" s="3">
        <v>150</v>
      </c>
      <c r="GK16" s="17" t="s">
        <v>177</v>
      </c>
      <c r="GL16" s="3">
        <v>145</v>
      </c>
      <c r="GO16" s="17" t="s">
        <v>177</v>
      </c>
      <c r="GP16" s="3">
        <v>145</v>
      </c>
      <c r="GS16" s="17" t="s">
        <v>177</v>
      </c>
      <c r="GT16" s="3">
        <v>145</v>
      </c>
      <c r="GW16" s="17" t="s">
        <v>177</v>
      </c>
      <c r="GX16" s="3">
        <v>145</v>
      </c>
      <c r="HA16" s="17" t="s">
        <v>190</v>
      </c>
      <c r="HB16" s="5">
        <v>-120</v>
      </c>
      <c r="HE16" s="17" t="s">
        <v>190</v>
      </c>
      <c r="HF16" s="5">
        <v>-120</v>
      </c>
      <c r="HH16" s="5">
        <f t="shared" si="0"/>
        <v>-69.071618037135281</v>
      </c>
      <c r="HI16" s="3">
        <f t="shared" si="1"/>
        <v>-50.928381962864727</v>
      </c>
      <c r="HL16" s="48" t="s">
        <v>210</v>
      </c>
      <c r="HM16" s="27">
        <v>86.67</v>
      </c>
      <c r="HN16" s="17"/>
      <c r="HO16" s="22">
        <f>+HM16</f>
        <v>86.67</v>
      </c>
      <c r="HP16" s="60"/>
      <c r="HS16" s="55" t="s">
        <v>216</v>
      </c>
      <c r="HT16" s="27">
        <f>310/3</f>
        <v>103.33333333333333</v>
      </c>
      <c r="HU16" s="17"/>
      <c r="HV16" s="69"/>
      <c r="HW16" s="74">
        <f>+HT16</f>
        <v>103.33333333333333</v>
      </c>
      <c r="IA16" s="55" t="s">
        <v>222</v>
      </c>
      <c r="IB16" s="80">
        <f>310/3</f>
        <v>103.33333333333333</v>
      </c>
      <c r="IC16" s="17"/>
      <c r="ID16" s="69"/>
      <c r="IE16" s="74">
        <f>+IB16</f>
        <v>103.33333333333333</v>
      </c>
      <c r="II16" s="55" t="s">
        <v>225</v>
      </c>
      <c r="IJ16" s="80">
        <f>310/3</f>
        <v>103.33333333333333</v>
      </c>
      <c r="IK16" s="17"/>
      <c r="IL16" s="69"/>
      <c r="IM16" s="74">
        <f>+IJ16</f>
        <v>103.33333333333333</v>
      </c>
    </row>
    <row r="17" spans="6:256">
      <c r="G17" s="3"/>
      <c r="J17" s="3"/>
      <c r="M17" s="3"/>
      <c r="N17" s="5"/>
      <c r="O17"/>
      <c r="P17" s="5"/>
      <c r="Q17" s="5"/>
      <c r="R17"/>
      <c r="S17" s="3"/>
      <c r="V17" s="3"/>
      <c r="Y17" s="3"/>
      <c r="AB17" s="3"/>
      <c r="AE17" s="5"/>
      <c r="AH17" s="5"/>
      <c r="AK17" s="3"/>
      <c r="AN17" s="3"/>
      <c r="AQ17" s="3"/>
      <c r="AS17" t="s">
        <v>52</v>
      </c>
      <c r="AT17" s="5">
        <v>150</v>
      </c>
      <c r="AV17" t="s">
        <v>52</v>
      </c>
      <c r="AW17" s="3">
        <v>230</v>
      </c>
      <c r="AY17" t="s">
        <v>52</v>
      </c>
      <c r="AZ17" s="5">
        <v>230</v>
      </c>
      <c r="BB17" t="s">
        <v>52</v>
      </c>
      <c r="BC17" s="5">
        <v>265</v>
      </c>
      <c r="BD17" s="1"/>
      <c r="BE17" t="s">
        <v>52</v>
      </c>
      <c r="BF17" s="5"/>
      <c r="BG17" s="5"/>
      <c r="BI17" t="s">
        <v>33</v>
      </c>
      <c r="BJ17" s="5"/>
      <c r="BM17" t="s">
        <v>33</v>
      </c>
      <c r="BN17" s="5">
        <v>100</v>
      </c>
      <c r="BP17" s="5"/>
      <c r="BQ17" t="s">
        <v>33</v>
      </c>
      <c r="BR17" s="5">
        <v>100</v>
      </c>
      <c r="BS17" s="1">
        <v>460</v>
      </c>
      <c r="BU17" t="s">
        <v>33</v>
      </c>
      <c r="BV17" s="5">
        <f>100*0</f>
        <v>0</v>
      </c>
      <c r="BW17" s="1"/>
      <c r="BZ17" s="5"/>
      <c r="CA17" s="1"/>
      <c r="CC17" t="s">
        <v>35</v>
      </c>
      <c r="CD17" s="3">
        <v>68.34</v>
      </c>
      <c r="CG17" t="s">
        <v>80</v>
      </c>
      <c r="CH17" s="5">
        <v>15</v>
      </c>
      <c r="CJ17" s="17"/>
      <c r="CK17" t="s">
        <v>80</v>
      </c>
      <c r="CL17" s="5">
        <v>15</v>
      </c>
      <c r="CP17" t="s">
        <v>80</v>
      </c>
      <c r="CQ17" s="5">
        <v>0</v>
      </c>
      <c r="CT17" t="s">
        <v>80</v>
      </c>
      <c r="CU17" s="5"/>
      <c r="CV17" s="1"/>
      <c r="CX17" t="s">
        <v>80</v>
      </c>
      <c r="CY17" s="3">
        <v>15</v>
      </c>
      <c r="DD17" t="s">
        <v>80</v>
      </c>
      <c r="DE17" s="3">
        <v>11.55</v>
      </c>
      <c r="DK17" t="s">
        <v>80</v>
      </c>
      <c r="DL17" s="5">
        <v>15</v>
      </c>
      <c r="DP17" t="s">
        <v>80</v>
      </c>
      <c r="DQ17" s="5">
        <v>15</v>
      </c>
      <c r="DR17" s="1"/>
      <c r="DT17" t="s">
        <v>80</v>
      </c>
      <c r="DU17" s="5"/>
      <c r="DX17" t="s">
        <v>80</v>
      </c>
      <c r="DY17" s="5"/>
      <c r="EB17" t="s">
        <v>140</v>
      </c>
      <c r="EC17" s="5"/>
      <c r="EF17" t="s">
        <v>140</v>
      </c>
      <c r="EG17" s="5"/>
      <c r="EH17" s="1"/>
      <c r="EI17" s="36"/>
      <c r="EJ17" t="s">
        <v>140</v>
      </c>
      <c r="EK17" s="5"/>
      <c r="EN17" t="s">
        <v>156</v>
      </c>
      <c r="EO17" s="3">
        <v>100</v>
      </c>
      <c r="ER17" t="s">
        <v>156</v>
      </c>
      <c r="ES17" s="5"/>
      <c r="EV17" t="s">
        <v>156</v>
      </c>
      <c r="EW17" s="5"/>
      <c r="EZ17" t="s">
        <v>164</v>
      </c>
      <c r="FA17" s="5">
        <v>200</v>
      </c>
      <c r="FD17" t="s">
        <v>171</v>
      </c>
      <c r="FE17" s="3">
        <v>140</v>
      </c>
      <c r="FH17" s="17" t="s">
        <v>121</v>
      </c>
      <c r="FI17" s="3">
        <v>171.41</v>
      </c>
      <c r="FL17" s="17" t="s">
        <v>177</v>
      </c>
      <c r="FM17" s="3">
        <v>145</v>
      </c>
      <c r="FO17" s="37"/>
      <c r="FP17" s="17" t="s">
        <v>123</v>
      </c>
      <c r="FQ17" s="3">
        <v>160.27000000000001</v>
      </c>
      <c r="FT17" s="17" t="s">
        <v>123</v>
      </c>
      <c r="FU17" s="3">
        <v>184.87</v>
      </c>
      <c r="FW17" s="37"/>
      <c r="FX17" s="17" t="s">
        <v>123</v>
      </c>
      <c r="FY17" s="3">
        <v>184.87</v>
      </c>
      <c r="GB17" s="17" t="s">
        <v>123</v>
      </c>
      <c r="GC17" s="3">
        <v>184.87</v>
      </c>
      <c r="GF17" s="40" t="s">
        <v>177</v>
      </c>
      <c r="GG17" s="3">
        <v>145</v>
      </c>
      <c r="GK17" s="17" t="s">
        <v>123</v>
      </c>
      <c r="GL17" s="3">
        <v>273</v>
      </c>
      <c r="GO17" s="17" t="s">
        <v>123</v>
      </c>
      <c r="GP17" s="3">
        <v>273</v>
      </c>
      <c r="GS17" s="17" t="s">
        <v>123</v>
      </c>
      <c r="GT17" s="3">
        <v>380</v>
      </c>
      <c r="GW17" s="17" t="s">
        <v>123</v>
      </c>
      <c r="GX17" s="3">
        <v>550</v>
      </c>
      <c r="HA17" s="17" t="s">
        <v>115</v>
      </c>
      <c r="HB17" s="5">
        <f>-HB13/3</f>
        <v>-141.66666666666666</v>
      </c>
      <c r="HE17" s="17" t="s">
        <v>115</v>
      </c>
      <c r="HF17" s="3">
        <f>-HF13/3</f>
        <v>-141.66666666666666</v>
      </c>
      <c r="HH17" s="3">
        <f t="shared" si="0"/>
        <v>-81.542882404951357</v>
      </c>
      <c r="HI17" s="3">
        <f t="shared" si="1"/>
        <v>-60.123784261715294</v>
      </c>
      <c r="HL17" s="48" t="s">
        <v>211</v>
      </c>
      <c r="HM17" s="27">
        <v>165</v>
      </c>
      <c r="HN17" s="17"/>
      <c r="HO17" s="22"/>
      <c r="HP17" s="58">
        <f>+HM17</f>
        <v>165</v>
      </c>
      <c r="HS17" s="55" t="s">
        <v>213</v>
      </c>
      <c r="HT17" s="27">
        <v>86.67</v>
      </c>
      <c r="HU17" s="17"/>
      <c r="HV17" s="69">
        <f>+HT17</f>
        <v>86.67</v>
      </c>
      <c r="HW17" s="74"/>
      <c r="IA17" s="55" t="s">
        <v>221</v>
      </c>
      <c r="IB17" s="81">
        <v>86.67</v>
      </c>
      <c r="IC17" s="17"/>
      <c r="ID17" s="69">
        <f>+IB17</f>
        <v>86.67</v>
      </c>
      <c r="IE17" s="74"/>
      <c r="II17" s="55" t="s">
        <v>224</v>
      </c>
      <c r="IJ17" s="81">
        <v>86.67</v>
      </c>
      <c r="IK17" s="17"/>
      <c r="IL17" s="69">
        <f>+IJ17</f>
        <v>86.67</v>
      </c>
      <c r="IM17" s="74"/>
    </row>
    <row r="18" spans="6:256">
      <c r="F18" t="s">
        <v>13</v>
      </c>
      <c r="G18" s="3">
        <v>150</v>
      </c>
      <c r="I18" t="s">
        <v>14</v>
      </c>
      <c r="J18" s="3">
        <f>150+25</f>
        <v>175</v>
      </c>
      <c r="L18" t="s">
        <v>14</v>
      </c>
      <c r="M18" s="5">
        <f>150+36</f>
        <v>186</v>
      </c>
      <c r="N18" s="5">
        <f>+N16+35</f>
        <v>189</v>
      </c>
      <c r="O18"/>
      <c r="P18" s="5"/>
      <c r="Q18" s="5"/>
      <c r="R18" t="s">
        <v>31</v>
      </c>
      <c r="S18" s="3">
        <v>75</v>
      </c>
      <c r="U18" t="s">
        <v>35</v>
      </c>
      <c r="V18" s="3">
        <v>150</v>
      </c>
      <c r="X18" t="s">
        <v>35</v>
      </c>
      <c r="Y18" s="9">
        <v>150</v>
      </c>
      <c r="AA18" t="s">
        <v>35</v>
      </c>
      <c r="AB18" s="5">
        <v>150</v>
      </c>
      <c r="AD18" t="s">
        <v>35</v>
      </c>
      <c r="AE18" s="5"/>
      <c r="AG18" t="s">
        <v>35</v>
      </c>
      <c r="AH18" s="3">
        <v>150</v>
      </c>
      <c r="AJ18" t="s">
        <v>35</v>
      </c>
      <c r="AK18" s="5"/>
      <c r="AM18" t="s">
        <v>35</v>
      </c>
      <c r="AN18" s="5"/>
      <c r="AP18" t="s">
        <v>52</v>
      </c>
      <c r="AQ18" s="5"/>
      <c r="BB18" t="s">
        <v>57</v>
      </c>
      <c r="BC18" s="5">
        <v>250</v>
      </c>
      <c r="BD18" s="1"/>
      <c r="BE18" t="s">
        <v>57</v>
      </c>
      <c r="BF18" s="5">
        <v>250</v>
      </c>
      <c r="BG18" s="5" t="s">
        <v>72</v>
      </c>
      <c r="BH18" s="19"/>
      <c r="BI18" t="s">
        <v>74</v>
      </c>
      <c r="BJ18" s="3">
        <v>100</v>
      </c>
      <c r="BK18" s="1"/>
      <c r="BM18" t="s">
        <v>75</v>
      </c>
      <c r="BN18" s="3">
        <v>100</v>
      </c>
      <c r="BP18" s="4"/>
      <c r="BQ18" t="s">
        <v>76</v>
      </c>
      <c r="BR18" s="5"/>
      <c r="BS18" s="1">
        <f>+BS17-BR15-BR17</f>
        <v>260</v>
      </c>
      <c r="BU18" t="s">
        <v>76</v>
      </c>
      <c r="BV18" s="5">
        <f>350*0</f>
        <v>0</v>
      </c>
      <c r="BW18" s="1"/>
      <c r="BZ18" s="5"/>
      <c r="CD18" s="5"/>
      <c r="CG18" t="s">
        <v>84</v>
      </c>
      <c r="CH18" s="3">
        <v>40</v>
      </c>
      <c r="CJ18" s="17"/>
      <c r="CK18" t="s">
        <v>84</v>
      </c>
      <c r="CL18" s="3">
        <v>40</v>
      </c>
      <c r="CP18" t="s">
        <v>84</v>
      </c>
      <c r="CQ18" s="3">
        <v>40</v>
      </c>
      <c r="CT18" t="s">
        <v>84</v>
      </c>
      <c r="CU18" s="3">
        <v>40</v>
      </c>
      <c r="CX18" t="s">
        <v>84</v>
      </c>
      <c r="CY18" s="3">
        <v>40</v>
      </c>
      <c r="CZ18">
        <v>478</v>
      </c>
      <c r="DD18" t="s">
        <v>84</v>
      </c>
      <c r="DE18" s="3">
        <v>40</v>
      </c>
      <c r="DK18" t="s">
        <v>84</v>
      </c>
      <c r="DL18" s="5">
        <v>40</v>
      </c>
      <c r="DP18" t="s">
        <v>84</v>
      </c>
      <c r="DQ18" s="5"/>
      <c r="DR18" s="1">
        <v>400</v>
      </c>
      <c r="DT18" t="s">
        <v>84</v>
      </c>
      <c r="DU18" s="3">
        <v>50</v>
      </c>
      <c r="DX18" t="s">
        <v>84</v>
      </c>
      <c r="DY18" s="3">
        <v>50</v>
      </c>
      <c r="EB18" t="s">
        <v>84</v>
      </c>
      <c r="EC18" s="3">
        <v>50</v>
      </c>
      <c r="EF18" t="s">
        <v>84</v>
      </c>
      <c r="EG18" s="3">
        <v>50</v>
      </c>
      <c r="EI18" s="36"/>
      <c r="EJ18" t="s">
        <v>84</v>
      </c>
      <c r="EK18" s="5"/>
      <c r="EN18" t="s">
        <v>84</v>
      </c>
      <c r="EO18" s="3">
        <v>80</v>
      </c>
      <c r="ER18" t="s">
        <v>84</v>
      </c>
      <c r="ES18" s="3">
        <v>80</v>
      </c>
      <c r="EV18" t="s">
        <v>84</v>
      </c>
      <c r="EW18" s="5">
        <v>80</v>
      </c>
      <c r="EZ18" s="17" t="s">
        <v>121</v>
      </c>
      <c r="FA18" s="3">
        <v>1118.25</v>
      </c>
      <c r="FD18" s="17" t="s">
        <v>121</v>
      </c>
      <c r="FE18" s="3">
        <v>1119.43</v>
      </c>
      <c r="FH18" t="s">
        <v>122</v>
      </c>
      <c r="FI18" s="3">
        <v>973</v>
      </c>
      <c r="FL18" t="s">
        <v>122</v>
      </c>
      <c r="FM18" s="3">
        <v>973</v>
      </c>
      <c r="FP18" s="17" t="s">
        <v>178</v>
      </c>
      <c r="FQ18" s="3">
        <v>-100</v>
      </c>
      <c r="FT18" s="17" t="s">
        <v>178</v>
      </c>
      <c r="FU18" s="3">
        <v>-150</v>
      </c>
      <c r="FW18" s="37"/>
      <c r="FX18" s="17" t="s">
        <v>178</v>
      </c>
      <c r="FY18" s="3">
        <v>-150</v>
      </c>
      <c r="GB18" s="17" t="s">
        <v>185</v>
      </c>
      <c r="GC18" s="3">
        <v>-300</v>
      </c>
      <c r="GD18" t="s">
        <v>186</v>
      </c>
      <c r="GF18" s="40" t="s">
        <v>123</v>
      </c>
      <c r="GG18" s="3">
        <v>227.1</v>
      </c>
      <c r="GK18" s="17" t="s">
        <v>190</v>
      </c>
      <c r="GL18" s="3">
        <v>-120</v>
      </c>
      <c r="GO18" s="17" t="s">
        <v>190</v>
      </c>
      <c r="GP18" s="3">
        <v>-120</v>
      </c>
      <c r="GS18" s="17" t="s">
        <v>190</v>
      </c>
      <c r="GT18" s="5">
        <v>-120</v>
      </c>
      <c r="GW18" s="17" t="s">
        <v>190</v>
      </c>
      <c r="GX18" s="3">
        <v>-120</v>
      </c>
      <c r="HA18" s="17" t="s">
        <v>195</v>
      </c>
      <c r="HB18" s="5">
        <f>-HB13/3</f>
        <v>-141.66666666666666</v>
      </c>
      <c r="HE18" s="17" t="s">
        <v>195</v>
      </c>
      <c r="HF18" s="3">
        <f>-HF13/3</f>
        <v>-141.66666666666666</v>
      </c>
      <c r="HH18" s="3">
        <f t="shared" si="0"/>
        <v>-81.542882404951357</v>
      </c>
      <c r="HI18" s="3">
        <f t="shared" si="1"/>
        <v>-60.123784261715294</v>
      </c>
      <c r="HL18" s="48" t="s">
        <v>195</v>
      </c>
      <c r="HM18" s="27">
        <f>-HM13/2</f>
        <v>-332.40499999999997</v>
      </c>
      <c r="HN18" s="17"/>
      <c r="HO18" s="22">
        <f t="shared" ref="HO18" si="4">+HM18*$HH$6</f>
        <v>-191.33125994694959</v>
      </c>
      <c r="HP18" s="58">
        <f>+HM18*$HP$6</f>
        <v>-139.57257591296582</v>
      </c>
      <c r="HS18" s="55" t="s">
        <v>214</v>
      </c>
      <c r="HT18" s="27">
        <v>165</v>
      </c>
      <c r="HU18" s="17"/>
      <c r="HV18" s="69"/>
      <c r="HW18" s="74">
        <f>+HT18</f>
        <v>165</v>
      </c>
      <c r="IA18" s="55" t="s">
        <v>220</v>
      </c>
      <c r="IB18" s="81">
        <v>165</v>
      </c>
      <c r="IC18" s="17"/>
      <c r="ID18" s="69"/>
      <c r="IE18" s="74">
        <f>+IB18</f>
        <v>165</v>
      </c>
      <c r="II18" s="55" t="s">
        <v>229</v>
      </c>
      <c r="IJ18" s="81">
        <v>246.97</v>
      </c>
      <c r="IK18" s="17"/>
      <c r="IL18" s="69">
        <f>+IJ18</f>
        <v>246.97</v>
      </c>
      <c r="IM18" s="74"/>
    </row>
    <row r="19" spans="6:256">
      <c r="G19" s="3"/>
      <c r="J19" s="3"/>
      <c r="M19" s="5"/>
      <c r="N19" s="5"/>
      <c r="O19"/>
      <c r="P19" s="5"/>
      <c r="Q19" s="5"/>
      <c r="R19"/>
      <c r="S19" s="3"/>
      <c r="V19" s="3"/>
      <c r="Y19" s="9"/>
      <c r="AB19" s="5"/>
      <c r="AE19" s="5"/>
      <c r="AH19" s="3"/>
      <c r="AK19" s="5"/>
      <c r="AN19" s="5"/>
      <c r="AQ19" s="5"/>
      <c r="BC19" s="5"/>
      <c r="BD19" s="1"/>
      <c r="BF19" s="5"/>
      <c r="BG19" s="5"/>
      <c r="BH19" s="19"/>
      <c r="BJ19" s="3"/>
      <c r="BK19" s="1"/>
      <c r="BN19" s="3"/>
      <c r="BP19" s="4"/>
      <c r="BR19" s="5"/>
      <c r="BS19" s="1"/>
      <c r="BV19" s="5"/>
      <c r="BW19" s="1"/>
      <c r="BZ19" s="5"/>
      <c r="CD19" s="5"/>
      <c r="CH19" s="3"/>
      <c r="CJ19" s="17"/>
      <c r="CL19" s="3"/>
      <c r="CQ19" s="3"/>
      <c r="CU19" s="3"/>
      <c r="CY19" s="3"/>
      <c r="DE19" s="3"/>
      <c r="DL19" s="5"/>
      <c r="DQ19" s="5"/>
      <c r="DR19" s="1"/>
      <c r="DU19" s="3"/>
      <c r="DY19" s="3"/>
      <c r="EC19" s="3"/>
      <c r="EG19" s="3"/>
      <c r="EI19" s="36"/>
      <c r="EK19" s="5"/>
      <c r="EN19" t="s">
        <v>154</v>
      </c>
      <c r="EO19" s="3">
        <f>140+33+300</f>
        <v>473</v>
      </c>
      <c r="ES19" s="5"/>
      <c r="EW19" s="5"/>
      <c r="EZ19" t="s">
        <v>122</v>
      </c>
      <c r="FA19" s="3">
        <v>973</v>
      </c>
      <c r="FD19" t="s">
        <v>122</v>
      </c>
      <c r="FE19" s="3">
        <v>973</v>
      </c>
      <c r="FH19" s="17" t="s">
        <v>123</v>
      </c>
      <c r="FI19" s="3">
        <v>160.27000000000001</v>
      </c>
      <c r="FL19" s="17" t="s">
        <v>123</v>
      </c>
      <c r="FM19" s="3">
        <v>160.27000000000001</v>
      </c>
      <c r="FP19" s="17" t="s">
        <v>179</v>
      </c>
      <c r="FQ19" s="3">
        <f>-143.5-(156.666666666667)</f>
        <v>-300.16666666666697</v>
      </c>
      <c r="FT19" s="17" t="s">
        <v>179</v>
      </c>
      <c r="FU19" s="3">
        <f>-143.5-(156.666666666667)</f>
        <v>-300.16666666666697</v>
      </c>
      <c r="FX19" s="17" t="s">
        <v>179</v>
      </c>
      <c r="FY19" s="5">
        <f>-143.5-(156.666666666667)</f>
        <v>-300.16666666666697</v>
      </c>
      <c r="GB19" s="17" t="s">
        <v>179</v>
      </c>
      <c r="GC19" s="3">
        <f>-143.5-100</f>
        <v>-243.5</v>
      </c>
      <c r="GF19" s="17" t="s">
        <v>185</v>
      </c>
      <c r="GG19" s="5">
        <v>-60</v>
      </c>
      <c r="GK19" s="17" t="s">
        <v>179</v>
      </c>
      <c r="GL19" s="3">
        <f>-143.5</f>
        <v>-143.5</v>
      </c>
      <c r="GO19" s="17" t="s">
        <v>179</v>
      </c>
      <c r="GP19" s="5"/>
      <c r="GS19" s="17" t="s">
        <v>193</v>
      </c>
      <c r="GT19" s="3">
        <v>1300</v>
      </c>
      <c r="GW19" s="17" t="s">
        <v>181</v>
      </c>
      <c r="GX19" s="5">
        <v>100</v>
      </c>
      <c r="HA19" s="17" t="s">
        <v>81</v>
      </c>
      <c r="HB19" s="3">
        <v>200</v>
      </c>
      <c r="HE19" s="17" t="s">
        <v>81</v>
      </c>
      <c r="HF19" s="41">
        <v>200</v>
      </c>
      <c r="HH19" s="3">
        <f>+HF19</f>
        <v>200</v>
      </c>
      <c r="HI19" s="5"/>
      <c r="HL19" s="48" t="s">
        <v>81</v>
      </c>
      <c r="HM19" s="27">
        <v>200</v>
      </c>
      <c r="HN19" s="17"/>
      <c r="HO19" s="22">
        <f>+HM19</f>
        <v>200</v>
      </c>
      <c r="HP19" s="60"/>
      <c r="HS19" s="55" t="s">
        <v>195</v>
      </c>
      <c r="HT19" s="27">
        <v>-270</v>
      </c>
      <c r="HU19" s="17"/>
      <c r="HV19" s="69">
        <f>+HT19*$HV$6</f>
        <v>-155.59322033898306</v>
      </c>
      <c r="HW19" s="74">
        <f>+HT19*$HW$6</f>
        <v>-114.40677966101694</v>
      </c>
      <c r="IA19" s="55" t="s">
        <v>195</v>
      </c>
      <c r="IB19" s="22">
        <v>-270</v>
      </c>
      <c r="IC19" s="17"/>
      <c r="ID19" s="69">
        <f>+IB19*$ID$6</f>
        <v>-160.07633587786259</v>
      </c>
      <c r="IE19" s="74">
        <f>+IB19*$IE$6</f>
        <v>-109.9236641221374</v>
      </c>
      <c r="II19" s="55" t="s">
        <v>195</v>
      </c>
      <c r="IJ19" s="22">
        <v>-270</v>
      </c>
      <c r="IK19" s="17"/>
      <c r="IL19" s="69">
        <f>+IJ19*$IL$6</f>
        <v>-164.29382401879221</v>
      </c>
      <c r="IM19" s="74">
        <f>+IJ19*$IM$6</f>
        <v>-105.70617598120779</v>
      </c>
      <c r="IU19" t="s">
        <v>27</v>
      </c>
      <c r="IV19">
        <v>12434.88</v>
      </c>
    </row>
    <row r="20" spans="6:256">
      <c r="G20" s="3"/>
      <c r="J20" s="3"/>
      <c r="M20" s="5"/>
      <c r="N20" s="5"/>
      <c r="O20"/>
      <c r="P20" s="5"/>
      <c r="Q20" s="5"/>
      <c r="R20"/>
      <c r="S20" s="3"/>
      <c r="V20" s="3"/>
      <c r="Y20" s="9"/>
      <c r="AB20" s="5"/>
      <c r="AE20" s="5"/>
      <c r="AH20" s="3"/>
      <c r="AK20" s="5"/>
      <c r="AN20" s="5"/>
      <c r="AQ20" s="5"/>
      <c r="BC20" s="5"/>
      <c r="BD20" s="1"/>
      <c r="BF20" s="5"/>
      <c r="BG20" s="5"/>
      <c r="BH20" s="19"/>
      <c r="BJ20" s="3"/>
      <c r="BK20" s="1"/>
      <c r="BN20" s="3"/>
      <c r="BP20" s="4"/>
      <c r="BR20" s="5"/>
      <c r="BS20" s="1"/>
      <c r="BV20" s="5"/>
      <c r="BW20" s="1"/>
      <c r="BZ20" s="5"/>
      <c r="CD20" s="5"/>
      <c r="CH20" s="3"/>
      <c r="CJ20" s="17"/>
      <c r="CL20" s="3"/>
      <c r="CQ20" s="3"/>
      <c r="CU20" s="3"/>
      <c r="CY20" s="3"/>
      <c r="DE20" s="3"/>
      <c r="DL20" s="5"/>
      <c r="DQ20" s="5"/>
      <c r="DR20" s="1"/>
      <c r="DU20" s="3"/>
      <c r="DY20" s="3"/>
      <c r="EC20" s="3"/>
      <c r="EG20" s="3"/>
      <c r="EI20" s="36"/>
      <c r="EK20" s="5"/>
      <c r="EN20" t="s">
        <v>155</v>
      </c>
      <c r="EO20" s="3">
        <v>385</v>
      </c>
      <c r="EP20" s="37"/>
      <c r="EQ20" s="37"/>
      <c r="ER20" t="s">
        <v>158</v>
      </c>
      <c r="ES20" s="5">
        <v>190</v>
      </c>
      <c r="ET20" s="37"/>
      <c r="EU20" s="37"/>
      <c r="EW20" s="5"/>
      <c r="EZ20" s="17" t="s">
        <v>123</v>
      </c>
      <c r="FA20" s="3">
        <v>182.41</v>
      </c>
      <c r="FD20" s="17" t="s">
        <v>123</v>
      </c>
      <c r="FE20" s="3">
        <v>182.41</v>
      </c>
      <c r="FH20" s="17" t="s">
        <v>168</v>
      </c>
      <c r="FI20" s="5"/>
      <c r="FL20" s="17"/>
      <c r="FM20" s="5"/>
      <c r="FP20" s="17" t="s">
        <v>114</v>
      </c>
      <c r="FQ20" s="3">
        <v>-100</v>
      </c>
      <c r="FT20" s="17" t="s">
        <v>114</v>
      </c>
      <c r="FU20" s="3">
        <v>-100</v>
      </c>
      <c r="FX20" s="17" t="s">
        <v>76</v>
      </c>
      <c r="FY20" s="5">
        <v>500</v>
      </c>
      <c r="GB20" s="17" t="s">
        <v>76</v>
      </c>
      <c r="GC20" s="5">
        <v>500</v>
      </c>
      <c r="GF20" s="17" t="s">
        <v>179</v>
      </c>
      <c r="GG20" s="3">
        <f>-143.5</f>
        <v>-143.5</v>
      </c>
      <c r="GH20" s="37"/>
      <c r="GK20" s="17" t="s">
        <v>95</v>
      </c>
      <c r="GL20" s="5">
        <v>-200</v>
      </c>
      <c r="GO20" s="17" t="s">
        <v>95</v>
      </c>
      <c r="GP20" s="5">
        <v>-200</v>
      </c>
      <c r="GS20" s="17" t="s">
        <v>95</v>
      </c>
      <c r="GT20" s="5">
        <v>-200</v>
      </c>
      <c r="GW20" s="17" t="s">
        <v>95</v>
      </c>
      <c r="GX20" s="5"/>
      <c r="HA20" s="17" t="s">
        <v>199</v>
      </c>
      <c r="HB20" s="5">
        <v>160</v>
      </c>
      <c r="HE20" s="17" t="s">
        <v>199</v>
      </c>
      <c r="HF20" s="5">
        <v>160</v>
      </c>
      <c r="HH20" s="5">
        <f>+HF20</f>
        <v>160</v>
      </c>
      <c r="HI20" s="5"/>
      <c r="HL20" s="48" t="s">
        <v>199</v>
      </c>
      <c r="HM20" s="27">
        <v>160</v>
      </c>
      <c r="HN20" s="17"/>
      <c r="HO20" s="22">
        <f>+HM20</f>
        <v>160</v>
      </c>
      <c r="HP20" s="60"/>
      <c r="HS20" s="55" t="s">
        <v>81</v>
      </c>
      <c r="HT20" s="27">
        <v>200</v>
      </c>
      <c r="HU20" s="17"/>
      <c r="HV20" s="69">
        <f>+HT20</f>
        <v>200</v>
      </c>
      <c r="HW20" s="74"/>
      <c r="IA20" s="55" t="s">
        <v>81</v>
      </c>
      <c r="IB20" s="22">
        <v>250</v>
      </c>
      <c r="IC20" s="17"/>
      <c r="ID20" s="69">
        <f>+IB20</f>
        <v>250</v>
      </c>
      <c r="IE20" s="74"/>
      <c r="II20" s="55" t="s">
        <v>81</v>
      </c>
      <c r="IJ20" s="27">
        <v>250</v>
      </c>
      <c r="IK20" s="17"/>
      <c r="IL20" s="69">
        <f>+IJ20</f>
        <v>250</v>
      </c>
      <c r="IM20" s="74"/>
      <c r="IU20" t="s">
        <v>244</v>
      </c>
      <c r="IV20">
        <v>331.8</v>
      </c>
    </row>
    <row r="21" spans="6:256">
      <c r="G21" s="3"/>
      <c r="J21" s="3"/>
      <c r="M21" s="5"/>
      <c r="N21" s="5"/>
      <c r="O21"/>
      <c r="P21" s="5"/>
      <c r="Q21" s="5"/>
      <c r="R21"/>
      <c r="S21" s="3"/>
      <c r="V21" s="3"/>
      <c r="Y21" s="9"/>
      <c r="AB21" s="5"/>
      <c r="AE21" s="5"/>
      <c r="AH21" s="3"/>
      <c r="AK21" s="5"/>
      <c r="AN21" s="5"/>
      <c r="AQ21" s="5"/>
      <c r="BB21" t="s">
        <v>59</v>
      </c>
      <c r="BC21" s="3">
        <v>150</v>
      </c>
      <c r="BD21" s="1"/>
      <c r="BE21" t="s">
        <v>66</v>
      </c>
      <c r="BF21" s="3">
        <f>+BF38</f>
        <v>290.00333333333333</v>
      </c>
      <c r="BG21" s="5"/>
      <c r="BH21" s="5"/>
      <c r="BI21" t="s">
        <v>66</v>
      </c>
      <c r="BJ21" s="3">
        <f>+BJ38</f>
        <v>206.66</v>
      </c>
      <c r="BN21" s="5"/>
      <c r="BP21" s="5"/>
      <c r="BQ21" t="s">
        <v>77</v>
      </c>
      <c r="BR21" s="3">
        <f>50+50+30</f>
        <v>130</v>
      </c>
      <c r="BV21" s="5"/>
      <c r="BZ21" s="5"/>
      <c r="CD21" s="5"/>
      <c r="CG21" s="17"/>
      <c r="CH21" s="22"/>
      <c r="CJ21" s="17"/>
      <c r="CK21" s="17" t="s">
        <v>86</v>
      </c>
      <c r="CL21" s="27">
        <v>200</v>
      </c>
      <c r="CP21" s="17"/>
      <c r="CQ21" s="22"/>
      <c r="CR21" s="1"/>
      <c r="CT21" s="17" t="s">
        <v>95</v>
      </c>
      <c r="CU21" s="22"/>
      <c r="CX21" s="31" t="s">
        <v>106</v>
      </c>
      <c r="CY21" s="31">
        <v>510</v>
      </c>
      <c r="CZ21" s="1">
        <f>+CZ18-CY14-CY15-CY17</f>
        <v>294.65999999999997</v>
      </c>
      <c r="DD21" s="17" t="s">
        <v>95</v>
      </c>
      <c r="DE21" s="22"/>
      <c r="DK21" s="17" t="s">
        <v>121</v>
      </c>
      <c r="DL21" s="27">
        <v>1220</v>
      </c>
      <c r="DP21" s="17" t="s">
        <v>121</v>
      </c>
      <c r="DQ21" s="27">
        <v>1085.67</v>
      </c>
      <c r="DR21" s="1">
        <f>+DR18-DQ16-DQ17-DQ24</f>
        <v>296</v>
      </c>
      <c r="DT21" s="17" t="s">
        <v>121</v>
      </c>
      <c r="DU21" s="3">
        <v>1085.67</v>
      </c>
      <c r="DX21" s="17" t="s">
        <v>121</v>
      </c>
      <c r="DY21" s="3">
        <v>1093.1099999999999</v>
      </c>
      <c r="EB21" s="17" t="s">
        <v>121</v>
      </c>
      <c r="EC21" s="3">
        <v>1091.28</v>
      </c>
      <c r="EF21" s="17" t="s">
        <v>121</v>
      </c>
      <c r="EG21" s="3">
        <v>1091.28</v>
      </c>
      <c r="EI21" s="36"/>
      <c r="EJ21" s="17" t="s">
        <v>121</v>
      </c>
      <c r="EK21" s="3">
        <v>1087.3599999999999</v>
      </c>
      <c r="EN21" s="17" t="s">
        <v>121</v>
      </c>
      <c r="EO21" s="3">
        <v>1114.07</v>
      </c>
      <c r="EP21" s="37"/>
      <c r="EQ21" s="37"/>
      <c r="ER21" s="17" t="s">
        <v>121</v>
      </c>
      <c r="ES21" s="3">
        <v>1115.24</v>
      </c>
      <c r="ET21" s="37"/>
      <c r="EU21" s="37"/>
      <c r="EV21" s="17" t="s">
        <v>121</v>
      </c>
      <c r="EW21" s="3">
        <v>1116.8800000000001</v>
      </c>
      <c r="EZ21" s="17" t="s">
        <v>165</v>
      </c>
      <c r="FA21" s="3">
        <v>500</v>
      </c>
      <c r="FD21" s="17" t="s">
        <v>168</v>
      </c>
      <c r="FE21" s="3">
        <v>1000</v>
      </c>
      <c r="FH21" s="17" t="s">
        <v>169</v>
      </c>
      <c r="FI21" s="3">
        <v>500</v>
      </c>
      <c r="FL21" s="17"/>
      <c r="FM21" s="5"/>
      <c r="FP21" s="17" t="s">
        <v>115</v>
      </c>
      <c r="FQ21" s="3">
        <v>-200</v>
      </c>
      <c r="FT21" s="17" t="s">
        <v>115</v>
      </c>
      <c r="FU21" s="3">
        <v>-100</v>
      </c>
      <c r="FX21" s="17" t="s">
        <v>115</v>
      </c>
      <c r="FY21" s="3">
        <v>-100</v>
      </c>
      <c r="GB21" s="17" t="s">
        <v>115</v>
      </c>
      <c r="GC21" s="3">
        <f>-(GC13/2)</f>
        <v>-187.5</v>
      </c>
      <c r="GF21" s="17" t="s">
        <v>76</v>
      </c>
      <c r="GG21" s="5"/>
      <c r="GK21" s="17" t="s">
        <v>115</v>
      </c>
      <c r="GL21" s="3">
        <v>-140</v>
      </c>
      <c r="GO21" s="17" t="s">
        <v>115</v>
      </c>
      <c r="GP21" s="5">
        <f>-GP13/3</f>
        <v>-29.666666666666668</v>
      </c>
      <c r="GS21" s="17" t="s">
        <v>115</v>
      </c>
      <c r="GT21" s="3">
        <f>-GT13/3</f>
        <v>-141.33333333333334</v>
      </c>
      <c r="GW21" s="17" t="s">
        <v>115</v>
      </c>
      <c r="GX21" s="3">
        <f>-GX13/3</f>
        <v>-141.33333333333334</v>
      </c>
      <c r="HA21" s="17" t="s">
        <v>179</v>
      </c>
      <c r="HB21" s="4">
        <f>-(1350/3-200)</f>
        <v>-250</v>
      </c>
      <c r="HE21" s="17" t="s">
        <v>179</v>
      </c>
      <c r="HF21" s="4">
        <v>-450</v>
      </c>
      <c r="HH21" s="5">
        <f t="shared" si="0"/>
        <v>-259.0185676392573</v>
      </c>
      <c r="HI21" s="3">
        <f t="shared" si="1"/>
        <v>-190.9814323607427</v>
      </c>
      <c r="HL21" s="48" t="s">
        <v>179</v>
      </c>
      <c r="HM21" s="14">
        <v>-450</v>
      </c>
      <c r="HN21" s="17"/>
      <c r="HO21" s="22">
        <f t="shared" ref="HO21:HO23" si="5">+HM21*$HH$6</f>
        <v>-259.0185676392573</v>
      </c>
      <c r="HP21" s="58">
        <f>+HM21*$HP$6</f>
        <v>-188.9492010073092</v>
      </c>
      <c r="HS21" s="55" t="s">
        <v>199</v>
      </c>
      <c r="HT21" s="27">
        <v>160</v>
      </c>
      <c r="HU21" s="17"/>
      <c r="HV21" s="69">
        <f>+HT21</f>
        <v>160</v>
      </c>
      <c r="HW21" s="74"/>
      <c r="IA21" s="55" t="s">
        <v>199</v>
      </c>
      <c r="IB21" s="22">
        <v>160</v>
      </c>
      <c r="IC21" s="17"/>
      <c r="ID21" s="69">
        <f>+IB21</f>
        <v>160</v>
      </c>
      <c r="IE21" s="74"/>
      <c r="II21" s="55" t="s">
        <v>199</v>
      </c>
      <c r="IJ21" s="22">
        <v>160</v>
      </c>
      <c r="IK21" s="17"/>
      <c r="IL21" s="69">
        <f>+IJ21</f>
        <v>160</v>
      </c>
      <c r="IM21" s="74"/>
      <c r="IU21" t="s">
        <v>245</v>
      </c>
      <c r="IV21">
        <v>21466.02</v>
      </c>
    </row>
    <row r="22" spans="6:256" ht="18.75">
      <c r="G22" s="3"/>
      <c r="J22" s="3"/>
      <c r="M22" s="5"/>
      <c r="N22" s="5"/>
      <c r="O22"/>
      <c r="P22" s="5"/>
      <c r="Q22" s="5"/>
      <c r="R22"/>
      <c r="S22" s="3"/>
      <c r="V22" s="3"/>
      <c r="Y22" s="9"/>
      <c r="AB22" s="5"/>
      <c r="AE22" s="5"/>
      <c r="AH22" s="3"/>
      <c r="AK22" s="5"/>
      <c r="AN22" s="5"/>
      <c r="AQ22" s="5"/>
      <c r="BC22" s="3"/>
      <c r="BD22" s="1"/>
      <c r="BH22" s="5"/>
      <c r="BI22" s="5"/>
      <c r="BJ22" s="5"/>
      <c r="BM22" s="5"/>
      <c r="BN22" s="5"/>
      <c r="BP22" s="4"/>
      <c r="BQ22" s="5"/>
      <c r="BR22" s="5"/>
      <c r="BU22" s="5"/>
      <c r="BV22" s="5"/>
      <c r="BY22" s="5"/>
      <c r="BZ22" s="5"/>
      <c r="CC22" s="5"/>
      <c r="CD22" s="5"/>
      <c r="CG22" s="17"/>
      <c r="CH22" s="22"/>
      <c r="CJ22" s="17"/>
      <c r="CK22" s="17"/>
      <c r="CL22" s="22"/>
      <c r="CP22" s="17"/>
      <c r="CQ22" s="22"/>
      <c r="CR22" s="1"/>
      <c r="CT22" s="17" t="s">
        <v>97</v>
      </c>
      <c r="CU22" s="27">
        <v>100</v>
      </c>
      <c r="CX22" s="31" t="s">
        <v>105</v>
      </c>
      <c r="CY22" s="31"/>
      <c r="CZ22" s="1"/>
      <c r="DD22" s="29" t="s">
        <v>102</v>
      </c>
      <c r="DE22" s="32">
        <f>1128+130+430+980</f>
        <v>2668</v>
      </c>
      <c r="DF22" s="30"/>
      <c r="DK22" s="29" t="s">
        <v>122</v>
      </c>
      <c r="DL22" s="32">
        <v>973</v>
      </c>
      <c r="DP22" t="s">
        <v>122</v>
      </c>
      <c r="DQ22" s="3">
        <v>973</v>
      </c>
      <c r="DT22" t="s">
        <v>122</v>
      </c>
      <c r="DU22" s="3">
        <v>973</v>
      </c>
      <c r="DV22">
        <f>970+345</f>
        <v>1315</v>
      </c>
      <c r="DX22" t="s">
        <v>122</v>
      </c>
      <c r="DY22" s="3">
        <v>973</v>
      </c>
      <c r="EB22" t="s">
        <v>122</v>
      </c>
      <c r="EC22" s="3">
        <v>973</v>
      </c>
      <c r="EF22" t="s">
        <v>122</v>
      </c>
      <c r="EG22" s="3">
        <v>973</v>
      </c>
      <c r="EI22" s="36"/>
      <c r="EJ22" t="s">
        <v>122</v>
      </c>
      <c r="EK22" s="3">
        <v>973</v>
      </c>
      <c r="EN22" t="s">
        <v>122</v>
      </c>
      <c r="EO22" s="3">
        <v>973</v>
      </c>
      <c r="ER22" t="s">
        <v>122</v>
      </c>
      <c r="ES22" s="3">
        <v>973</v>
      </c>
      <c r="EV22" t="s">
        <v>122</v>
      </c>
      <c r="EW22" s="3">
        <v>973</v>
      </c>
      <c r="FD22" s="17" t="s">
        <v>169</v>
      </c>
      <c r="FE22" s="3">
        <v>220</v>
      </c>
      <c r="FH22" s="17" t="s">
        <v>175</v>
      </c>
      <c r="FI22" s="3">
        <v>450</v>
      </c>
      <c r="FL22" s="17"/>
      <c r="FM22" s="5"/>
      <c r="FP22" s="17" t="s">
        <v>96</v>
      </c>
      <c r="FQ22" s="3">
        <f>250+200+35+55-300</f>
        <v>240</v>
      </c>
      <c r="FT22" s="17" t="s">
        <v>182</v>
      </c>
      <c r="FU22" s="3">
        <v>50</v>
      </c>
      <c r="FX22" s="17"/>
      <c r="FY22" s="5"/>
      <c r="GB22" s="17"/>
      <c r="GC22" s="5"/>
      <c r="GF22" s="40" t="s">
        <v>115</v>
      </c>
      <c r="GG22" s="3">
        <f>-(GG13/2)</f>
        <v>-187.5</v>
      </c>
      <c r="GK22" s="17" t="s">
        <v>191</v>
      </c>
      <c r="GL22" s="3">
        <f>110+260</f>
        <v>370</v>
      </c>
      <c r="GO22" s="17" t="s">
        <v>192</v>
      </c>
      <c r="GP22" s="5">
        <f>-GP13/3</f>
        <v>-29.666666666666668</v>
      </c>
      <c r="GS22" s="17" t="s">
        <v>192</v>
      </c>
      <c r="GT22" s="3">
        <f>-GT13/3</f>
        <v>-141.33333333333334</v>
      </c>
      <c r="GV22" s="1"/>
      <c r="GW22" s="17" t="s">
        <v>192</v>
      </c>
      <c r="GX22" s="5">
        <f>-GX13/3</f>
        <v>-141.33333333333334</v>
      </c>
      <c r="HA22" s="17" t="s">
        <v>185</v>
      </c>
      <c r="HB22" s="12">
        <v>450</v>
      </c>
      <c r="HE22" s="17" t="s">
        <v>185</v>
      </c>
      <c r="HF22" s="12">
        <v>3450</v>
      </c>
      <c r="HH22" s="3">
        <f t="shared" si="0"/>
        <v>1985.8090185676392</v>
      </c>
      <c r="HI22" s="3">
        <f t="shared" si="1"/>
        <v>1464.1909814323608</v>
      </c>
      <c r="HL22" s="48" t="s">
        <v>185</v>
      </c>
      <c r="HM22" s="27">
        <v>3450</v>
      </c>
      <c r="HN22" s="17"/>
      <c r="HO22" s="22">
        <f t="shared" si="5"/>
        <v>1985.8090185676392</v>
      </c>
      <c r="HP22" s="58">
        <f>+HM22*$HP$6</f>
        <v>1448.6105410560372</v>
      </c>
      <c r="HS22" s="55" t="s">
        <v>185</v>
      </c>
      <c r="HT22" s="27">
        <v>3700</v>
      </c>
      <c r="HU22" s="17"/>
      <c r="HV22" s="69">
        <f>+HT22*$HV$6-700</f>
        <v>1432.2033898305085</v>
      </c>
      <c r="HW22" s="74">
        <f>+HT22*$HW$6-3000</f>
        <v>-1432.2033898305085</v>
      </c>
      <c r="IA22" s="55" t="s">
        <v>185</v>
      </c>
      <c r="IB22" s="27">
        <v>3700</v>
      </c>
      <c r="IC22" s="17"/>
      <c r="ID22" s="69">
        <f>+IB22*$ID$6</f>
        <v>2193.6386768447837</v>
      </c>
      <c r="IE22" s="74">
        <f>+IB22*$IE$6</f>
        <v>1506.3613231552163</v>
      </c>
      <c r="II22" s="55" t="s">
        <v>185</v>
      </c>
      <c r="IJ22" s="27">
        <v>3700</v>
      </c>
      <c r="IK22" s="17"/>
      <c r="IL22" s="83">
        <f>+IJ22*$IL$6</f>
        <v>2251.4338847019676</v>
      </c>
      <c r="IM22" s="74">
        <f>+IJ22*$IM$6*0</f>
        <v>0</v>
      </c>
      <c r="IU22" t="s">
        <v>246</v>
      </c>
      <c r="IV22">
        <v>650</v>
      </c>
    </row>
    <row r="23" spans="6:256">
      <c r="G23" s="3"/>
      <c r="J23" s="3"/>
      <c r="M23" s="5"/>
      <c r="N23" s="5"/>
      <c r="O23"/>
      <c r="P23" s="5"/>
      <c r="Q23" s="5"/>
      <c r="R23"/>
      <c r="S23" s="3"/>
      <c r="V23" s="3"/>
      <c r="Y23" s="9"/>
      <c r="AB23" s="5"/>
      <c r="AE23" s="5"/>
      <c r="AH23" s="3"/>
      <c r="AK23" s="5"/>
      <c r="AN23" s="5"/>
      <c r="AQ23" s="5"/>
      <c r="BC23" s="3"/>
      <c r="BD23" s="1"/>
      <c r="BH23" s="5"/>
      <c r="BI23" s="5"/>
      <c r="BJ23" s="5"/>
      <c r="BM23" s="5"/>
      <c r="BN23" s="5"/>
      <c r="BQ23" s="5"/>
      <c r="BR23" s="5"/>
      <c r="BU23" s="5"/>
      <c r="BV23" s="5"/>
      <c r="BY23" s="5"/>
      <c r="BZ23" s="5"/>
      <c r="CC23" s="5"/>
      <c r="CD23" s="5"/>
      <c r="CG23" s="17"/>
      <c r="CH23" s="22"/>
      <c r="CJ23" s="17"/>
      <c r="CK23" s="17"/>
      <c r="CL23" s="22"/>
      <c r="CQ23" s="22"/>
      <c r="CR23" s="1"/>
      <c r="CT23" s="17" t="s">
        <v>83</v>
      </c>
      <c r="CU23" s="22">
        <v>150</v>
      </c>
      <c r="DD23" s="17" t="s">
        <v>110</v>
      </c>
      <c r="DE23" s="22">
        <v>50</v>
      </c>
      <c r="DK23" s="17" t="s">
        <v>123</v>
      </c>
      <c r="DL23" s="27">
        <v>163.51</v>
      </c>
      <c r="DP23" s="17" t="s">
        <v>123</v>
      </c>
      <c r="DQ23" s="27">
        <v>163.51</v>
      </c>
      <c r="DT23" s="17" t="s">
        <v>123</v>
      </c>
      <c r="DU23" s="3">
        <v>163.51</v>
      </c>
      <c r="DV23" s="1">
        <f>+DV22-DU9-DU10-DU12-DU14-DU16</f>
        <v>788.96</v>
      </c>
      <c r="DX23" s="17" t="s">
        <v>123</v>
      </c>
      <c r="DY23" s="3">
        <v>163.51</v>
      </c>
      <c r="EB23" s="17" t="s">
        <v>123</v>
      </c>
      <c r="EC23" s="3">
        <v>182.41</v>
      </c>
      <c r="EF23" s="17" t="s">
        <v>123</v>
      </c>
      <c r="EG23" s="3">
        <v>182.41</v>
      </c>
      <c r="EI23" s="36"/>
      <c r="EJ23" s="17" t="s">
        <v>123</v>
      </c>
      <c r="EK23" s="3">
        <v>182.41</v>
      </c>
      <c r="EN23" s="17" t="s">
        <v>123</v>
      </c>
      <c r="EO23" s="3">
        <v>182.41</v>
      </c>
      <c r="ER23" s="17" t="s">
        <v>123</v>
      </c>
      <c r="ES23" s="3">
        <v>182.41</v>
      </c>
      <c r="EV23" s="17" t="s">
        <v>123</v>
      </c>
      <c r="EW23" s="5">
        <v>182.41</v>
      </c>
      <c r="FD23" s="17" t="s">
        <v>170</v>
      </c>
      <c r="FE23" s="3">
        <v>100</v>
      </c>
      <c r="FP23" s="17" t="s">
        <v>180</v>
      </c>
      <c r="FQ23" s="3">
        <v>200</v>
      </c>
      <c r="FT23" s="17"/>
      <c r="FU23" s="5"/>
      <c r="FX23" s="17" t="s">
        <v>106</v>
      </c>
      <c r="FY23" s="5">
        <v>300</v>
      </c>
      <c r="GB23" s="17" t="s">
        <v>106</v>
      </c>
      <c r="GC23" s="3">
        <v>300</v>
      </c>
      <c r="GF23" s="17" t="s">
        <v>187</v>
      </c>
      <c r="GG23" s="5">
        <f>260</f>
        <v>260</v>
      </c>
      <c r="GK23" s="17" t="s">
        <v>106</v>
      </c>
      <c r="GL23" s="5"/>
      <c r="GO23" s="17" t="s">
        <v>106</v>
      </c>
      <c r="GP23" s="5"/>
      <c r="GS23" s="17" t="s">
        <v>84</v>
      </c>
      <c r="GT23" s="3">
        <f>200-60</f>
        <v>140</v>
      </c>
      <c r="GW23" s="17" t="s">
        <v>183</v>
      </c>
      <c r="GX23" s="41">
        <v>342.35</v>
      </c>
      <c r="HE23" s="17" t="s">
        <v>203</v>
      </c>
      <c r="HF23" s="4">
        <f>100*31</f>
        <v>3100</v>
      </c>
      <c r="HH23" s="5">
        <f t="shared" ref="HH23" si="6">+HF23*$HH$6</f>
        <v>1784.3501326259945</v>
      </c>
      <c r="HI23" s="3">
        <f t="shared" ref="HI23" si="7">+HF23*$HI$6</f>
        <v>1315.6498673740055</v>
      </c>
      <c r="HL23" s="48" t="s">
        <v>203</v>
      </c>
      <c r="HM23" s="27">
        <f>100*31</f>
        <v>3100</v>
      </c>
      <c r="HN23" s="17"/>
      <c r="HO23" s="22">
        <f t="shared" si="5"/>
        <v>1784.3501326259945</v>
      </c>
      <c r="HP23" s="58">
        <f>+HM23*$HP$6</f>
        <v>1301.6500513836856</v>
      </c>
      <c r="HS23" s="55" t="s">
        <v>203</v>
      </c>
      <c r="HT23" s="27">
        <f>100*31-300</f>
        <v>2800</v>
      </c>
      <c r="HU23" s="17"/>
      <c r="HV23" s="69">
        <f>+HT23*$HV$6-1000-300-100-100-100</f>
        <v>13.559322033898297</v>
      </c>
      <c r="HW23" s="74">
        <f>+HT23*$HW$6-130</f>
        <v>1056.4406779661017</v>
      </c>
      <c r="IA23" s="55" t="s">
        <v>203</v>
      </c>
      <c r="IB23" s="27">
        <f>3100-700</f>
        <v>2400</v>
      </c>
      <c r="IC23" s="17"/>
      <c r="ID23" s="69">
        <f>+IB23*$ID$6</f>
        <v>1422.9007633587787</v>
      </c>
      <c r="IE23" s="74">
        <f>+IB23*$IE$6</f>
        <v>977.0992366412213</v>
      </c>
      <c r="II23" s="55" t="s">
        <v>203</v>
      </c>
      <c r="IJ23" s="22">
        <v>3100</v>
      </c>
      <c r="IK23" s="17"/>
      <c r="IL23" s="69">
        <f>+IJ23*$IL$6</f>
        <v>1886.3364979935402</v>
      </c>
      <c r="IM23" s="74">
        <f>+IJ23*$IM$6</f>
        <v>1213.6635020064598</v>
      </c>
    </row>
    <row r="24" spans="6:256">
      <c r="G24" s="3"/>
      <c r="J24" s="3"/>
      <c r="M24" s="5"/>
      <c r="N24" s="5"/>
      <c r="O24"/>
      <c r="P24" s="5"/>
      <c r="Q24" s="5"/>
      <c r="R24"/>
      <c r="S24" s="3"/>
      <c r="V24" s="3"/>
      <c r="Y24" s="9"/>
      <c r="AB24" s="5"/>
      <c r="AE24" s="5"/>
      <c r="AH24" s="3"/>
      <c r="AK24" s="5"/>
      <c r="AN24" s="5"/>
      <c r="AQ24" s="5"/>
      <c r="BC24" s="3"/>
      <c r="BD24" s="1"/>
      <c r="BE24" s="4"/>
      <c r="BF24" s="5"/>
      <c r="BG24" s="5"/>
      <c r="BH24" s="19"/>
      <c r="BI24" s="19"/>
      <c r="BJ24" s="5"/>
      <c r="BM24" s="19"/>
      <c r="BN24" s="5"/>
      <c r="BQ24" s="19"/>
      <c r="BR24" s="5"/>
      <c r="BU24" s="19"/>
      <c r="BV24" s="5"/>
      <c r="BY24" s="19"/>
      <c r="BZ24" s="5"/>
      <c r="CC24" s="19"/>
      <c r="CD24" s="5"/>
      <c r="CG24" s="17"/>
      <c r="CH24" s="17"/>
      <c r="CJ24" s="17"/>
      <c r="CK24" s="17"/>
      <c r="CL24" s="17"/>
      <c r="CR24" s="1"/>
      <c r="CU24" s="22"/>
      <c r="DD24" s="17" t="s">
        <v>118</v>
      </c>
      <c r="DE24" s="27">
        <v>50</v>
      </c>
      <c r="DK24" s="17" t="s">
        <v>110</v>
      </c>
      <c r="DL24" s="22">
        <v>50</v>
      </c>
      <c r="DP24" s="17" t="s">
        <v>110</v>
      </c>
      <c r="DQ24" s="22">
        <v>50</v>
      </c>
      <c r="DT24" s="17" t="s">
        <v>126</v>
      </c>
      <c r="DU24" s="3">
        <v>410</v>
      </c>
      <c r="DV24" s="1">
        <f>+DV23+DU39+DU40</f>
        <v>938.96</v>
      </c>
      <c r="DX24" s="17" t="s">
        <v>126</v>
      </c>
      <c r="DY24" s="3">
        <v>410</v>
      </c>
      <c r="EB24" s="17" t="s">
        <v>126</v>
      </c>
      <c r="EC24" s="3">
        <v>410</v>
      </c>
      <c r="EF24" s="17" t="s">
        <v>126</v>
      </c>
      <c r="EG24" s="3">
        <v>410</v>
      </c>
      <c r="EI24" s="36"/>
      <c r="EJ24" s="17" t="s">
        <v>143</v>
      </c>
      <c r="EK24" s="3">
        <v>500</v>
      </c>
      <c r="EN24" s="17" t="s">
        <v>153</v>
      </c>
      <c r="EO24" s="5">
        <f>2500</f>
        <v>2500</v>
      </c>
      <c r="ER24" s="17" t="s">
        <v>157</v>
      </c>
      <c r="ES24" s="3">
        <v>950</v>
      </c>
      <c r="EV24" s="17" t="s">
        <v>159</v>
      </c>
      <c r="EW24" s="3">
        <f>907+90</f>
        <v>997</v>
      </c>
      <c r="FP24" s="17" t="s">
        <v>181</v>
      </c>
      <c r="FQ24" s="3">
        <v>120</v>
      </c>
      <c r="FT24" s="17"/>
      <c r="FU24" s="5"/>
      <c r="FX24" s="17" t="s">
        <v>183</v>
      </c>
      <c r="FY24" s="3">
        <v>530</v>
      </c>
      <c r="GB24" s="17"/>
      <c r="GC24" s="5"/>
      <c r="GF24" s="17" t="s">
        <v>106</v>
      </c>
      <c r="GG24" s="3">
        <v>730</v>
      </c>
      <c r="GK24" s="17" t="s">
        <v>81</v>
      </c>
      <c r="GL24" s="3">
        <v>150</v>
      </c>
      <c r="GO24" s="17" t="s">
        <v>81</v>
      </c>
      <c r="GP24" s="3">
        <v>200</v>
      </c>
      <c r="GS24" s="17" t="s">
        <v>81</v>
      </c>
      <c r="GT24" s="3">
        <v>200</v>
      </c>
      <c r="GW24" s="17" t="s">
        <v>81</v>
      </c>
      <c r="GX24" s="41">
        <v>200</v>
      </c>
      <c r="HE24" s="17" t="s">
        <v>204</v>
      </c>
      <c r="HF24" s="12">
        <v>314</v>
      </c>
      <c r="HH24" s="1"/>
      <c r="HI24" s="3">
        <f>+HF24</f>
        <v>314</v>
      </c>
      <c r="HL24" s="48" t="s">
        <v>204</v>
      </c>
      <c r="HM24" s="27">
        <v>314</v>
      </c>
      <c r="HN24" s="17"/>
      <c r="HO24" s="22"/>
      <c r="HP24" s="58">
        <f>+HM24</f>
        <v>314</v>
      </c>
      <c r="HS24" s="55" t="s">
        <v>218</v>
      </c>
      <c r="HT24" s="27">
        <v>314</v>
      </c>
      <c r="HU24" s="17"/>
      <c r="HV24" s="69"/>
      <c r="HW24" s="74">
        <f>+HT24</f>
        <v>314</v>
      </c>
      <c r="HY24">
        <v>3500</v>
      </c>
      <c r="IA24" s="55" t="s">
        <v>218</v>
      </c>
      <c r="IB24" s="27">
        <v>371.34</v>
      </c>
      <c r="IC24" s="17"/>
      <c r="ID24" s="69"/>
      <c r="IE24" s="74">
        <f>+IB24</f>
        <v>371.34</v>
      </c>
      <c r="II24" s="55" t="s">
        <v>218</v>
      </c>
      <c r="IJ24" s="22">
        <v>371.34</v>
      </c>
      <c r="IK24" s="17"/>
      <c r="IL24" s="69"/>
      <c r="IM24" s="74">
        <f>+IJ24</f>
        <v>371.34</v>
      </c>
      <c r="IV24">
        <v>28893.15</v>
      </c>
    </row>
    <row r="25" spans="6:256">
      <c r="G25" s="3"/>
      <c r="J25" s="3"/>
      <c r="M25" s="5"/>
      <c r="N25" s="5"/>
      <c r="O25"/>
      <c r="P25" s="5"/>
      <c r="Q25" s="5"/>
      <c r="R25"/>
      <c r="S25" s="3"/>
      <c r="V25" s="3"/>
      <c r="Y25" s="9"/>
      <c r="AB25" s="5"/>
      <c r="AE25" s="5"/>
      <c r="AH25" s="3"/>
      <c r="AK25" s="5"/>
      <c r="AN25" s="5"/>
      <c r="AQ25" s="5"/>
      <c r="BC25" s="3"/>
      <c r="BD25" s="1"/>
      <c r="BE25" s="4"/>
      <c r="BF25" s="5"/>
      <c r="BG25" s="5"/>
      <c r="BH25" s="19"/>
      <c r="BI25" s="19"/>
      <c r="BJ25" s="5"/>
      <c r="BM25" s="19"/>
      <c r="BN25" s="5"/>
      <c r="BQ25" s="19"/>
      <c r="BR25" s="5"/>
      <c r="BU25" s="19"/>
      <c r="BV25" s="5"/>
      <c r="BY25" s="19"/>
      <c r="BZ25" s="5"/>
      <c r="CC25" s="19"/>
      <c r="CD25" s="5"/>
      <c r="CG25" s="17"/>
      <c r="CH25" s="17"/>
      <c r="CJ25" s="17"/>
      <c r="CK25" s="17"/>
      <c r="CL25" s="17"/>
      <c r="CR25" s="1"/>
      <c r="CU25" s="22"/>
      <c r="DD25" s="17"/>
      <c r="DE25" s="27"/>
      <c r="DK25" s="17"/>
      <c r="DL25" s="22"/>
      <c r="DP25" s="17"/>
      <c r="DQ25" s="22"/>
      <c r="DT25" s="17"/>
      <c r="DU25" s="3"/>
      <c r="DV25" s="1"/>
      <c r="DX25" s="17"/>
      <c r="DY25" s="3"/>
      <c r="EB25" s="17"/>
      <c r="EC25" s="3"/>
      <c r="EF25" s="17"/>
      <c r="EG25" s="3"/>
      <c r="EI25" s="36"/>
      <c r="EJ25" s="17"/>
      <c r="EK25" s="3"/>
      <c r="EN25" s="17"/>
      <c r="EO25" s="5"/>
      <c r="ER25" s="17"/>
      <c r="ES25" s="3"/>
      <c r="EV25" s="17"/>
      <c r="EW25" s="3"/>
      <c r="FP25" s="17"/>
      <c r="FQ25" s="3"/>
      <c r="FT25" s="17"/>
      <c r="FU25" s="5"/>
      <c r="FX25" s="17"/>
      <c r="FY25" s="3"/>
      <c r="GB25" s="17"/>
      <c r="GC25" s="5"/>
      <c r="GF25" s="17"/>
      <c r="GG25" s="3"/>
      <c r="GK25" s="17"/>
      <c r="GL25" s="3"/>
      <c r="GO25" s="17"/>
      <c r="GP25" s="3"/>
      <c r="GS25" s="17"/>
      <c r="GT25" s="3"/>
      <c r="GW25" s="17"/>
      <c r="GX25" s="41"/>
      <c r="HE25" s="17"/>
      <c r="HF25" s="12"/>
      <c r="HH25" s="1"/>
      <c r="HI25" s="3"/>
      <c r="HL25" s="48"/>
      <c r="HM25" s="27"/>
      <c r="HN25" s="17"/>
      <c r="HO25" s="22"/>
      <c r="HP25" s="58"/>
      <c r="HS25" s="55"/>
      <c r="HT25" s="27"/>
      <c r="HU25" s="17"/>
      <c r="HV25" s="69"/>
      <c r="HW25" s="74"/>
      <c r="IA25" s="55"/>
      <c r="IB25" s="27"/>
      <c r="IC25" s="17"/>
      <c r="ID25" s="69"/>
      <c r="IE25" s="74"/>
      <c r="II25" s="55" t="s">
        <v>240</v>
      </c>
      <c r="IJ25" s="27">
        <v>1000</v>
      </c>
      <c r="IK25" s="17"/>
      <c r="IL25" s="83">
        <f>+IJ25</f>
        <v>1000</v>
      </c>
      <c r="IM25" s="74"/>
      <c r="IV25" s="37">
        <f>+IV24-IV15</f>
        <v>24117</v>
      </c>
    </row>
    <row r="26" spans="6:256">
      <c r="G26" s="3"/>
      <c r="J26" s="3"/>
      <c r="M26" s="5"/>
      <c r="N26" s="5"/>
      <c r="O26"/>
      <c r="P26" s="5"/>
      <c r="Q26" s="5"/>
      <c r="R26"/>
      <c r="S26" s="3"/>
      <c r="V26" s="3"/>
      <c r="Y26" s="9"/>
      <c r="AB26" s="5"/>
      <c r="AE26" s="5"/>
      <c r="AH26" s="3"/>
      <c r="AK26" s="5"/>
      <c r="AN26" s="5"/>
      <c r="AQ26" s="5"/>
      <c r="BC26" s="3"/>
      <c r="BD26" s="1"/>
      <c r="BE26" s="4"/>
      <c r="BF26" s="5"/>
      <c r="BG26" s="5"/>
      <c r="BH26" s="19"/>
      <c r="BI26" s="19"/>
      <c r="BJ26" s="5"/>
      <c r="BM26" s="19"/>
      <c r="BN26" s="5"/>
      <c r="BQ26" s="19"/>
      <c r="BR26" s="5"/>
      <c r="BU26" s="19"/>
      <c r="BV26" s="5"/>
      <c r="BY26" s="19"/>
      <c r="BZ26" s="5"/>
      <c r="CC26" s="19"/>
      <c r="CD26" s="5"/>
      <c r="CG26" s="17"/>
      <c r="CH26" s="17"/>
      <c r="CJ26" s="17"/>
      <c r="CK26" s="17"/>
      <c r="CL26" s="17"/>
      <c r="CR26" s="1"/>
      <c r="CU26" s="22"/>
      <c r="DD26" s="17"/>
      <c r="DE26" s="27"/>
      <c r="DK26" s="17"/>
      <c r="DL26" s="22"/>
      <c r="DP26" s="17"/>
      <c r="DQ26" s="22"/>
      <c r="DT26" s="17"/>
      <c r="DU26" s="3"/>
      <c r="DV26" s="1"/>
      <c r="DX26" s="17"/>
      <c r="DY26" s="3"/>
      <c r="EB26" s="17"/>
      <c r="EC26" s="3"/>
      <c r="EF26" s="17"/>
      <c r="EG26" s="3"/>
      <c r="EI26" s="36"/>
      <c r="EJ26" s="17"/>
      <c r="EK26" s="3"/>
      <c r="EN26" s="17"/>
      <c r="EO26" s="5"/>
      <c r="ER26" s="17"/>
      <c r="ES26" s="3"/>
      <c r="EV26" s="17"/>
      <c r="EW26" s="3"/>
      <c r="FP26" s="17"/>
      <c r="FQ26" s="3"/>
      <c r="FT26" s="17"/>
      <c r="FU26" s="5"/>
      <c r="FX26" s="17"/>
      <c r="FY26" s="3"/>
      <c r="GB26" s="17"/>
      <c r="GC26" s="5"/>
      <c r="GF26" s="17"/>
      <c r="GG26" s="3"/>
      <c r="GK26" s="17"/>
      <c r="GL26" s="3"/>
      <c r="GO26" s="17"/>
      <c r="GP26" s="3"/>
      <c r="GS26" s="17"/>
      <c r="GT26" s="3"/>
      <c r="GW26" s="17"/>
      <c r="GX26" s="41"/>
      <c r="HE26" s="17" t="s">
        <v>212</v>
      </c>
      <c r="HF26" s="12">
        <v>136.66999999999999</v>
      </c>
      <c r="HH26" s="1"/>
      <c r="HI26" s="3">
        <v>136.66999999999999</v>
      </c>
      <c r="HL26" s="48" t="s">
        <v>212</v>
      </c>
      <c r="HM26" s="27">
        <v>136.66999999999999</v>
      </c>
      <c r="HN26" s="17"/>
      <c r="HO26" s="22"/>
      <c r="HP26" s="58">
        <v>136.66999999999999</v>
      </c>
      <c r="HS26" s="55" t="s">
        <v>212</v>
      </c>
      <c r="HT26" s="27">
        <v>136.66999999999999</v>
      </c>
      <c r="HU26" s="17"/>
      <c r="HV26" s="69"/>
      <c r="HW26" s="74">
        <v>136.66999999999999</v>
      </c>
      <c r="HY26">
        <v>350</v>
      </c>
      <c r="IA26" s="55" t="s">
        <v>230</v>
      </c>
      <c r="IB26" s="80">
        <v>260</v>
      </c>
      <c r="IC26" s="17"/>
      <c r="ID26" s="69">
        <f>+IB26</f>
        <v>260</v>
      </c>
      <c r="IE26" s="74"/>
      <c r="II26" s="55" t="s">
        <v>231</v>
      </c>
      <c r="IJ26" s="80">
        <v>260</v>
      </c>
      <c r="IK26" s="17"/>
      <c r="IL26" s="69">
        <f>+IJ26</f>
        <v>260</v>
      </c>
      <c r="IM26" s="74"/>
      <c r="IV26" s="37">
        <f>19500-IV25</f>
        <v>-4617</v>
      </c>
    </row>
    <row r="27" spans="6:256">
      <c r="G27" s="3"/>
      <c r="J27" s="3"/>
      <c r="M27" s="5"/>
      <c r="N27" s="5"/>
      <c r="O27"/>
      <c r="P27" s="5"/>
      <c r="Q27" s="5"/>
      <c r="R27"/>
      <c r="S27" s="3"/>
      <c r="V27" s="3"/>
      <c r="Y27" s="9"/>
      <c r="AB27" s="5"/>
      <c r="AE27" s="5"/>
      <c r="AH27" s="3"/>
      <c r="AK27" s="5"/>
      <c r="AN27" s="5"/>
      <c r="AQ27" s="5"/>
      <c r="BC27" s="3"/>
      <c r="BD27" s="1"/>
      <c r="BE27" s="4"/>
      <c r="BF27" s="5"/>
      <c r="BG27" s="5"/>
      <c r="BH27" s="19"/>
      <c r="BI27" s="19"/>
      <c r="BJ27" s="5"/>
      <c r="BM27" s="19"/>
      <c r="BN27" s="5"/>
      <c r="BQ27" s="19"/>
      <c r="BR27" s="5"/>
      <c r="BU27" s="19"/>
      <c r="BV27" s="5"/>
      <c r="BY27" s="19"/>
      <c r="BZ27" s="5"/>
      <c r="CC27" s="19"/>
      <c r="CD27" s="5"/>
      <c r="CG27" s="17"/>
      <c r="CH27" s="17"/>
      <c r="CJ27" s="17"/>
      <c r="CK27" s="17"/>
      <c r="CL27" s="17"/>
      <c r="CR27" s="1"/>
      <c r="CU27" s="22"/>
      <c r="DD27" s="17"/>
      <c r="DE27" s="27"/>
      <c r="DK27" s="17"/>
      <c r="DL27" s="22"/>
      <c r="DP27" s="17"/>
      <c r="DQ27" s="22"/>
      <c r="DT27" s="17"/>
      <c r="DU27" s="3"/>
      <c r="DV27" s="1"/>
      <c r="DX27" s="17"/>
      <c r="DY27" s="3"/>
      <c r="EB27" s="17"/>
      <c r="EC27" s="3"/>
      <c r="EF27" s="17"/>
      <c r="EG27" s="3"/>
      <c r="EI27" s="36"/>
      <c r="EJ27" s="17"/>
      <c r="EK27" s="3"/>
      <c r="EN27" s="17"/>
      <c r="EO27" s="5"/>
      <c r="ER27" s="17"/>
      <c r="ES27" s="3"/>
      <c r="EV27" s="17"/>
      <c r="EW27" s="3"/>
      <c r="FP27" s="17"/>
      <c r="FQ27" s="3"/>
      <c r="FT27" s="17"/>
      <c r="FU27" s="5"/>
      <c r="FX27" s="17"/>
      <c r="FY27" s="3"/>
      <c r="GB27" s="17"/>
      <c r="GC27" s="5"/>
      <c r="GF27" s="17"/>
      <c r="GG27" s="3"/>
      <c r="GK27" s="17"/>
      <c r="GL27" s="3"/>
      <c r="GO27" s="17"/>
      <c r="GP27" s="3"/>
      <c r="GS27" s="17"/>
      <c r="GT27" s="3"/>
      <c r="GW27" s="17"/>
      <c r="GX27" s="41"/>
      <c r="HE27" s="17"/>
      <c r="HF27" s="12"/>
      <c r="HH27" s="1"/>
      <c r="HI27" s="3"/>
      <c r="HL27" s="48"/>
      <c r="HM27" s="27"/>
      <c r="HN27" s="17"/>
      <c r="HO27" s="22"/>
      <c r="HP27" s="58"/>
      <c r="HS27" s="55"/>
      <c r="HT27" s="27"/>
      <c r="HU27" s="17"/>
      <c r="HV27" s="69"/>
      <c r="HW27" s="74"/>
      <c r="IA27" s="55" t="s">
        <v>232</v>
      </c>
      <c r="IB27" s="80">
        <v>433.33333333333331</v>
      </c>
      <c r="IC27" s="17"/>
      <c r="ID27" s="69"/>
      <c r="IE27" s="74">
        <f>+IB27</f>
        <v>433.33333333333331</v>
      </c>
      <c r="IH27" s="1"/>
      <c r="II27" s="55" t="s">
        <v>233</v>
      </c>
      <c r="IJ27" s="80">
        <v>433.33333333333331</v>
      </c>
      <c r="IK27" s="17"/>
      <c r="IL27" s="69"/>
      <c r="IM27" s="74">
        <f>+IJ27</f>
        <v>433.33333333333331</v>
      </c>
    </row>
    <row r="28" spans="6:256">
      <c r="G28" s="3"/>
      <c r="J28" s="3"/>
      <c r="M28" s="5"/>
      <c r="N28" s="5"/>
      <c r="O28"/>
      <c r="P28" s="5"/>
      <c r="Q28" s="5"/>
      <c r="R28"/>
      <c r="S28" s="3"/>
      <c r="V28" s="3"/>
      <c r="Y28" s="9"/>
      <c r="AB28" s="5"/>
      <c r="AE28" s="5"/>
      <c r="AH28" s="3"/>
      <c r="AK28" s="5"/>
      <c r="AN28" s="5"/>
      <c r="AQ28" s="5"/>
      <c r="BC28" s="3"/>
      <c r="BD28" s="1"/>
      <c r="BE28" s="4"/>
      <c r="BF28" s="5"/>
      <c r="BG28" s="5"/>
      <c r="BH28" s="19"/>
      <c r="BI28" s="19"/>
      <c r="BJ28" s="5"/>
      <c r="BM28" s="19"/>
      <c r="BN28" s="5"/>
      <c r="BQ28" s="19"/>
      <c r="BR28" s="5"/>
      <c r="BU28" s="19"/>
      <c r="BV28" s="5"/>
      <c r="BY28" s="19"/>
      <c r="BZ28" s="5"/>
      <c r="CC28" s="19"/>
      <c r="CD28" s="5"/>
      <c r="CG28" s="17"/>
      <c r="CH28" s="17"/>
      <c r="CJ28" s="17"/>
      <c r="CK28" s="17"/>
      <c r="CL28" s="17"/>
      <c r="CR28" s="1"/>
      <c r="CU28" s="22"/>
      <c r="DD28" s="17"/>
      <c r="DE28" s="27"/>
      <c r="DK28" s="17"/>
      <c r="DL28" s="22"/>
      <c r="DP28" s="17"/>
      <c r="DQ28" s="22"/>
      <c r="DT28" s="17"/>
      <c r="DU28" s="3"/>
      <c r="DV28" s="1"/>
      <c r="DX28" s="17"/>
      <c r="DY28" s="3"/>
      <c r="EB28" s="17"/>
      <c r="EC28" s="3"/>
      <c r="EF28" s="17"/>
      <c r="EG28" s="3"/>
      <c r="EI28" s="36"/>
      <c r="EJ28" s="17"/>
      <c r="EK28" s="3"/>
      <c r="EN28" s="17"/>
      <c r="EO28" s="5"/>
      <c r="ER28" s="17"/>
      <c r="ES28" s="3"/>
      <c r="EV28" s="17"/>
      <c r="EW28" s="3"/>
      <c r="FP28" s="17"/>
      <c r="FQ28" s="3"/>
      <c r="FT28" s="17"/>
      <c r="FU28" s="5"/>
      <c r="FX28" s="17"/>
      <c r="FY28" s="3"/>
      <c r="GB28" s="17"/>
      <c r="GC28" s="5"/>
      <c r="GF28" s="17"/>
      <c r="GG28" s="3"/>
      <c r="GK28" s="17"/>
      <c r="GL28" s="3"/>
      <c r="GO28" s="17"/>
      <c r="GP28" s="3"/>
      <c r="GS28" s="17"/>
      <c r="GT28" s="3"/>
      <c r="GW28" s="17"/>
      <c r="GX28" s="41"/>
      <c r="HE28" s="17"/>
      <c r="HF28" s="12"/>
      <c r="HH28" s="1"/>
      <c r="HI28" s="3"/>
      <c r="HL28" s="48"/>
      <c r="HM28" s="27"/>
      <c r="HN28" s="17"/>
      <c r="HO28" s="22"/>
      <c r="HP28" s="58"/>
      <c r="HS28" s="55"/>
      <c r="HT28" s="27"/>
      <c r="HU28" s="17"/>
      <c r="HV28" s="69"/>
      <c r="HW28" s="74"/>
      <c r="IA28" s="55" t="s">
        <v>234</v>
      </c>
      <c r="IB28" s="80">
        <v>114</v>
      </c>
      <c r="IC28" s="17"/>
      <c r="ID28" s="69"/>
      <c r="IE28" s="74">
        <f>+IB28</f>
        <v>114</v>
      </c>
      <c r="II28" s="55" t="s">
        <v>235</v>
      </c>
      <c r="IJ28" s="80">
        <v>114</v>
      </c>
      <c r="IK28" s="17"/>
      <c r="IL28" s="69"/>
      <c r="IM28" s="74">
        <f>+IJ28</f>
        <v>114</v>
      </c>
    </row>
    <row r="29" spans="6:256">
      <c r="G29" s="3"/>
      <c r="J29" s="3"/>
      <c r="M29" s="5"/>
      <c r="N29" s="5"/>
      <c r="O29"/>
      <c r="P29" s="5"/>
      <c r="Q29" s="5"/>
      <c r="R29"/>
      <c r="S29" s="3"/>
      <c r="V29" s="3"/>
      <c r="Y29" s="9"/>
      <c r="AB29" s="5"/>
      <c r="AE29" s="5"/>
      <c r="AH29" s="3"/>
      <c r="AK29" s="5"/>
      <c r="AN29" s="5"/>
      <c r="AQ29" s="5"/>
      <c r="BC29" s="3"/>
      <c r="BD29" s="1"/>
      <c r="BE29" s="4"/>
      <c r="BF29" s="5"/>
      <c r="BG29" s="5"/>
      <c r="BH29" s="19"/>
      <c r="BI29" s="19"/>
      <c r="BJ29" s="5"/>
      <c r="BM29" s="19"/>
      <c r="BN29" s="5"/>
      <c r="BQ29" s="19"/>
      <c r="BR29" s="5"/>
      <c r="BU29" s="19"/>
      <c r="BV29" s="5"/>
      <c r="BY29" s="19"/>
      <c r="BZ29" s="5"/>
      <c r="CC29" s="19"/>
      <c r="CD29" s="5"/>
      <c r="CG29" s="17"/>
      <c r="CH29" s="17"/>
      <c r="CJ29" s="17"/>
      <c r="CK29" s="17"/>
      <c r="CL29" s="17"/>
      <c r="CR29" s="1"/>
      <c r="CU29" s="22"/>
      <c r="DD29" s="17"/>
      <c r="DE29" s="27"/>
      <c r="DK29" s="17"/>
      <c r="DL29" s="22"/>
      <c r="DP29" s="17"/>
      <c r="DQ29" s="22"/>
      <c r="DT29" s="17"/>
      <c r="DU29" s="3"/>
      <c r="DV29" s="1"/>
      <c r="DX29" s="17"/>
      <c r="DY29" s="3"/>
      <c r="EB29" s="17"/>
      <c r="EC29" s="3"/>
      <c r="EF29" s="17"/>
      <c r="EG29" s="3"/>
      <c r="EI29" s="36"/>
      <c r="EJ29" s="17"/>
      <c r="EK29" s="3"/>
      <c r="EN29" s="17"/>
      <c r="EO29" s="5"/>
      <c r="ER29" s="17"/>
      <c r="ES29" s="3"/>
      <c r="EV29" s="17"/>
      <c r="EW29" s="3"/>
      <c r="FP29" s="17"/>
      <c r="FQ29" s="3"/>
      <c r="FT29" s="17"/>
      <c r="FU29" s="5"/>
      <c r="FX29" s="17"/>
      <c r="FY29" s="3"/>
      <c r="GB29" s="17"/>
      <c r="GC29" s="5"/>
      <c r="GF29" s="17"/>
      <c r="GG29" s="3"/>
      <c r="GK29" s="17"/>
      <c r="GL29" s="3"/>
      <c r="GO29" s="17"/>
      <c r="GP29" s="3"/>
      <c r="GS29" s="17"/>
      <c r="GT29" s="3"/>
      <c r="GW29" s="17"/>
      <c r="GX29" s="41"/>
      <c r="HE29" s="17"/>
      <c r="HF29" s="4"/>
      <c r="HH29" s="1"/>
      <c r="HI29" s="5"/>
      <c r="HL29" s="48" t="s">
        <v>183</v>
      </c>
      <c r="HM29" s="27">
        <v>500</v>
      </c>
      <c r="HN29" s="49"/>
      <c r="HO29" s="61">
        <v>500</v>
      </c>
      <c r="HP29" s="60"/>
      <c r="HS29" s="55" t="s">
        <v>183</v>
      </c>
      <c r="HT29" s="27">
        <v>970</v>
      </c>
      <c r="HU29" s="17"/>
      <c r="HV29" s="69">
        <f>+HT29*$HV$6</f>
        <v>558.98305084745766</v>
      </c>
      <c r="HW29" s="74">
        <f>+HT29*$HW$6</f>
        <v>411.01694915254234</v>
      </c>
      <c r="HY29">
        <v>850</v>
      </c>
      <c r="IA29" s="78" t="s">
        <v>183</v>
      </c>
      <c r="IB29" s="27">
        <v>200</v>
      </c>
      <c r="IC29" s="17"/>
      <c r="ID29" s="69">
        <f>+IB29*$ID$6</f>
        <v>118.57506361323156</v>
      </c>
      <c r="IE29" s="74">
        <f>+IB29*$IE$6</f>
        <v>81.424936386768437</v>
      </c>
      <c r="II29" s="55" t="s">
        <v>183</v>
      </c>
      <c r="IJ29" s="27">
        <v>550</v>
      </c>
      <c r="IK29" s="17"/>
      <c r="IL29" s="83">
        <f>+IJ29*$IL$6</f>
        <v>334.67260448272486</v>
      </c>
      <c r="IM29" s="74">
        <f>+IJ29*$IM$6*0</f>
        <v>0</v>
      </c>
    </row>
    <row r="30" spans="6:256">
      <c r="G30" s="3"/>
      <c r="J30" s="3"/>
      <c r="M30" s="5"/>
      <c r="N30" s="5"/>
      <c r="O30"/>
      <c r="P30" s="5"/>
      <c r="Q30" s="5"/>
      <c r="R30"/>
      <c r="S30" s="3"/>
      <c r="V30" s="3"/>
      <c r="Y30" s="9"/>
      <c r="AB30" s="5"/>
      <c r="AE30" s="5"/>
      <c r="AH30" s="3"/>
      <c r="AK30" s="5"/>
      <c r="AN30" s="5"/>
      <c r="AQ30" s="5"/>
      <c r="BC30" s="3"/>
      <c r="BD30" s="1"/>
      <c r="BE30" s="4"/>
      <c r="BF30" s="5"/>
      <c r="BG30" s="5"/>
      <c r="BH30" s="19"/>
      <c r="BI30" s="19"/>
      <c r="BJ30" s="5"/>
      <c r="BM30" s="19"/>
      <c r="BN30" s="5"/>
      <c r="BQ30" s="19"/>
      <c r="BR30" s="5"/>
      <c r="BU30" s="19"/>
      <c r="BV30" s="5"/>
      <c r="BY30" s="19"/>
      <c r="BZ30" s="5"/>
      <c r="CC30" s="19"/>
      <c r="CD30" s="5"/>
      <c r="CG30" s="17"/>
      <c r="CH30" s="17"/>
      <c r="CJ30" s="17"/>
      <c r="CK30" s="17"/>
      <c r="CL30" s="17"/>
      <c r="CR30" s="1"/>
      <c r="CU30" s="22"/>
      <c r="DD30" s="17"/>
      <c r="DE30" s="27"/>
      <c r="DK30" s="17"/>
      <c r="DL30" s="22"/>
      <c r="DP30" s="17"/>
      <c r="DQ30" s="22"/>
      <c r="DT30" s="17"/>
      <c r="DU30" s="3"/>
      <c r="DV30" s="1"/>
      <c r="DX30" s="17"/>
      <c r="DY30" s="3"/>
      <c r="EB30" s="17"/>
      <c r="EC30" s="3"/>
      <c r="EF30" s="17"/>
      <c r="EG30" s="3"/>
      <c r="EI30" s="36"/>
      <c r="EJ30" s="17"/>
      <c r="EK30" s="3"/>
      <c r="EN30" s="17"/>
      <c r="EO30" s="5"/>
      <c r="ER30" s="17"/>
      <c r="ES30" s="3"/>
      <c r="EV30" s="17"/>
      <c r="EW30" s="3"/>
      <c r="FP30" s="17"/>
      <c r="FQ30" s="3"/>
      <c r="FT30" s="17"/>
      <c r="FU30" s="5"/>
      <c r="FX30" s="17"/>
      <c r="FY30" s="3"/>
      <c r="GB30" s="17"/>
      <c r="GC30" s="5"/>
      <c r="GF30" s="17"/>
      <c r="GG30" s="3"/>
      <c r="GK30" s="17"/>
      <c r="GL30" s="3"/>
      <c r="GO30" s="17"/>
      <c r="GP30" s="3"/>
      <c r="GS30" s="17"/>
      <c r="GT30" s="3"/>
      <c r="GW30" s="17"/>
      <c r="GX30" s="41"/>
      <c r="HE30" s="17"/>
      <c r="HF30" s="4"/>
      <c r="HH30" s="1"/>
      <c r="HI30" s="5"/>
      <c r="HL30" s="48"/>
      <c r="HM30" s="27"/>
      <c r="HN30" s="49"/>
      <c r="HO30" s="61"/>
      <c r="HP30" s="60"/>
      <c r="HS30" s="55"/>
      <c r="HT30" s="27"/>
      <c r="HU30" s="17"/>
      <c r="HV30" s="69"/>
      <c r="HW30" s="74"/>
      <c r="IA30" s="55" t="s">
        <v>84</v>
      </c>
      <c r="IB30" s="22">
        <v>150</v>
      </c>
      <c r="IC30" s="17"/>
      <c r="ID30" s="69">
        <f>+IB30</f>
        <v>150</v>
      </c>
      <c r="IE30" s="74"/>
      <c r="II30" s="55" t="s">
        <v>84</v>
      </c>
      <c r="IJ30" s="27">
        <v>150</v>
      </c>
      <c r="IK30" s="17"/>
      <c r="IL30" s="69">
        <f>+IJ30</f>
        <v>150</v>
      </c>
      <c r="IM30" s="74"/>
    </row>
    <row r="31" spans="6:256" ht="15.75" thickBot="1">
      <c r="G31" s="3"/>
      <c r="J31" s="3"/>
      <c r="M31" s="5"/>
      <c r="N31" s="5"/>
      <c r="O31"/>
      <c r="P31" s="5"/>
      <c r="Q31" s="5"/>
      <c r="R31"/>
      <c r="S31" s="3"/>
      <c r="V31" s="3"/>
      <c r="Y31" s="9"/>
      <c r="AB31" s="5"/>
      <c r="AE31" s="5"/>
      <c r="AH31" s="3"/>
      <c r="AK31" s="5"/>
      <c r="AN31" s="5"/>
      <c r="AQ31" s="5"/>
      <c r="BC31" s="3"/>
      <c r="BD31" s="1"/>
      <c r="BE31" s="4"/>
      <c r="BF31" s="5"/>
      <c r="BG31" s="5"/>
      <c r="BH31" s="19"/>
      <c r="BI31" s="19"/>
      <c r="BJ31" s="5"/>
      <c r="BM31" s="19"/>
      <c r="BN31" s="5"/>
      <c r="BQ31" s="19"/>
      <c r="BR31" s="5"/>
      <c r="BU31" s="19"/>
      <c r="BV31" s="5"/>
      <c r="BY31" s="19"/>
      <c r="BZ31" s="5"/>
      <c r="CC31" s="19"/>
      <c r="CD31" s="5"/>
      <c r="CG31" s="17"/>
      <c r="CH31" s="17"/>
      <c r="CJ31" s="17"/>
      <c r="CK31" s="17"/>
      <c r="CL31" s="17"/>
      <c r="CR31" s="1"/>
      <c r="CU31" s="22"/>
      <c r="DD31" s="17"/>
      <c r="DE31" s="27"/>
      <c r="DK31" s="17"/>
      <c r="DL31" s="22"/>
      <c r="DP31" s="17"/>
      <c r="DQ31" s="22"/>
      <c r="DT31" s="17"/>
      <c r="DU31" s="3"/>
      <c r="DV31" s="1"/>
      <c r="DX31" s="17"/>
      <c r="DY31" s="3"/>
      <c r="EB31" s="17"/>
      <c r="EC31" s="3"/>
      <c r="EF31" s="17"/>
      <c r="EG31" s="3"/>
      <c r="EI31" s="36"/>
      <c r="EJ31" s="17"/>
      <c r="EK31" s="3"/>
      <c r="EN31" s="17"/>
      <c r="EO31" s="5"/>
      <c r="ER31" s="17"/>
      <c r="ES31" s="3"/>
      <c r="EV31" s="17"/>
      <c r="EW31" s="3"/>
      <c r="FP31" s="17"/>
      <c r="FQ31" s="3"/>
      <c r="FT31" s="17"/>
      <c r="FU31" s="5"/>
      <c r="FX31" s="17"/>
      <c r="FY31" s="3"/>
      <c r="GB31" s="17"/>
      <c r="GC31" s="5"/>
      <c r="GF31" s="17"/>
      <c r="GG31" s="3"/>
      <c r="GK31" s="17"/>
      <c r="GL31" s="3"/>
      <c r="GO31" s="17"/>
      <c r="GP31" s="3"/>
      <c r="GS31" s="17"/>
      <c r="GT31" s="3"/>
      <c r="GW31" s="17"/>
      <c r="GX31" s="41"/>
      <c r="HE31" s="17"/>
      <c r="HF31" s="4"/>
      <c r="HH31" s="1"/>
      <c r="HI31" s="5"/>
      <c r="HL31" s="48"/>
      <c r="HM31" s="17"/>
      <c r="HN31" s="61"/>
      <c r="HO31" s="61"/>
      <c r="HP31" s="60"/>
      <c r="HS31" s="55" t="s">
        <v>226</v>
      </c>
      <c r="HT31" s="14">
        <f>128.34+266.68</f>
        <v>395.02</v>
      </c>
      <c r="HU31" s="61"/>
      <c r="HV31" s="70">
        <v>395.02</v>
      </c>
      <c r="HW31" s="75"/>
      <c r="HY31">
        <f>+HY29+HY26+HY24</f>
        <v>4700</v>
      </c>
      <c r="IA31" s="55" t="s">
        <v>227</v>
      </c>
      <c r="IB31" s="82">
        <f>128.34+266.68</f>
        <v>395.02</v>
      </c>
      <c r="IC31" s="61"/>
      <c r="ID31" s="70">
        <v>395.02</v>
      </c>
      <c r="IE31" s="75"/>
      <c r="II31" s="55" t="s">
        <v>228</v>
      </c>
      <c r="IJ31" s="82">
        <f>128.34+266.68</f>
        <v>395.02</v>
      </c>
      <c r="IK31" s="61"/>
      <c r="IL31" s="70">
        <v>395.02</v>
      </c>
      <c r="IM31" s="75"/>
    </row>
    <row r="32" spans="6:256">
      <c r="G32" s="3"/>
      <c r="J32" s="3"/>
      <c r="M32" s="5"/>
      <c r="N32" s="5"/>
      <c r="O32"/>
      <c r="P32" s="5"/>
      <c r="Q32" s="5"/>
      <c r="R32"/>
      <c r="S32" s="3"/>
      <c r="V32" s="3"/>
      <c r="Y32" s="9"/>
      <c r="AB32" s="5"/>
      <c r="AE32" s="5"/>
      <c r="AH32" s="3"/>
      <c r="AK32" s="5"/>
      <c r="AN32" s="5"/>
      <c r="AQ32" s="5"/>
      <c r="BC32" s="3"/>
      <c r="BD32" s="1"/>
      <c r="BE32" s="4"/>
      <c r="BF32" s="5"/>
      <c r="BG32" s="5"/>
      <c r="BH32" s="19"/>
      <c r="BI32" s="19"/>
      <c r="BJ32" s="5"/>
      <c r="BM32" s="19"/>
      <c r="BN32" s="5"/>
      <c r="BQ32" s="19"/>
      <c r="BR32" s="5"/>
      <c r="BU32" s="19"/>
      <c r="BV32" s="5"/>
      <c r="BY32" s="19"/>
      <c r="BZ32" s="5"/>
      <c r="CC32" s="19"/>
      <c r="CD32" s="5"/>
      <c r="CG32" s="17"/>
      <c r="CH32" s="17"/>
      <c r="CJ32" s="17"/>
      <c r="CK32" s="17"/>
      <c r="CL32" s="17"/>
      <c r="CR32" s="1"/>
      <c r="CU32" s="22"/>
      <c r="DD32" s="17"/>
      <c r="DE32" s="27"/>
      <c r="DK32" s="17"/>
      <c r="DL32" s="22"/>
      <c r="DP32" s="17"/>
      <c r="DQ32" s="22"/>
      <c r="DT32" s="17"/>
      <c r="DU32" s="3"/>
      <c r="DV32" s="1"/>
      <c r="DX32" s="17"/>
      <c r="DY32" s="3"/>
      <c r="EB32" s="17"/>
      <c r="EC32" s="3"/>
      <c r="EF32" s="17"/>
      <c r="EG32" s="3"/>
      <c r="EI32" s="36"/>
      <c r="EJ32" s="17"/>
      <c r="EK32" s="3"/>
      <c r="EN32" s="17"/>
      <c r="EO32" s="5"/>
      <c r="ER32" s="17"/>
      <c r="ES32" s="3"/>
      <c r="EV32" s="17"/>
      <c r="EW32" s="3"/>
      <c r="FP32" s="17"/>
      <c r="FQ32" s="3"/>
      <c r="FT32" s="17"/>
      <c r="FU32" s="5"/>
      <c r="FX32" s="17"/>
      <c r="FY32" s="3"/>
      <c r="GB32" s="17"/>
      <c r="GC32" s="5"/>
      <c r="GF32" s="17"/>
      <c r="GG32" s="3"/>
      <c r="GK32" s="17"/>
      <c r="GL32" s="3"/>
      <c r="GO32" s="17"/>
      <c r="GP32" s="3"/>
      <c r="GS32" s="17"/>
      <c r="GT32" s="3"/>
      <c r="GW32" s="17"/>
      <c r="GX32" s="41"/>
      <c r="HE32" s="17"/>
      <c r="HF32" s="4"/>
      <c r="HH32" s="1"/>
      <c r="HI32" s="5"/>
      <c r="HL32" s="48"/>
      <c r="HM32" s="17"/>
      <c r="HN32" s="49"/>
      <c r="HO32" s="61"/>
      <c r="HP32" s="60"/>
      <c r="HS32" s="55"/>
      <c r="HT32" s="17"/>
      <c r="HU32" s="49"/>
      <c r="HV32" s="61"/>
      <c r="HW32" s="60"/>
      <c r="HY32" s="1">
        <f>+HY31-HT10-HM10-HT11-HT14-HT19-HV23-HW23</f>
        <v>1080</v>
      </c>
      <c r="IA32" s="55"/>
      <c r="IB32" s="17"/>
      <c r="IC32" s="49"/>
      <c r="ID32" s="61"/>
      <c r="IE32" s="60"/>
      <c r="II32" s="55"/>
      <c r="IJ32" s="17"/>
      <c r="IK32" s="49"/>
      <c r="IL32" s="61"/>
      <c r="IM32" s="60"/>
    </row>
    <row r="33" spans="6:252">
      <c r="G33" s="3"/>
      <c r="J33" s="3"/>
      <c r="M33" s="5"/>
      <c r="N33" s="5"/>
      <c r="O33"/>
      <c r="P33" s="5"/>
      <c r="Q33" s="5"/>
      <c r="R33" t="s">
        <v>35</v>
      </c>
      <c r="S33" s="3">
        <v>150</v>
      </c>
      <c r="V33" s="5"/>
      <c r="X33" t="s">
        <v>38</v>
      </c>
      <c r="Y33" s="9">
        <v>100</v>
      </c>
      <c r="AA33" t="s">
        <v>38</v>
      </c>
      <c r="AB33" s="3">
        <v>150</v>
      </c>
      <c r="AD33" t="s">
        <v>40</v>
      </c>
      <c r="AE33" s="3">
        <v>50</v>
      </c>
      <c r="AG33" t="s">
        <v>40</v>
      </c>
      <c r="AH33" s="3">
        <v>50</v>
      </c>
      <c r="AJ33" t="s">
        <v>49</v>
      </c>
      <c r="AK33" s="5">
        <f>50+100</f>
        <v>150</v>
      </c>
      <c r="AN33" s="5"/>
      <c r="AQ33" s="5"/>
      <c r="AT33" s="5"/>
      <c r="BH33" s="4"/>
      <c r="BI33" s="4"/>
      <c r="BM33" s="4"/>
      <c r="BQ33" s="4"/>
      <c r="BU33" s="4"/>
      <c r="BY33" s="4"/>
      <c r="CC33" s="4"/>
      <c r="CJ33" s="17"/>
      <c r="CR33" s="1"/>
      <c r="DK33" s="17" t="s">
        <v>126</v>
      </c>
      <c r="DL33" s="27">
        <v>410</v>
      </c>
      <c r="DP33" s="17" t="s">
        <v>126</v>
      </c>
      <c r="DQ33" s="3">
        <v>410</v>
      </c>
      <c r="DV33" s="1"/>
      <c r="EG33" s="4"/>
      <c r="EI33" s="36"/>
      <c r="EK33" s="4"/>
      <c r="EM33" s="1"/>
      <c r="EO33" s="5"/>
      <c r="ES33" s="5"/>
      <c r="EW33" s="5"/>
      <c r="FA33" s="5"/>
      <c r="FE33" s="5"/>
      <c r="FI33" s="5"/>
      <c r="FM33" s="5"/>
      <c r="FQ33" s="5"/>
      <c r="FU33" s="5"/>
      <c r="FY33" s="5"/>
      <c r="GC33" s="5"/>
      <c r="GF33" s="17" t="s">
        <v>183</v>
      </c>
      <c r="GG33" s="3">
        <v>500</v>
      </c>
      <c r="GK33" s="4"/>
      <c r="GL33" s="5"/>
      <c r="GO33" s="4"/>
      <c r="GP33" s="5"/>
      <c r="GS33" s="4"/>
      <c r="GT33" s="5"/>
      <c r="GW33" s="4"/>
      <c r="GX33" s="5"/>
      <c r="HA33" s="4"/>
      <c r="HB33" s="5"/>
      <c r="HE33" s="4"/>
      <c r="HF33" s="5"/>
      <c r="HH33" s="5"/>
      <c r="HI33" s="5"/>
      <c r="HL33" s="48"/>
      <c r="HM33" s="22"/>
      <c r="HN33" s="49"/>
      <c r="HO33" s="22"/>
      <c r="HP33" s="60"/>
      <c r="HS33" s="55"/>
      <c r="HT33" s="22"/>
      <c r="HU33" s="49"/>
      <c r="HV33" s="22"/>
      <c r="HW33" s="60"/>
      <c r="IA33" s="55"/>
      <c r="IB33" s="22"/>
      <c r="IC33" s="49"/>
      <c r="ID33" s="22"/>
      <c r="IE33" s="60"/>
      <c r="II33" s="55"/>
      <c r="IJ33" s="22"/>
      <c r="IK33" s="49"/>
      <c r="IL33" s="22"/>
      <c r="IM33" s="60"/>
      <c r="IR33" t="s">
        <v>247</v>
      </c>
    </row>
    <row r="34" spans="6:252">
      <c r="F34" t="s">
        <v>17</v>
      </c>
      <c r="G34" s="3">
        <f>33.75+72.41</f>
        <v>106.16</v>
      </c>
      <c r="I34" t="s">
        <v>23</v>
      </c>
      <c r="J34" s="3">
        <v>175</v>
      </c>
      <c r="L34" t="s">
        <v>26</v>
      </c>
      <c r="M34" s="3">
        <f>25+100</f>
        <v>125</v>
      </c>
      <c r="N34" s="5"/>
      <c r="O34"/>
      <c r="P34" s="5"/>
      <c r="Q34" s="5"/>
      <c r="R34" t="s">
        <v>32</v>
      </c>
      <c r="S34" s="3">
        <f>65+75</f>
        <v>140</v>
      </c>
      <c r="V34" s="5"/>
      <c r="Y34" s="5"/>
      <c r="AB34" s="5"/>
      <c r="AD34" t="s">
        <v>38</v>
      </c>
      <c r="AE34" s="5">
        <v>150</v>
      </c>
      <c r="AK34" s="1">
        <f>SUM(AK8:AK33)</f>
        <v>2887.35</v>
      </c>
      <c r="AM34" t="s">
        <v>12</v>
      </c>
      <c r="AN34" s="1">
        <f>SUM(AN8:AN33)</f>
        <v>2781.81</v>
      </c>
      <c r="AP34" t="s">
        <v>12</v>
      </c>
      <c r="AQ34" s="1">
        <f>SUM(AQ8:AQ33)</f>
        <v>2921.2400000000002</v>
      </c>
      <c r="AS34" t="s">
        <v>12</v>
      </c>
      <c r="AT34" s="1">
        <f>SUM(AT8:AT33)</f>
        <v>2975.96</v>
      </c>
      <c r="AW34" s="1">
        <f>SUM(AW8:AW33)</f>
        <v>3221.8179999999998</v>
      </c>
      <c r="AZ34" s="1">
        <f>SUM(AZ8:AZ33)</f>
        <v>3416.33</v>
      </c>
      <c r="BC34" s="1">
        <f>SUM(BC8:BC33)</f>
        <v>4004.0899999999997</v>
      </c>
      <c r="BF34" s="1">
        <f>SUM(BF8:BF33)</f>
        <v>3889.7833333333338</v>
      </c>
      <c r="BG34" s="5"/>
      <c r="BH34" s="5"/>
      <c r="BI34" s="5"/>
      <c r="BJ34" s="1">
        <f>SUM(BJ8:BJ33)</f>
        <v>3054.5499999999997</v>
      </c>
      <c r="BM34" s="5"/>
      <c r="BN34" s="1">
        <f>SUM(BN8:BN33)</f>
        <v>1930.49</v>
      </c>
      <c r="BQ34" s="5"/>
      <c r="BR34" s="1">
        <f>SUM(BR8:BR33)</f>
        <v>3392.3199999999997</v>
      </c>
      <c r="BU34" s="5"/>
      <c r="BV34" s="1">
        <f>SUM(BV8:BV33)</f>
        <v>3292.5699999999997</v>
      </c>
      <c r="BY34" s="5"/>
      <c r="BZ34" s="1">
        <f>SUM(BZ8:BZ33)</f>
        <v>3215.83</v>
      </c>
      <c r="CC34" s="5"/>
      <c r="CD34" s="1">
        <f>SUM(CD8:CD33)</f>
        <v>3133.54</v>
      </c>
      <c r="CH34" s="1">
        <f>SUM(CH8:CH33)</f>
        <v>2679.31</v>
      </c>
      <c r="CJ34" s="17"/>
      <c r="CL34" s="1">
        <f>SUM(CL8:CL33)</f>
        <v>3866.78</v>
      </c>
      <c r="CQ34" s="1">
        <f>SUM(CQ8:CQ33)</f>
        <v>4166.93</v>
      </c>
      <c r="CR34" s="1"/>
      <c r="CS34">
        <v>1027.17</v>
      </c>
      <c r="CU34" s="1">
        <f>SUM(CU8:CU33)</f>
        <v>3733.17</v>
      </c>
      <c r="CY34" s="1">
        <f>SUM(CY8:CY33)</f>
        <v>4061.09</v>
      </c>
      <c r="DE34" s="1">
        <f>SUM(DE8:DE33)</f>
        <v>6098.4500000000007</v>
      </c>
      <c r="EB34" t="s">
        <v>136</v>
      </c>
      <c r="EC34" s="1">
        <f>SUM(EC8:EC24)</f>
        <v>6292.32</v>
      </c>
      <c r="EF34" t="s">
        <v>136</v>
      </c>
      <c r="EG34" s="5">
        <f>SUM(EG8:EG24)</f>
        <v>6927.46</v>
      </c>
      <c r="EI34" s="36"/>
      <c r="EJ34" t="s">
        <v>136</v>
      </c>
      <c r="EK34" s="5">
        <f>SUM(EK8:EK24)</f>
        <v>6699.0199999999995</v>
      </c>
      <c r="EM34" s="1"/>
      <c r="EN34" t="s">
        <v>136</v>
      </c>
      <c r="EO34" s="5">
        <f>SUM(EO8:EO24)</f>
        <v>9560.65</v>
      </c>
      <c r="ER34" t="s">
        <v>136</v>
      </c>
      <c r="ES34" s="5">
        <f>SUM(ES8:ES24)</f>
        <v>6995.25</v>
      </c>
      <c r="EV34" t="s">
        <v>136</v>
      </c>
      <c r="EW34" s="5">
        <f>SUM(EW8:EW24)</f>
        <v>6798.67</v>
      </c>
      <c r="EZ34" t="s">
        <v>136</v>
      </c>
      <c r="FA34" s="5">
        <f>SUM(FA8:FA33)</f>
        <v>6707.71</v>
      </c>
      <c r="FD34" t="s">
        <v>136</v>
      </c>
      <c r="FE34" s="5">
        <f>SUM(FE8:FE33)</f>
        <v>8832.77</v>
      </c>
      <c r="FH34" t="s">
        <v>136</v>
      </c>
      <c r="FI34" s="5">
        <f>SUM(FI8:FI33)</f>
        <v>7364.91</v>
      </c>
      <c r="FL34" t="s">
        <v>136</v>
      </c>
      <c r="FM34" s="5">
        <f>SUM(FM8:FM33)</f>
        <v>6747.880000000001</v>
      </c>
      <c r="FP34" t="s">
        <v>136</v>
      </c>
      <c r="FQ34" s="5">
        <f>SUM(FQ8:FQ33)</f>
        <v>4990.6733333333332</v>
      </c>
      <c r="FT34" t="s">
        <v>136</v>
      </c>
      <c r="FU34" s="5">
        <f>SUM(FU8:FU33)</f>
        <v>5384.5933333333323</v>
      </c>
      <c r="FX34" t="s">
        <v>136</v>
      </c>
      <c r="FY34" s="5">
        <f>SUM(FY8:FY33)</f>
        <v>7724.0733333333328</v>
      </c>
      <c r="GB34" t="s">
        <v>136</v>
      </c>
      <c r="GC34" s="5">
        <f>SUM(GC8:GC33)</f>
        <v>6680.09</v>
      </c>
      <c r="GK34" s="4" t="s">
        <v>136</v>
      </c>
      <c r="GL34" s="5">
        <f>SUM(GL8:GL33)</f>
        <v>6610.58</v>
      </c>
      <c r="GO34" s="4" t="s">
        <v>136</v>
      </c>
      <c r="GP34" s="5">
        <f>SUM(GP8:GP33)</f>
        <v>6330.5566666666655</v>
      </c>
      <c r="GS34" s="4" t="s">
        <v>136</v>
      </c>
      <c r="GT34" s="5">
        <f>SUM(GT8:GT33)</f>
        <v>8178.8833333333332</v>
      </c>
      <c r="GW34" s="4" t="s">
        <v>136</v>
      </c>
      <c r="GX34" s="5">
        <f>SUM(GX8:GX33)</f>
        <v>8058.1833333333343</v>
      </c>
      <c r="HA34" s="4" t="s">
        <v>136</v>
      </c>
      <c r="HB34" s="5">
        <f>SUM(HB8:HB33)</f>
        <v>7456.0666666666657</v>
      </c>
      <c r="HE34" s="4" t="s">
        <v>136</v>
      </c>
      <c r="HF34" s="5">
        <f>SUM(HF8:HF33)</f>
        <v>13927.666666666666</v>
      </c>
      <c r="HH34" s="5">
        <f>SUM(HH8:HH33)</f>
        <v>8510.6092219274979</v>
      </c>
      <c r="HI34" s="3">
        <f>SUM(HI8:HI33)</f>
        <v>5417.0574447391691</v>
      </c>
      <c r="HL34" s="48" t="s">
        <v>136</v>
      </c>
      <c r="HM34" s="22">
        <f>SUM(HM8:HM33)</f>
        <v>14870.675000000001</v>
      </c>
      <c r="HN34" s="49"/>
      <c r="HO34" s="22">
        <f>SUM(HO8:HO33)</f>
        <v>8895.2848041235229</v>
      </c>
      <c r="HP34" s="58">
        <f>SUM(HP8:HP33)</f>
        <v>5934.6443862667529</v>
      </c>
      <c r="HS34" s="55" t="s">
        <v>136</v>
      </c>
      <c r="HT34" s="22">
        <f>SUM(HT8:HT33)</f>
        <v>16210.57</v>
      </c>
      <c r="HU34" s="49"/>
      <c r="HV34" s="22">
        <f>SUM(HV8:HV33)</f>
        <v>7304.5850282485881</v>
      </c>
      <c r="HW34" s="58">
        <f>SUM(HW8:HW33)</f>
        <v>3585.9849717514126</v>
      </c>
      <c r="IA34" s="55" t="s">
        <v>136</v>
      </c>
      <c r="IB34" s="22">
        <f>SUM(IB8:IB33)</f>
        <v>16261.980000000001</v>
      </c>
      <c r="IC34" s="49"/>
      <c r="ID34" s="22">
        <f>SUM(ID8:ID33)</f>
        <v>9669.8707039864294</v>
      </c>
      <c r="IE34" s="58">
        <f>SUM(IE8:IE33)</f>
        <v>6592.1092960135702</v>
      </c>
      <c r="IF34" s="1"/>
      <c r="IG34" s="1"/>
      <c r="II34" s="55" t="s">
        <v>136</v>
      </c>
      <c r="IJ34" s="22">
        <f>SUM(IJ8:IJ33)</f>
        <v>18612.079999999998</v>
      </c>
      <c r="IK34" s="49"/>
      <c r="IL34" s="22">
        <f>SUM(IL8:IL33)</f>
        <v>11970.257992887671</v>
      </c>
      <c r="IM34" s="58">
        <f>SUM(IM8:IM33)</f>
        <v>4825.2417976574989</v>
      </c>
      <c r="IN34">
        <v>3823.42</v>
      </c>
      <c r="IO34" s="1">
        <f>+IM34-IN34</f>
        <v>1001.8217976574988</v>
      </c>
      <c r="IP34" s="1"/>
    </row>
    <row r="35" spans="6:252">
      <c r="F35" t="s">
        <v>21</v>
      </c>
      <c r="G35" s="3">
        <v>50</v>
      </c>
      <c r="J35" s="1"/>
      <c r="M35" s="1"/>
      <c r="N35" s="5"/>
      <c r="O35"/>
      <c r="P35" s="1"/>
      <c r="Q35" s="5"/>
      <c r="R35" t="s">
        <v>33</v>
      </c>
      <c r="S35" s="8">
        <v>39</v>
      </c>
      <c r="T35" t="s">
        <v>34</v>
      </c>
      <c r="V35" s="8"/>
      <c r="Y35" s="8"/>
      <c r="AB35" s="8"/>
      <c r="AE35" s="8"/>
      <c r="AQ35" s="1"/>
      <c r="AT35" s="1">
        <f>2930+293</f>
        <v>3223</v>
      </c>
      <c r="AW35" s="1">
        <f>+AW5-AW34</f>
        <v>628.18200000000024</v>
      </c>
      <c r="AZ35" s="1">
        <f>+AZ5-AZ34</f>
        <v>433.36999999999989</v>
      </c>
      <c r="BC35" s="1">
        <f>+BC5-BC34</f>
        <v>-154.38999999999987</v>
      </c>
      <c r="BF35" s="1">
        <f>+BF5-BF34</f>
        <v>-40.08333333333394</v>
      </c>
      <c r="BG35" s="5"/>
      <c r="BH35" s="5"/>
      <c r="BI35" s="5"/>
      <c r="BJ35" s="1">
        <f>+BJ5-BJ34</f>
        <v>795.45000000000027</v>
      </c>
      <c r="BM35" s="5"/>
      <c r="BN35" s="1">
        <f>+BN5-BN34</f>
        <v>1269.51</v>
      </c>
      <c r="BQ35" s="5"/>
      <c r="BR35" s="1">
        <f>+BR5-BR34</f>
        <v>107.68000000000029</v>
      </c>
      <c r="BU35" s="5"/>
      <c r="BV35" s="1">
        <f>+BV5-BV34</f>
        <v>135.89000000000033</v>
      </c>
      <c r="BY35" s="5"/>
      <c r="BZ35" s="1">
        <f>+BZ5-BZ34</f>
        <v>212.63000000000011</v>
      </c>
      <c r="CC35" s="5"/>
      <c r="CD35" s="1">
        <f>+CD5-CD34</f>
        <v>294.92000000000007</v>
      </c>
      <c r="CE35" s="1"/>
      <c r="CH35" s="1">
        <f>+CH5-CH34</f>
        <v>1574.4999999999995</v>
      </c>
      <c r="CL35" s="1">
        <f>+CL5-CL34</f>
        <v>633.2199999999998</v>
      </c>
      <c r="CQ35" s="1">
        <f>+CQ5-CQ34</f>
        <v>333.3799999999992</v>
      </c>
      <c r="CS35" s="1">
        <v>96.97</v>
      </c>
      <c r="CU35" s="1">
        <f>+CU5-CU34</f>
        <v>766.82999999999993</v>
      </c>
      <c r="CY35" s="1">
        <f>+CY5-CY34</f>
        <v>438.90999999999985</v>
      </c>
      <c r="DE35" s="1">
        <f>+DE3+DE5-DE34</f>
        <v>701.54999999999927</v>
      </c>
      <c r="EB35" t="s">
        <v>137</v>
      </c>
      <c r="EC35" s="1">
        <f>+EC2+EC3+EC4-EC34</f>
        <v>1007.6800000000003</v>
      </c>
      <c r="EF35" t="s">
        <v>137</v>
      </c>
      <c r="EG35" s="1">
        <f>+EG2+EG3+EG4-EG34</f>
        <v>372.53999999999996</v>
      </c>
      <c r="EI35" s="36"/>
      <c r="EJ35" t="s">
        <v>137</v>
      </c>
      <c r="EK35" s="1">
        <f>+EK2+EK3+EK4-EK34</f>
        <v>1300.9800000000005</v>
      </c>
      <c r="EM35" s="1"/>
      <c r="EN35" t="s">
        <v>137</v>
      </c>
      <c r="EO35" s="1">
        <f>+EO1+EO2+EO3+EO4-EO34</f>
        <v>439.35000000000036</v>
      </c>
      <c r="ER35" t="s">
        <v>137</v>
      </c>
      <c r="ES35" s="1">
        <f>+ES1+ES2+ES3+ES4-ES34</f>
        <v>1094.75</v>
      </c>
      <c r="EV35" t="s">
        <v>137</v>
      </c>
      <c r="EW35" s="1">
        <f>+EW1+EW2+EW3+EW4-EW34</f>
        <v>2551.33</v>
      </c>
      <c r="EZ35" t="s">
        <v>137</v>
      </c>
      <c r="FA35" s="1">
        <f>+FA1+FA2+FA3+FA4-FA34</f>
        <v>2707.29</v>
      </c>
      <c r="FD35" t="s">
        <v>137</v>
      </c>
      <c r="FE35" s="1">
        <f>+FE1+FE2+FE3+FE4-FE34</f>
        <v>1247.2299999999996</v>
      </c>
      <c r="FH35" t="s">
        <v>137</v>
      </c>
      <c r="FI35" s="1">
        <f>+FI1+FI2+FI3+FI4-FI34</f>
        <v>2065.09</v>
      </c>
      <c r="FL35" t="s">
        <v>137</v>
      </c>
      <c r="FM35" s="1">
        <f>+FM1+FM2+FM3+FM4-FM34</f>
        <v>2382.119999999999</v>
      </c>
      <c r="FP35" t="s">
        <v>137</v>
      </c>
      <c r="FQ35" s="1">
        <f>+FQ1+FQ2+FQ3+FQ4-FQ34</f>
        <v>3994.3266666666668</v>
      </c>
      <c r="FT35" t="s">
        <v>137</v>
      </c>
      <c r="FU35" s="1">
        <f>+FU1+FU2+FU3+FU4-FU34</f>
        <v>3630.4066666666677</v>
      </c>
      <c r="FX35" t="s">
        <v>137</v>
      </c>
      <c r="FY35" s="1">
        <f>+FY1+FY2+FY3+FY4-FY34</f>
        <v>1569.9266666666672</v>
      </c>
      <c r="GB35" t="s">
        <v>137</v>
      </c>
      <c r="GC35" s="1">
        <f>+GC1+GC2+GC3+GC4-GC34</f>
        <v>2251.91</v>
      </c>
      <c r="GF35" t="s">
        <v>136</v>
      </c>
      <c r="GG35" s="5">
        <f>SUM(GG8:GG34)</f>
        <v>8452.77</v>
      </c>
      <c r="GK35" s="4" t="s">
        <v>137</v>
      </c>
      <c r="GL35" s="5">
        <f>+GL1+GL2+GL3+GL4-GL34</f>
        <v>3921.42</v>
      </c>
      <c r="GO35" s="4" t="s">
        <v>137</v>
      </c>
      <c r="GP35" s="5">
        <f>+GP1+GP2+GP3+GP4-GP34</f>
        <v>4951.4433333333345</v>
      </c>
      <c r="GS35" s="4" t="s">
        <v>137</v>
      </c>
      <c r="GT35" s="5">
        <f>+GT1+GT2+GT3+GT4-GT34</f>
        <v>2905.1166666666668</v>
      </c>
      <c r="GW35" s="4" t="s">
        <v>137</v>
      </c>
      <c r="GX35" s="5">
        <f>+GX1+GX2+GX3+GX4-GX34</f>
        <v>2506.8166666666657</v>
      </c>
      <c r="HA35" s="4" t="s">
        <v>137</v>
      </c>
      <c r="HB35" s="5">
        <f>+HB1+HB2+HB3+HB4-HB34</f>
        <v>3378.9333333333343</v>
      </c>
      <c r="HE35" s="4" t="s">
        <v>137</v>
      </c>
      <c r="HF35" s="5">
        <f>+HF1+HF2+HF3+HF4-HF34</f>
        <v>-2242.6666666666661</v>
      </c>
      <c r="HH35" s="5">
        <f>+HF4-HH34</f>
        <v>2339.3907780725021</v>
      </c>
      <c r="HI35" s="5">
        <f>+HI4-HI34</f>
        <v>2582.9425552608309</v>
      </c>
      <c r="HL35" s="48" t="s">
        <v>137</v>
      </c>
      <c r="HM35" s="22">
        <f>+HM1+HM2+HM3+HM4-HM34</f>
        <v>-3482.9350000000013</v>
      </c>
      <c r="HN35" s="49"/>
      <c r="HO35" s="22">
        <f>+HM4-HO34</f>
        <v>2157.4551958764769</v>
      </c>
      <c r="HP35" s="60">
        <f>+HP4-HP34</f>
        <v>2065.3556137332471</v>
      </c>
      <c r="HS35" s="55" t="s">
        <v>137</v>
      </c>
      <c r="HT35" s="22">
        <f>+HT1+HT2+HT3+HT4+HW4-HT34</f>
        <v>3004.4300000000003</v>
      </c>
      <c r="HU35" s="49"/>
      <c r="HV35" s="22">
        <f>+HT4-HV34</f>
        <v>3575.4149717514119</v>
      </c>
      <c r="HW35" s="60">
        <f>+HW4-HW34</f>
        <v>4414.0150282485874</v>
      </c>
      <c r="IA35" s="55" t="s">
        <v>137</v>
      </c>
      <c r="IB35" s="22">
        <f>+IB1+IB2+IB3+IB4+IE4-IB34</f>
        <v>3723.0199999999986</v>
      </c>
      <c r="IC35" s="49"/>
      <c r="ID35" s="22">
        <f>+IB4-ID34</f>
        <v>1980.1292960135706</v>
      </c>
      <c r="IE35" s="60">
        <f>+IE4-IE34</f>
        <v>1407.8907039864298</v>
      </c>
      <c r="IG35" s="1"/>
      <c r="II35" s="55" t="s">
        <v>137</v>
      </c>
      <c r="IJ35" s="22">
        <f>+IJ1+IJ2+IJ3+IJ4+IM4-IJ34</f>
        <v>2480.9200000000019</v>
      </c>
      <c r="IK35" s="49"/>
      <c r="IL35" s="22">
        <f>+IJ4-IL34</f>
        <v>463.74200711232879</v>
      </c>
      <c r="IM35" s="60">
        <f>+IM4-IM34</f>
        <v>3174.7582023425011</v>
      </c>
    </row>
    <row r="36" spans="6:252">
      <c r="G36" s="1"/>
      <c r="J36" s="1"/>
      <c r="M36" s="1"/>
      <c r="N36" s="5"/>
      <c r="O36"/>
      <c r="P36" s="1"/>
      <c r="Q36" s="5"/>
      <c r="R36"/>
      <c r="S36" s="1"/>
      <c r="T36" s="1"/>
      <c r="V36" s="1"/>
      <c r="Y36" s="1"/>
      <c r="AB36" s="1"/>
      <c r="AE36" s="1"/>
      <c r="AT36" s="8">
        <f>+AT35-AT34</f>
        <v>247.03999999999996</v>
      </c>
      <c r="AU36" t="s">
        <v>53</v>
      </c>
      <c r="AW36">
        <v>2087.7399999999998</v>
      </c>
      <c r="AX36" t="s">
        <v>55</v>
      </c>
      <c r="BC36" t="s">
        <v>60</v>
      </c>
      <c r="BJ36" s="1"/>
      <c r="BV36">
        <f>25*3</f>
        <v>75</v>
      </c>
      <c r="BY36" t="s">
        <v>79</v>
      </c>
      <c r="BZ36">
        <f>25*3</f>
        <v>75</v>
      </c>
      <c r="CD36">
        <f>25*3</f>
        <v>75</v>
      </c>
      <c r="CE36" s="1"/>
      <c r="CH36">
        <f>25*3</f>
        <v>75</v>
      </c>
      <c r="CL36">
        <f>25*3</f>
        <v>75</v>
      </c>
      <c r="CQ36">
        <f>25*3</f>
        <v>75</v>
      </c>
      <c r="CS36" s="1">
        <f>+CS35+CS34</f>
        <v>1124.1400000000001</v>
      </c>
      <c r="DD36" t="s">
        <v>112</v>
      </c>
      <c r="DE36" s="1">
        <v>60</v>
      </c>
      <c r="DF36" t="s">
        <v>113</v>
      </c>
      <c r="DG36" s="1"/>
      <c r="DH36" s="1"/>
      <c r="DI36" s="1"/>
      <c r="DL36" s="1">
        <f>SUM(DL8:DL33)</f>
        <v>6383.0300000000007</v>
      </c>
      <c r="DQ36" s="1">
        <f>SUM(DQ8:DQ33)</f>
        <v>6133.59</v>
      </c>
      <c r="DR36" s="1"/>
      <c r="DU36" s="1">
        <f>SUM(DU8:DU33)</f>
        <v>6032.25</v>
      </c>
      <c r="FH36" t="s">
        <v>174</v>
      </c>
      <c r="FI36">
        <v>466.5</v>
      </c>
      <c r="FL36" t="s">
        <v>174</v>
      </c>
      <c r="FM36">
        <v>466.5</v>
      </c>
      <c r="FQ36" s="37"/>
      <c r="FU36" s="37"/>
      <c r="GC36">
        <f>+GC35/30</f>
        <v>75.063666666666663</v>
      </c>
      <c r="GF36" t="s">
        <v>137</v>
      </c>
      <c r="GG36" s="1">
        <f>+GG1+GG2+GG3+GG4-GG35</f>
        <v>1979.2299999999996</v>
      </c>
      <c r="GK36" s="4"/>
      <c r="GL36" s="4">
        <f>+GL35/30</f>
        <v>130.714</v>
      </c>
      <c r="GO36" s="4"/>
      <c r="GP36" s="4">
        <f>+GP35/30</f>
        <v>165.04811111111115</v>
      </c>
      <c r="GS36" s="4"/>
      <c r="GT36" s="4">
        <f>+GT35/30</f>
        <v>96.837222222222223</v>
      </c>
      <c r="GW36" s="4"/>
      <c r="GX36" s="4">
        <f>+GX35/30</f>
        <v>83.560555555555524</v>
      </c>
      <c r="HA36" s="4"/>
      <c r="HB36" s="4">
        <f>+HB35/30</f>
        <v>112.63111111111114</v>
      </c>
      <c r="HE36" s="4"/>
      <c r="HF36" s="4">
        <f>+HF35/30</f>
        <v>-74.755555555555532</v>
      </c>
      <c r="HH36" s="4"/>
      <c r="HI36" s="5"/>
      <c r="HL36" s="48"/>
      <c r="HM36" s="17">
        <f>+HM35/30</f>
        <v>-116.09783333333338</v>
      </c>
      <c r="HN36" s="49"/>
      <c r="HO36" s="17"/>
      <c r="HP36" s="60"/>
      <c r="HS36" s="48"/>
      <c r="HT36" s="17">
        <f>+HT35/30</f>
        <v>100.14766666666668</v>
      </c>
      <c r="HU36" s="49"/>
      <c r="HV36" s="17"/>
      <c r="HW36" s="60"/>
      <c r="IA36" s="48"/>
      <c r="IB36" s="17">
        <f>+IB35/30</f>
        <v>124.10066666666663</v>
      </c>
      <c r="IC36" s="49"/>
      <c r="ID36" s="17"/>
      <c r="IE36" s="60"/>
      <c r="II36" s="48"/>
      <c r="IJ36" s="17">
        <f>+IJ35/30</f>
        <v>82.69733333333339</v>
      </c>
      <c r="IK36" s="49"/>
      <c r="IL36" s="17"/>
      <c r="IM36" s="60"/>
    </row>
    <row r="37" spans="6:252">
      <c r="G37" s="1"/>
      <c r="J37" s="1"/>
      <c r="M37" s="1"/>
      <c r="N37" s="5"/>
      <c r="O37"/>
      <c r="P37" s="1"/>
      <c r="Q37" s="5"/>
      <c r="R37"/>
      <c r="S37" s="1"/>
      <c r="V37" s="1"/>
      <c r="Y37" s="1"/>
      <c r="AB37" s="1"/>
      <c r="AE37" s="1"/>
      <c r="AI37" s="10" t="s">
        <v>45</v>
      </c>
      <c r="AJ37" s="10" t="s">
        <v>46</v>
      </c>
      <c r="AK37" s="10" t="s">
        <v>47</v>
      </c>
      <c r="AL37" s="10" t="s">
        <v>12</v>
      </c>
      <c r="AM37" s="10" t="s">
        <v>48</v>
      </c>
      <c r="AW37">
        <v>900</v>
      </c>
      <c r="AX37" t="s">
        <v>10</v>
      </c>
      <c r="BB37" t="s">
        <v>61</v>
      </c>
      <c r="BC37" s="1">
        <f>+BC10+BC14</f>
        <v>515.38</v>
      </c>
      <c r="BF37" s="1"/>
      <c r="BG37" s="5"/>
      <c r="BJ37" s="1"/>
      <c r="BY37" t="s">
        <v>54</v>
      </c>
      <c r="BZ37">
        <f>27.5*3</f>
        <v>82.5</v>
      </c>
      <c r="CD37">
        <f>110/5</f>
        <v>22</v>
      </c>
      <c r="CE37" s="1"/>
      <c r="CH37">
        <f>110/5</f>
        <v>22</v>
      </c>
      <c r="CL37">
        <f>110/5</f>
        <v>22</v>
      </c>
      <c r="CQ37">
        <v>60</v>
      </c>
      <c r="CS37" s="1"/>
      <c r="CU37">
        <v>200</v>
      </c>
      <c r="CY37">
        <v>200</v>
      </c>
      <c r="DD37" t="s">
        <v>114</v>
      </c>
      <c r="DE37" s="1">
        <v>60</v>
      </c>
      <c r="DF37" t="s">
        <v>119</v>
      </c>
      <c r="DL37" s="1">
        <f>+DL3+DL5-DL36</f>
        <v>516.96999999999935</v>
      </c>
      <c r="DQ37" s="1">
        <f>+DQ3+DQ5-DQ36</f>
        <v>439.88999999999942</v>
      </c>
      <c r="DR37" s="1"/>
      <c r="DU37" s="1">
        <f>+DU3+DU5-DU36</f>
        <v>767.07999999999993</v>
      </c>
      <c r="DX37">
        <f>320+75</f>
        <v>395</v>
      </c>
      <c r="EU37" s="37"/>
      <c r="FH37" t="s">
        <v>94</v>
      </c>
      <c r="FI37" s="37">
        <f>+FI36+FI35</f>
        <v>2531.59</v>
      </c>
      <c r="FL37" t="s">
        <v>94</v>
      </c>
      <c r="FM37" s="37">
        <f>+FM36+FM35</f>
        <v>2848.619999999999</v>
      </c>
      <c r="GG37">
        <f>+GG36/30</f>
        <v>65.97433333333332</v>
      </c>
      <c r="GX37" s="4"/>
      <c r="HF37" s="4"/>
      <c r="HI37" s="4"/>
      <c r="HL37" s="62"/>
      <c r="HM37" s="49"/>
      <c r="HN37" s="49"/>
      <c r="HO37" s="49"/>
      <c r="HP37" s="50"/>
      <c r="HS37" s="62"/>
      <c r="HT37" s="49"/>
      <c r="HU37" s="49"/>
      <c r="HV37" s="49"/>
      <c r="HW37" s="50"/>
      <c r="IA37" s="62"/>
      <c r="IB37" s="49"/>
      <c r="IC37" s="49"/>
      <c r="ID37" s="49"/>
      <c r="IE37" s="50"/>
      <c r="II37" s="62"/>
      <c r="IJ37" s="49"/>
      <c r="IK37" s="49"/>
      <c r="IL37" s="49"/>
      <c r="IM37" s="50"/>
    </row>
    <row r="38" spans="6:252" ht="15.75" thickBot="1">
      <c r="F38" t="s">
        <v>12</v>
      </c>
      <c r="G38" s="1">
        <f>SUM(G8:G35)</f>
        <v>2301.0699999999997</v>
      </c>
      <c r="I38" t="s">
        <v>12</v>
      </c>
      <c r="J38" s="1">
        <f>SUM(J8:J34)</f>
        <v>2603</v>
      </c>
      <c r="K38" s="1"/>
      <c r="L38" t="s">
        <v>12</v>
      </c>
      <c r="M38" s="1">
        <f>SUM(M8:M34)</f>
        <v>2463</v>
      </c>
      <c r="N38" s="5"/>
      <c r="O38" t="s">
        <v>12</v>
      </c>
      <c r="P38" s="1">
        <f>SUM(P8:P34)</f>
        <v>2266.3799999999997</v>
      </c>
      <c r="Q38" s="5"/>
      <c r="R38" t="s">
        <v>12</v>
      </c>
      <c r="S38" s="1">
        <f>SUM(S8:S34)</f>
        <v>2486.5</v>
      </c>
      <c r="T38" s="1"/>
      <c r="U38" t="s">
        <v>12</v>
      </c>
      <c r="V38" s="1">
        <f>SUM(V8:V34)</f>
        <v>2525.16</v>
      </c>
      <c r="X38" t="s">
        <v>12</v>
      </c>
      <c r="Y38" s="1">
        <f>SUM(Y8:Y34)</f>
        <v>2854.38</v>
      </c>
      <c r="AA38" t="s">
        <v>12</v>
      </c>
      <c r="AB38" s="1">
        <f>SUM(AB8:AB34)</f>
        <v>3058.17</v>
      </c>
      <c r="AD38" t="s">
        <v>12</v>
      </c>
      <c r="AE38" s="1">
        <f>SUM(AE8:AE34)</f>
        <v>3143.41</v>
      </c>
      <c r="AI38" s="11">
        <v>3500</v>
      </c>
      <c r="AJ38" s="11">
        <v>675</v>
      </c>
      <c r="AK38" s="11">
        <v>6</v>
      </c>
      <c r="AL38" s="11">
        <f>+AJ38*AK38</f>
        <v>4050</v>
      </c>
      <c r="AM38" s="11">
        <f>+AI38-AL38</f>
        <v>-550</v>
      </c>
      <c r="AW38">
        <f>+AW37+AW36</f>
        <v>2987.74</v>
      </c>
      <c r="AX38" t="s">
        <v>12</v>
      </c>
      <c r="BB38" t="s">
        <v>62</v>
      </c>
      <c r="BC38" s="1">
        <v>1583</v>
      </c>
      <c r="BE38" s="11" t="s">
        <v>65</v>
      </c>
      <c r="BF38" s="23">
        <f>SUM(BF39:BF51)</f>
        <v>290.00333333333333</v>
      </c>
      <c r="BG38" s="22"/>
      <c r="BI38" s="11" t="s">
        <v>65</v>
      </c>
      <c r="BJ38" s="20">
        <f>SUM(BJ39:BJ51)</f>
        <v>206.66</v>
      </c>
      <c r="BZ38" s="1">
        <f>+BZ37+BZ36+BZ35</f>
        <v>370.13000000000011</v>
      </c>
      <c r="CD38" s="1">
        <f>+CD35+CD36+CD37</f>
        <v>391.92000000000007</v>
      </c>
      <c r="CH38" s="1">
        <f>+CH35+CH36+CH37</f>
        <v>1671.4999999999995</v>
      </c>
      <c r="CL38" s="1">
        <f>+CL35+CL36+CL37</f>
        <v>730.2199999999998</v>
      </c>
      <c r="CQ38" s="1">
        <f>+CQ35+CQ36+CQ37</f>
        <v>468.3799999999992</v>
      </c>
      <c r="CU38" s="1">
        <f>+CU35+CU36+CU37</f>
        <v>966.82999999999993</v>
      </c>
      <c r="CV38" s="1"/>
      <c r="CY38" s="1">
        <f>+CY35+CY36+CY37</f>
        <v>638.90999999999985</v>
      </c>
      <c r="DD38" t="s">
        <v>115</v>
      </c>
      <c r="DE38" s="1">
        <v>60</v>
      </c>
      <c r="DF38" t="s">
        <v>120</v>
      </c>
      <c r="DK38" t="s">
        <v>112</v>
      </c>
      <c r="DL38" s="1">
        <v>60</v>
      </c>
      <c r="DM38" t="s">
        <v>125</v>
      </c>
      <c r="DT38" t="s">
        <v>112</v>
      </c>
      <c r="DU38" s="1">
        <v>75</v>
      </c>
      <c r="DV38" t="s">
        <v>133</v>
      </c>
      <c r="DX38">
        <v>900</v>
      </c>
      <c r="EB38" t="s">
        <v>112</v>
      </c>
      <c r="EC38" s="1">
        <v>75</v>
      </c>
      <c r="ED38" t="s">
        <v>141</v>
      </c>
      <c r="EF38" t="s">
        <v>112</v>
      </c>
      <c r="EG38" s="1">
        <v>82.5</v>
      </c>
      <c r="EJ38" t="s">
        <v>112</v>
      </c>
      <c r="EK38" s="1">
        <f>+EK13/4</f>
        <v>66</v>
      </c>
      <c r="EL38" t="s">
        <v>142</v>
      </c>
      <c r="EN38" t="s">
        <v>112</v>
      </c>
      <c r="EO38" s="1">
        <f>+EO13/4</f>
        <v>67.25</v>
      </c>
      <c r="ER38" t="s">
        <v>112</v>
      </c>
      <c r="ES38" s="1">
        <f>+ES13/4</f>
        <v>67.25</v>
      </c>
      <c r="EU38" s="37"/>
      <c r="EV38" t="s">
        <v>112</v>
      </c>
      <c r="EW38" s="1">
        <f>+EW13/4</f>
        <v>67.25</v>
      </c>
      <c r="EX38" t="s">
        <v>161</v>
      </c>
      <c r="FA38" s="1"/>
      <c r="FE38" s="1"/>
      <c r="FI38" s="1"/>
      <c r="FM38" s="1"/>
      <c r="FQ38" s="1"/>
      <c r="FU38" s="1"/>
      <c r="HF38" s="4"/>
      <c r="HI38" s="4"/>
      <c r="HL38" s="62"/>
      <c r="HM38" s="49"/>
      <c r="HN38" s="49"/>
      <c r="HO38" s="49"/>
      <c r="HP38" s="50"/>
      <c r="HS38" s="62"/>
      <c r="HT38" s="49" t="s">
        <v>217</v>
      </c>
      <c r="HU38" s="49"/>
      <c r="HV38" s="49"/>
      <c r="HW38" s="50"/>
      <c r="IA38" s="62"/>
      <c r="IB38" s="49" t="s">
        <v>217</v>
      </c>
      <c r="IC38" s="49"/>
      <c r="ID38" s="49"/>
      <c r="IE38" s="50"/>
      <c r="II38" s="62"/>
      <c r="IJ38" s="49" t="s">
        <v>217</v>
      </c>
      <c r="IK38" s="49"/>
      <c r="IL38" s="49"/>
      <c r="IM38" s="50"/>
    </row>
    <row r="39" spans="6:252">
      <c r="G39" s="1">
        <v>2400</v>
      </c>
      <c r="J39" s="1">
        <v>2400</v>
      </c>
      <c r="M39" s="1">
        <v>2400</v>
      </c>
      <c r="N39" s="5"/>
      <c r="O39" t="s">
        <v>27</v>
      </c>
      <c r="P39" s="1">
        <v>2688</v>
      </c>
      <c r="Q39" s="5"/>
      <c r="R39" t="s">
        <v>27</v>
      </c>
      <c r="S39" s="1">
        <v>2688</v>
      </c>
      <c r="U39" t="s">
        <v>27</v>
      </c>
      <c r="V39" s="1">
        <v>2688</v>
      </c>
      <c r="X39" t="s">
        <v>27</v>
      </c>
      <c r="Y39" s="1">
        <f>2453.87+450</f>
        <v>2903.87</v>
      </c>
      <c r="AA39" t="s">
        <v>27</v>
      </c>
      <c r="AB39" s="1">
        <v>2912.85</v>
      </c>
      <c r="AD39" t="s">
        <v>27</v>
      </c>
      <c r="AE39" s="1">
        <v>2912.85</v>
      </c>
      <c r="AI39" s="11">
        <v>3500</v>
      </c>
      <c r="AJ39" s="11">
        <v>379.66</v>
      </c>
      <c r="AK39" s="11">
        <v>12</v>
      </c>
      <c r="AL39" s="11">
        <f>+AJ39*AK39</f>
        <v>4555.92</v>
      </c>
      <c r="AM39" s="11">
        <f>+AI39-AL39</f>
        <v>-1055.92</v>
      </c>
      <c r="AW39">
        <v>1000</v>
      </c>
      <c r="AX39" t="s">
        <v>56</v>
      </c>
      <c r="BC39" s="13">
        <f>+BC38+BC37</f>
        <v>2098.38</v>
      </c>
      <c r="BE39" s="11" t="s">
        <v>67</v>
      </c>
      <c r="BF39" s="20">
        <v>80</v>
      </c>
      <c r="BG39" s="22"/>
      <c r="BI39" s="11" t="s">
        <v>70</v>
      </c>
      <c r="BJ39" s="20">
        <f>83.33+83.33-80</f>
        <v>86.66</v>
      </c>
      <c r="CD39" s="1"/>
      <c r="CH39" s="1"/>
      <c r="CS39" s="1"/>
      <c r="DE39" s="1">
        <f>+DE35+DE36+DE37+DE38</f>
        <v>881.54999999999927</v>
      </c>
      <c r="DK39" t="s">
        <v>114</v>
      </c>
      <c r="DL39" s="1">
        <v>60</v>
      </c>
      <c r="DM39" t="s">
        <v>124</v>
      </c>
      <c r="DT39" t="s">
        <v>114</v>
      </c>
      <c r="DU39" s="1">
        <v>75</v>
      </c>
      <c r="DV39" t="s">
        <v>135</v>
      </c>
      <c r="DX39">
        <f>+DX38+DX37</f>
        <v>1295</v>
      </c>
      <c r="EB39" t="s">
        <v>114</v>
      </c>
      <c r="EC39" s="1">
        <v>75</v>
      </c>
      <c r="ED39" t="s">
        <v>142</v>
      </c>
      <c r="EF39" t="s">
        <v>114</v>
      </c>
      <c r="EG39" s="1">
        <v>82.5</v>
      </c>
      <c r="EJ39" t="s">
        <v>114</v>
      </c>
      <c r="EK39" s="1">
        <v>66</v>
      </c>
      <c r="EN39" t="s">
        <v>114</v>
      </c>
      <c r="EO39" s="1">
        <v>66</v>
      </c>
      <c r="EP39" s="37"/>
      <c r="EQ39" s="37"/>
      <c r="ER39" t="s">
        <v>114</v>
      </c>
      <c r="ES39" s="1">
        <v>66</v>
      </c>
      <c r="ET39" s="37"/>
      <c r="EU39" s="37"/>
      <c r="EV39" t="s">
        <v>114</v>
      </c>
      <c r="EW39" s="1">
        <v>66</v>
      </c>
      <c r="EZ39" t="s">
        <v>114</v>
      </c>
      <c r="FA39" s="1">
        <f>+FA13/3</f>
        <v>89.666666666666671</v>
      </c>
      <c r="FB39" t="s">
        <v>166</v>
      </c>
      <c r="FD39" t="s">
        <v>114</v>
      </c>
      <c r="FE39" s="3">
        <f>+FE13/3</f>
        <v>89.666666666666671</v>
      </c>
      <c r="FH39" t="s">
        <v>114</v>
      </c>
      <c r="FI39" s="3">
        <f>+FI13/3</f>
        <v>85.666666666666671</v>
      </c>
      <c r="FJ39" t="s">
        <v>173</v>
      </c>
      <c r="FL39" t="s">
        <v>114</v>
      </c>
      <c r="FM39" s="3"/>
      <c r="FP39" s="4"/>
      <c r="FQ39" s="5"/>
      <c r="FT39" s="4"/>
      <c r="FU39" s="5"/>
      <c r="HF39" s="4"/>
      <c r="HI39" s="4"/>
      <c r="HL39" s="62"/>
      <c r="HM39" s="49"/>
      <c r="HN39" s="49"/>
      <c r="HO39" s="49"/>
      <c r="HP39" s="50"/>
      <c r="HS39" s="62"/>
      <c r="HT39" s="76">
        <v>22</v>
      </c>
      <c r="HU39" s="46">
        <v>150</v>
      </c>
      <c r="HV39" s="47">
        <f>+HU39*HT39</f>
        <v>3300</v>
      </c>
      <c r="HW39" s="50"/>
      <c r="IA39" s="62"/>
      <c r="IB39" s="76">
        <v>22</v>
      </c>
      <c r="IC39" s="46">
        <v>150</v>
      </c>
      <c r="ID39" s="47">
        <f>+IC39*IB39</f>
        <v>3300</v>
      </c>
      <c r="IE39" s="50"/>
      <c r="II39" s="62"/>
      <c r="IJ39" s="76">
        <v>22</v>
      </c>
      <c r="IK39" s="46">
        <v>150</v>
      </c>
      <c r="IL39" s="47">
        <f>+IK39*IJ39</f>
        <v>3300</v>
      </c>
      <c r="IM39" s="50"/>
    </row>
    <row r="40" spans="6:252">
      <c r="F40" t="s">
        <v>9</v>
      </c>
      <c r="G40" s="1">
        <v>305</v>
      </c>
      <c r="I40" t="s">
        <v>9</v>
      </c>
      <c r="J40" s="1">
        <v>288</v>
      </c>
      <c r="L40" t="s">
        <v>9</v>
      </c>
      <c r="M40" s="1">
        <v>288</v>
      </c>
      <c r="N40" s="5"/>
      <c r="O40" t="s">
        <v>11</v>
      </c>
      <c r="P40" s="2">
        <f>+P39-P38</f>
        <v>421.62000000000035</v>
      </c>
      <c r="Q40" s="5"/>
      <c r="R40" t="s">
        <v>11</v>
      </c>
      <c r="S40" s="2">
        <f>+S39-S38</f>
        <v>201.5</v>
      </c>
      <c r="U40" t="s">
        <v>11</v>
      </c>
      <c r="V40" s="2">
        <f>+V39-V38</f>
        <v>162.84000000000015</v>
      </c>
      <c r="X40" t="s">
        <v>11</v>
      </c>
      <c r="Y40" s="2">
        <f>+Y39-Y38</f>
        <v>49.489999999999782</v>
      </c>
      <c r="AA40" t="s">
        <v>11</v>
      </c>
      <c r="AB40" s="2">
        <f>+AB39-AB38</f>
        <v>-145.32000000000016</v>
      </c>
      <c r="AD40" t="s">
        <v>11</v>
      </c>
      <c r="AE40" s="2">
        <f>+AE39-AE38</f>
        <v>-230.55999999999995</v>
      </c>
      <c r="AI40" s="11">
        <v>3000</v>
      </c>
      <c r="AJ40" s="11">
        <v>578.6</v>
      </c>
      <c r="AK40" s="11">
        <v>6</v>
      </c>
      <c r="AL40" s="11">
        <f>+AJ40*AK40</f>
        <v>3471.6000000000004</v>
      </c>
      <c r="AM40" s="11">
        <f>+AI40-AL40</f>
        <v>-471.60000000000036</v>
      </c>
      <c r="AW40">
        <f>+AW38-AW39</f>
        <v>1987.7399999999998</v>
      </c>
      <c r="BE40" s="11" t="s">
        <v>71</v>
      </c>
      <c r="BF40" s="20">
        <f>73.3333333333333+26.67</f>
        <v>100.0033333333333</v>
      </c>
      <c r="BG40" s="22"/>
      <c r="BI40" s="11" t="s">
        <v>73</v>
      </c>
      <c r="BJ40" s="20">
        <v>120</v>
      </c>
      <c r="CH40" s="1"/>
      <c r="CV40" t="s">
        <v>98</v>
      </c>
      <c r="CW40">
        <v>30</v>
      </c>
      <c r="DK40" t="s">
        <v>115</v>
      </c>
      <c r="DL40" s="1">
        <v>60</v>
      </c>
      <c r="DM40" t="s">
        <v>124</v>
      </c>
      <c r="DP40" t="s">
        <v>128</v>
      </c>
      <c r="DQ40">
        <v>2650</v>
      </c>
      <c r="DT40" t="s">
        <v>115</v>
      </c>
      <c r="DU40" s="1">
        <v>75</v>
      </c>
      <c r="DV40" t="s">
        <v>134</v>
      </c>
      <c r="DX40" s="1">
        <f>+DX39-DU9-DU10-DU12-DU14-DU16-DU18</f>
        <v>718.96</v>
      </c>
      <c r="EB40" t="s">
        <v>115</v>
      </c>
      <c r="EC40" s="1">
        <v>75</v>
      </c>
      <c r="EF40" t="s">
        <v>115</v>
      </c>
      <c r="EG40" s="1">
        <v>82.5</v>
      </c>
      <c r="EJ40" t="s">
        <v>115</v>
      </c>
      <c r="EK40" s="1">
        <v>66</v>
      </c>
      <c r="EN40" t="s">
        <v>115</v>
      </c>
      <c r="EO40" s="1">
        <v>66</v>
      </c>
      <c r="ER40" t="s">
        <v>115</v>
      </c>
      <c r="ES40" s="1">
        <v>66</v>
      </c>
      <c r="EV40" t="s">
        <v>115</v>
      </c>
      <c r="EW40" s="1">
        <v>66</v>
      </c>
      <c r="EZ40" t="s">
        <v>115</v>
      </c>
      <c r="FA40" s="1">
        <f>+FA13/3</f>
        <v>89.666666666666671</v>
      </c>
      <c r="FB40" t="s">
        <v>166</v>
      </c>
      <c r="FD40" t="s">
        <v>115</v>
      </c>
      <c r="FE40" s="1">
        <f>+FE13/3</f>
        <v>89.666666666666671</v>
      </c>
      <c r="FH40" t="s">
        <v>115</v>
      </c>
      <c r="FI40" s="3">
        <f>+FI13/3</f>
        <v>85.666666666666671</v>
      </c>
      <c r="FJ40" t="s">
        <v>173</v>
      </c>
      <c r="FL40" t="s">
        <v>115</v>
      </c>
      <c r="FM40" s="3"/>
      <c r="FP40" s="4"/>
      <c r="FQ40" s="5"/>
      <c r="FT40" s="4"/>
      <c r="FU40" s="5"/>
      <c r="HA40" s="12" t="s">
        <v>178</v>
      </c>
      <c r="HB40" s="12"/>
      <c r="HE40" s="4"/>
      <c r="HF40" s="4">
        <f>150*22</f>
        <v>3300</v>
      </c>
      <c r="HG40" s="4" t="s">
        <v>207</v>
      </c>
      <c r="HH40" s="4"/>
      <c r="HI40" s="4"/>
      <c r="HL40" s="62"/>
      <c r="HM40" s="49"/>
      <c r="HN40" s="49"/>
      <c r="HO40" s="49"/>
      <c r="HP40" s="50"/>
      <c r="HS40" s="62"/>
      <c r="HT40" s="62">
        <v>22</v>
      </c>
      <c r="HU40" s="49">
        <f>4.5*4</f>
        <v>18</v>
      </c>
      <c r="HV40" s="50">
        <f>+HU40*HT40</f>
        <v>396</v>
      </c>
      <c r="HW40" s="50"/>
      <c r="IA40" s="62"/>
      <c r="IB40" s="62">
        <v>22</v>
      </c>
      <c r="IC40" s="49">
        <f>4.5*4</f>
        <v>18</v>
      </c>
      <c r="ID40" s="50">
        <f>+IC40*IB40</f>
        <v>396</v>
      </c>
      <c r="IE40" s="50"/>
      <c r="II40" s="62"/>
      <c r="IJ40" s="62">
        <v>22</v>
      </c>
      <c r="IK40" s="49">
        <f>4.5*4</f>
        <v>18</v>
      </c>
      <c r="IL40" s="50">
        <f>+IK40*IJ40</f>
        <v>396</v>
      </c>
      <c r="IM40" s="50"/>
    </row>
    <row r="41" spans="6:252">
      <c r="F41" t="s">
        <v>10</v>
      </c>
      <c r="G41" s="1">
        <f>+G39+G40</f>
        <v>2705</v>
      </c>
      <c r="I41" t="s">
        <v>10</v>
      </c>
      <c r="J41" s="1">
        <f>+J39+J40</f>
        <v>2688</v>
      </c>
      <c r="L41" t="s">
        <v>10</v>
      </c>
      <c r="M41" s="1">
        <f>+M39+M40</f>
        <v>2688</v>
      </c>
      <c r="N41" s="5"/>
      <c r="O41" t="s">
        <v>28</v>
      </c>
      <c r="P41" s="1">
        <v>330</v>
      </c>
      <c r="Q41" s="5"/>
      <c r="R41" t="s">
        <v>28</v>
      </c>
      <c r="S41" s="1"/>
      <c r="U41" t="s">
        <v>28</v>
      </c>
      <c r="V41" s="1">
        <v>500</v>
      </c>
      <c r="X41" t="s">
        <v>28</v>
      </c>
      <c r="Y41" s="1"/>
      <c r="AA41" t="s">
        <v>28</v>
      </c>
      <c r="AB41" s="1"/>
      <c r="AD41" t="s">
        <v>28</v>
      </c>
      <c r="AE41" s="1"/>
      <c r="AI41" s="11">
        <v>3000</v>
      </c>
      <c r="AJ41" s="11">
        <v>325.42</v>
      </c>
      <c r="AK41" s="11">
        <v>12</v>
      </c>
      <c r="AL41" s="11">
        <f>+AJ41*AK41</f>
        <v>3905.04</v>
      </c>
      <c r="AM41" s="11">
        <f>+AI41-AL41</f>
        <v>-905.04</v>
      </c>
      <c r="AW41" s="1">
        <f>+AW40-BD11</f>
        <v>1987.7399999999998</v>
      </c>
      <c r="BE41" s="11" t="s">
        <v>64</v>
      </c>
      <c r="BF41" s="20">
        <v>50</v>
      </c>
      <c r="BG41" s="22"/>
      <c r="BI41" s="11"/>
      <c r="BJ41" s="20"/>
      <c r="CH41" s="1"/>
      <c r="CV41" t="s">
        <v>99</v>
      </c>
      <c r="CW41">
        <f>10*4</f>
        <v>40</v>
      </c>
      <c r="DL41" s="1">
        <f>+DL37+DL38+DL39+DL40</f>
        <v>696.96999999999935</v>
      </c>
      <c r="DP41" t="s">
        <v>129</v>
      </c>
      <c r="DQ41" s="12">
        <v>505</v>
      </c>
      <c r="DU41" s="1">
        <f>+DU37+DU38+DU39+DU40</f>
        <v>992.07999999999993</v>
      </c>
      <c r="DX41" s="1">
        <f>+DX40+DU40</f>
        <v>793.96</v>
      </c>
      <c r="EC41" s="1">
        <f>+EC35+EC38+EC39+EC40</f>
        <v>1232.6800000000003</v>
      </c>
      <c r="EG41" s="1">
        <f>+EG35+EG38+EG39+EG40</f>
        <v>620.04</v>
      </c>
      <c r="EK41" s="1">
        <f>+EK35+EK38+EK39+EK40</f>
        <v>1498.9800000000005</v>
      </c>
      <c r="EO41" s="1">
        <f>+EO35+EO38+EO39+EO40</f>
        <v>638.60000000000036</v>
      </c>
      <c r="ES41" s="1">
        <f>+ES35+ES38+ES39+ES40</f>
        <v>1294</v>
      </c>
      <c r="EW41" s="1">
        <f>+EW35+EW38+EW39+EW40</f>
        <v>2750.58</v>
      </c>
      <c r="FA41" s="1">
        <f>+FA35+FA38+FA39+FA40</f>
        <v>2886.623333333333</v>
      </c>
      <c r="FE41" s="1">
        <f>+FE35+FE38+FE39+FE40</f>
        <v>1426.563333333333</v>
      </c>
      <c r="FI41" s="1">
        <f>+FI35+FI38+FI39+FI40</f>
        <v>2236.4233333333332</v>
      </c>
      <c r="FM41" s="1">
        <f>+FM37+FM39+FM40</f>
        <v>2848.619999999999</v>
      </c>
      <c r="FP41" s="4"/>
      <c r="FQ41" s="5"/>
      <c r="GY41" t="s">
        <v>206</v>
      </c>
      <c r="HA41" t="s">
        <v>54</v>
      </c>
      <c r="HB41" s="5">
        <v>425</v>
      </c>
      <c r="HE41" s="4"/>
      <c r="HF41" s="5"/>
      <c r="HG41" s="4"/>
      <c r="HH41" s="4"/>
      <c r="HI41" s="5"/>
      <c r="HL41" s="62"/>
      <c r="HM41" s="49"/>
      <c r="HN41" s="49"/>
      <c r="HO41" s="49"/>
      <c r="HP41" s="50"/>
      <c r="HS41" s="62"/>
      <c r="HT41" s="62"/>
      <c r="HU41" s="49"/>
      <c r="HV41" s="50">
        <f>+HV40+HV39</f>
        <v>3696</v>
      </c>
      <c r="HW41" s="50"/>
      <c r="IA41" s="62"/>
      <c r="IB41" s="62"/>
      <c r="IC41" s="49"/>
      <c r="ID41" s="50">
        <f>+ID40+ID39</f>
        <v>3696</v>
      </c>
      <c r="IE41" s="50"/>
      <c r="II41" s="62"/>
      <c r="IJ41" s="62"/>
      <c r="IK41" s="49"/>
      <c r="IL41" s="50">
        <f>+IL40+IL39</f>
        <v>3696</v>
      </c>
      <c r="IM41" s="50"/>
    </row>
    <row r="42" spans="6:252" ht="15.75" thickBot="1">
      <c r="G42" s="1"/>
      <c r="J42" s="1"/>
      <c r="M42" s="1"/>
      <c r="N42" s="5"/>
      <c r="O42"/>
      <c r="P42" s="1"/>
      <c r="Q42" s="5"/>
      <c r="R42"/>
      <c r="S42" s="1"/>
      <c r="V42" s="1"/>
      <c r="Y42" s="1"/>
      <c r="AB42" s="1"/>
      <c r="AE42" s="1"/>
      <c r="AI42" s="14"/>
      <c r="AJ42" s="14"/>
      <c r="AK42" s="14"/>
      <c r="AL42" s="14"/>
      <c r="AM42" s="14"/>
      <c r="AW42" s="1"/>
      <c r="BE42" s="11" t="s">
        <v>68</v>
      </c>
      <c r="BF42" s="20">
        <v>25</v>
      </c>
      <c r="BG42" s="5"/>
      <c r="BI42" s="11"/>
      <c r="BJ42" s="11"/>
      <c r="CV42" t="s">
        <v>100</v>
      </c>
      <c r="CW42">
        <f>30*4</f>
        <v>120</v>
      </c>
      <c r="DP42" t="s">
        <v>130</v>
      </c>
      <c r="DQ42" s="12">
        <v>450</v>
      </c>
      <c r="EE42" s="1"/>
      <c r="HA42" t="s">
        <v>198</v>
      </c>
      <c r="HB42" s="41">
        <v>300</v>
      </c>
      <c r="HE42" s="4"/>
      <c r="HF42" s="4">
        <v>4</v>
      </c>
      <c r="HG42" s="4">
        <v>22</v>
      </c>
      <c r="HH42" s="4">
        <v>4.5</v>
      </c>
      <c r="HI42" s="4">
        <f>+HH42*HG42*HF42</f>
        <v>396</v>
      </c>
      <c r="HJ42" t="s">
        <v>208</v>
      </c>
      <c r="HL42" s="62"/>
      <c r="HM42" s="49"/>
      <c r="HN42" s="49"/>
      <c r="HO42" s="49"/>
      <c r="HP42" s="50"/>
      <c r="HS42" s="62"/>
      <c r="HT42" s="63"/>
      <c r="HU42" s="64"/>
      <c r="HV42" s="77">
        <f>+HV41-HT22</f>
        <v>-4</v>
      </c>
      <c r="HW42" s="50"/>
      <c r="IA42" s="62"/>
      <c r="IB42" s="63"/>
      <c r="IC42" s="64"/>
      <c r="ID42" s="77">
        <f>+ID41-IB22</f>
        <v>-4</v>
      </c>
      <c r="IE42" s="50"/>
      <c r="II42" s="62"/>
      <c r="IJ42" s="63"/>
      <c r="IK42" s="64"/>
      <c r="IL42" s="77">
        <f>+IL41-IJ22</f>
        <v>-4</v>
      </c>
      <c r="IM42" s="50"/>
    </row>
    <row r="43" spans="6:252">
      <c r="G43" s="1"/>
      <c r="J43" s="1"/>
      <c r="M43" s="1"/>
      <c r="N43" s="5"/>
      <c r="O43"/>
      <c r="P43" s="1"/>
      <c r="Q43" s="5"/>
      <c r="R43"/>
      <c r="S43" s="1"/>
      <c r="V43" s="1"/>
      <c r="Y43" s="1"/>
      <c r="AB43" s="1"/>
      <c r="AE43" s="1"/>
      <c r="AI43" s="14"/>
      <c r="AJ43" s="14"/>
      <c r="AK43" s="14"/>
      <c r="AL43" s="14"/>
      <c r="AM43" s="14"/>
      <c r="AW43" s="1"/>
      <c r="BE43" s="11" t="s">
        <v>69</v>
      </c>
      <c r="BF43" s="20">
        <f>10+25</f>
        <v>35</v>
      </c>
      <c r="BI43" s="11"/>
      <c r="BJ43" s="11"/>
      <c r="CV43" t="s">
        <v>101</v>
      </c>
      <c r="CW43">
        <v>30</v>
      </c>
      <c r="DP43" t="s">
        <v>131</v>
      </c>
      <c r="DQ43" s="12">
        <v>350</v>
      </c>
      <c r="EE43" s="1"/>
      <c r="HA43" s="17" t="s">
        <v>197</v>
      </c>
      <c r="HB43" s="41">
        <v>1620</v>
      </c>
      <c r="HE43" s="17"/>
      <c r="HG43" s="4"/>
      <c r="HH43" s="17"/>
      <c r="HI43" s="5">
        <f>+HI42+HF40</f>
        <v>3696</v>
      </c>
      <c r="HL43" s="62"/>
      <c r="HM43" s="49"/>
      <c r="HN43" s="49"/>
      <c r="HO43" s="49"/>
      <c r="HP43" s="50"/>
      <c r="HS43" s="62"/>
      <c r="HT43" s="49"/>
      <c r="HU43" s="49"/>
      <c r="HV43" s="49"/>
      <c r="HW43" s="50"/>
      <c r="IA43" s="62"/>
      <c r="IB43" s="49"/>
      <c r="IC43" s="49"/>
      <c r="ID43" s="49"/>
      <c r="IE43" s="50"/>
      <c r="II43" s="62"/>
      <c r="IJ43" s="49"/>
      <c r="IK43" s="49"/>
      <c r="IL43" s="49"/>
      <c r="IM43" s="50"/>
    </row>
    <row r="44" spans="6:252">
      <c r="G44" s="1"/>
      <c r="J44" s="1"/>
      <c r="M44" s="1"/>
      <c r="N44" s="5"/>
      <c r="O44"/>
      <c r="P44" s="1"/>
      <c r="Q44" s="5"/>
      <c r="R44"/>
      <c r="S44" s="1"/>
      <c r="V44" s="1"/>
      <c r="Y44" s="1"/>
      <c r="AB44" s="1"/>
      <c r="AE44" s="1"/>
      <c r="AI44" s="14"/>
      <c r="AJ44" s="14"/>
      <c r="AK44" s="14"/>
      <c r="AL44" s="14"/>
      <c r="AM44" s="14"/>
      <c r="AW44" s="1"/>
      <c r="BE44" s="11"/>
      <c r="BF44" s="20"/>
      <c r="BI44" s="11"/>
      <c r="BJ44" s="11"/>
      <c r="DP44" t="s">
        <v>132</v>
      </c>
      <c r="DQ44">
        <v>505</v>
      </c>
      <c r="HA44" s="17" t="s">
        <v>196</v>
      </c>
      <c r="HB44" s="41">
        <v>1000</v>
      </c>
      <c r="HE44" s="17"/>
      <c r="HG44" s="4"/>
      <c r="HH44" s="17"/>
      <c r="HI44" s="42"/>
      <c r="HL44" s="62"/>
      <c r="HM44" s="49"/>
      <c r="HN44" s="49"/>
      <c r="HO44" s="49"/>
      <c r="HP44" s="50"/>
      <c r="HS44" s="62"/>
      <c r="HT44" s="49"/>
      <c r="HU44" s="49"/>
      <c r="HV44" s="49"/>
      <c r="HW44" s="50"/>
      <c r="IA44" s="62"/>
      <c r="IB44" s="49"/>
      <c r="IC44" s="49"/>
      <c r="ID44" s="49"/>
      <c r="IE44" s="50"/>
      <c r="II44" s="62" t="s">
        <v>236</v>
      </c>
      <c r="IJ44" s="49">
        <v>800</v>
      </c>
      <c r="IK44" s="49"/>
      <c r="IL44" s="49"/>
      <c r="IM44" s="50"/>
    </row>
    <row r="45" spans="6:252">
      <c r="G45" s="1"/>
      <c r="J45" s="1"/>
      <c r="M45" s="1"/>
      <c r="N45" s="5"/>
      <c r="O45"/>
      <c r="P45" s="1"/>
      <c r="Q45" s="5"/>
      <c r="R45"/>
      <c r="S45" s="1"/>
      <c r="V45" s="1"/>
      <c r="Y45" s="1"/>
      <c r="AB45" s="1"/>
      <c r="AE45" s="1"/>
      <c r="AI45" s="14"/>
      <c r="AJ45" s="14"/>
      <c r="AK45" s="14"/>
      <c r="AL45" s="14"/>
      <c r="AM45" s="14"/>
      <c r="AW45" s="1"/>
      <c r="BE45" s="11"/>
      <c r="BF45" s="20"/>
      <c r="BI45" s="11"/>
      <c r="BJ45" s="11"/>
      <c r="DQ45">
        <f>+DQ40-DQ41-DQ42-DQ43-DQ44</f>
        <v>840</v>
      </c>
      <c r="HB45" s="5">
        <f>SUM(HB41:HB44)</f>
        <v>3345</v>
      </c>
      <c r="HL45" s="62"/>
      <c r="HM45" s="49"/>
      <c r="HN45" s="49"/>
      <c r="HO45" s="49"/>
      <c r="HP45" s="50"/>
      <c r="HS45" s="62"/>
      <c r="HT45" s="49"/>
      <c r="HU45" s="49"/>
      <c r="HV45" s="49"/>
      <c r="HW45" s="50"/>
      <c r="IA45" s="62"/>
      <c r="IB45" s="49"/>
      <c r="IC45" s="49"/>
      <c r="ID45" s="49"/>
      <c r="IE45" s="50"/>
      <c r="II45" s="62" t="s">
        <v>238</v>
      </c>
      <c r="IJ45" s="49">
        <v>1000</v>
      </c>
      <c r="IK45" s="49" t="s">
        <v>239</v>
      </c>
      <c r="IL45" s="49"/>
      <c r="IM45" s="50"/>
    </row>
    <row r="46" spans="6:252">
      <c r="G46" s="1"/>
      <c r="J46" s="1"/>
      <c r="M46" s="1"/>
      <c r="N46" s="5"/>
      <c r="O46"/>
      <c r="P46" s="1"/>
      <c r="Q46" s="5"/>
      <c r="R46"/>
      <c r="S46" s="1"/>
      <c r="V46" s="1"/>
      <c r="Y46" s="1"/>
      <c r="AB46" s="1"/>
      <c r="AE46" s="1"/>
      <c r="AI46" s="14"/>
      <c r="AJ46" s="14"/>
      <c r="AK46" s="14"/>
      <c r="AL46" s="14"/>
      <c r="AM46" s="14"/>
      <c r="AW46" s="1"/>
      <c r="BE46" s="11"/>
      <c r="BF46" s="20"/>
      <c r="BI46" s="11"/>
      <c r="BJ46" s="11"/>
      <c r="DS46" s="34"/>
      <c r="HB46" s="5"/>
      <c r="HL46" s="62"/>
      <c r="HM46" s="49"/>
      <c r="HN46" s="49"/>
      <c r="HO46" s="49"/>
      <c r="HP46" s="50"/>
      <c r="HS46" s="62"/>
      <c r="HT46" s="49"/>
      <c r="HU46" s="49"/>
      <c r="HV46" s="49"/>
      <c r="HW46" s="50"/>
      <c r="IA46" s="62"/>
      <c r="IB46" s="49"/>
      <c r="IC46" s="49"/>
      <c r="ID46" s="49"/>
      <c r="IE46" s="50"/>
      <c r="II46" s="62"/>
      <c r="IJ46" s="49"/>
      <c r="IK46" s="49"/>
      <c r="IL46" s="49"/>
      <c r="IM46" s="50"/>
    </row>
    <row r="47" spans="6:252">
      <c r="G47" s="1"/>
      <c r="J47" s="1"/>
      <c r="M47" s="1"/>
      <c r="N47" s="5"/>
      <c r="O47"/>
      <c r="P47" s="1"/>
      <c r="Q47" s="5"/>
      <c r="R47"/>
      <c r="S47" s="1"/>
      <c r="V47" s="1"/>
      <c r="Y47" s="1"/>
      <c r="AB47" s="1"/>
      <c r="AE47" s="1"/>
      <c r="AI47" s="14"/>
      <c r="AJ47" s="14"/>
      <c r="AK47" s="14"/>
      <c r="AL47" s="14"/>
      <c r="AM47" s="14"/>
      <c r="AW47" s="1"/>
      <c r="BE47" s="11"/>
      <c r="BF47" s="20"/>
      <c r="BI47" s="11"/>
      <c r="BJ47" s="11"/>
      <c r="CT47" t="s">
        <v>88</v>
      </c>
      <c r="DQ47">
        <v>1000</v>
      </c>
      <c r="DS47" s="34"/>
      <c r="HB47" s="5">
        <v>1577</v>
      </c>
      <c r="HF47" s="1"/>
      <c r="HL47" s="62"/>
      <c r="HM47" s="49"/>
      <c r="HN47" s="49"/>
      <c r="HO47" s="49"/>
      <c r="HP47" s="50"/>
      <c r="HS47" s="62"/>
      <c r="HT47" s="49"/>
      <c r="HU47" s="49"/>
      <c r="HV47" s="49"/>
      <c r="HW47" s="50"/>
      <c r="IA47" s="62"/>
      <c r="IB47" s="49"/>
      <c r="IC47" s="49"/>
      <c r="ID47" s="49"/>
      <c r="IE47" s="50"/>
      <c r="II47" s="62"/>
      <c r="IJ47" s="49"/>
      <c r="IK47" s="49"/>
      <c r="IL47" s="49"/>
      <c r="IM47" s="50"/>
    </row>
    <row r="48" spans="6:252" ht="15.75" thickBot="1">
      <c r="G48" s="1"/>
      <c r="J48" s="1"/>
      <c r="M48" s="1"/>
      <c r="N48" s="5"/>
      <c r="O48"/>
      <c r="P48" s="1"/>
      <c r="Q48" s="5"/>
      <c r="R48"/>
      <c r="S48" s="1"/>
      <c r="V48" s="1"/>
      <c r="Y48" s="1"/>
      <c r="AB48" s="1"/>
      <c r="AE48" s="1"/>
      <c r="AI48" s="14"/>
      <c r="AJ48" s="14"/>
      <c r="AK48" s="14"/>
      <c r="AL48" s="14"/>
      <c r="AM48" s="14"/>
      <c r="AW48" s="1"/>
      <c r="BE48" s="11"/>
      <c r="BF48" s="20"/>
      <c r="BI48" s="11"/>
      <c r="BJ48" s="11"/>
      <c r="CT48">
        <v>3300</v>
      </c>
      <c r="CW48" t="s">
        <v>89</v>
      </c>
      <c r="CX48">
        <f>1300-600</f>
        <v>700</v>
      </c>
      <c r="DQ48">
        <f>+DQ47-460</f>
        <v>540</v>
      </c>
      <c r="HB48" s="42">
        <v>1000</v>
      </c>
      <c r="HF48" s="1"/>
      <c r="HL48" s="63"/>
      <c r="HM48" s="64"/>
      <c r="HN48" s="64"/>
      <c r="HO48" s="64"/>
      <c r="HP48" s="65"/>
      <c r="HS48" s="63"/>
      <c r="HT48" s="64"/>
      <c r="HU48" s="64"/>
      <c r="HV48" s="64"/>
      <c r="HW48" s="65"/>
      <c r="IA48" s="63"/>
      <c r="IB48" s="64"/>
      <c r="IC48" s="64"/>
      <c r="ID48" s="64"/>
      <c r="IE48" s="65"/>
      <c r="II48" s="63"/>
      <c r="IJ48" s="64"/>
      <c r="IK48" s="64"/>
      <c r="IL48" s="64"/>
      <c r="IM48" s="65"/>
    </row>
    <row r="49" spans="6:214">
      <c r="G49" s="1"/>
      <c r="J49" s="1"/>
      <c r="M49" s="1"/>
      <c r="N49" s="5"/>
      <c r="O49"/>
      <c r="P49" s="1"/>
      <c r="Q49" s="5"/>
      <c r="R49"/>
      <c r="S49" s="1"/>
      <c r="V49" s="1"/>
      <c r="Y49" s="1"/>
      <c r="AB49" s="1"/>
      <c r="AE49" s="1"/>
      <c r="AI49" s="14"/>
      <c r="AJ49" s="14"/>
      <c r="AK49" s="14"/>
      <c r="AL49" s="14"/>
      <c r="AM49" s="14"/>
      <c r="AW49" s="1"/>
      <c r="BE49" s="11"/>
      <c r="BF49" s="20"/>
      <c r="BI49" s="11"/>
      <c r="BJ49" s="11"/>
      <c r="HB49">
        <f>+HB1</f>
        <v>335</v>
      </c>
      <c r="HF49" s="1"/>
    </row>
    <row r="50" spans="6:214">
      <c r="G50" s="1"/>
      <c r="J50" s="1"/>
      <c r="M50" s="1"/>
      <c r="N50" s="5"/>
      <c r="O50"/>
      <c r="P50" s="1"/>
      <c r="Q50" s="5"/>
      <c r="R50"/>
      <c r="S50" s="1"/>
      <c r="V50" s="1"/>
      <c r="Y50" s="1"/>
      <c r="AB50" s="1"/>
      <c r="AE50" s="1"/>
      <c r="AI50" s="14"/>
      <c r="AJ50" s="14"/>
      <c r="AK50" s="14"/>
      <c r="AL50" s="14"/>
      <c r="AM50" s="14"/>
      <c r="AW50" s="1"/>
      <c r="BE50" s="11"/>
      <c r="BF50" s="20"/>
      <c r="BI50" s="11"/>
      <c r="BJ50" s="11"/>
      <c r="HB50" s="1">
        <f>SUM(HB47:HB49)</f>
        <v>2912</v>
      </c>
      <c r="HF50" s="1"/>
    </row>
    <row r="51" spans="6:214">
      <c r="G51" s="1"/>
      <c r="J51" s="1"/>
      <c r="M51" s="1"/>
      <c r="N51" s="5"/>
      <c r="O51"/>
      <c r="P51" s="1"/>
      <c r="Q51" s="5"/>
      <c r="R51"/>
      <c r="S51" s="1"/>
      <c r="V51" s="1"/>
      <c r="Y51" s="1"/>
      <c r="AB51" s="1"/>
      <c r="AE51" s="1"/>
      <c r="AI51" s="14"/>
      <c r="AJ51" s="14"/>
      <c r="AK51" s="14"/>
      <c r="AL51" s="14"/>
      <c r="AM51" s="14"/>
      <c r="AW51" s="1"/>
      <c r="BE51" s="11"/>
      <c r="BF51" s="20"/>
      <c r="BI51" s="11"/>
      <c r="BJ51" s="11"/>
      <c r="CT51">
        <v>330</v>
      </c>
      <c r="CW51" t="s">
        <v>87</v>
      </c>
      <c r="CX51">
        <v>420</v>
      </c>
      <c r="DQ51">
        <f>+DQ48-500</f>
        <v>40</v>
      </c>
      <c r="HB51" s="1">
        <f>+HB50-HB13-HB41-HB14-HB16-HB17-HB18-HB20-HB21</f>
        <v>2435.333333333333</v>
      </c>
    </row>
    <row r="52" spans="6:214">
      <c r="G52" s="1"/>
      <c r="J52" s="1"/>
      <c r="M52" s="1"/>
      <c r="N52" s="5"/>
      <c r="O52"/>
      <c r="P52" s="1"/>
      <c r="Q52" s="5"/>
      <c r="R52"/>
      <c r="S52" s="1"/>
      <c r="V52" s="1"/>
      <c r="Y52" s="1"/>
      <c r="AB52" s="1"/>
      <c r="AE52" s="1"/>
      <c r="AI52" s="14"/>
      <c r="AJ52" s="14"/>
      <c r="AK52" s="14"/>
      <c r="AL52" s="14"/>
      <c r="AM52" s="14"/>
      <c r="AW52" s="1"/>
      <c r="BE52" s="14"/>
      <c r="BF52" s="27"/>
      <c r="BI52" s="14"/>
      <c r="BJ52" s="14"/>
      <c r="HB52">
        <f>+HB51/30</f>
        <v>81.177777777777763</v>
      </c>
    </row>
    <row r="53" spans="6:214">
      <c r="AW53" s="1"/>
      <c r="CT53">
        <v>780</v>
      </c>
      <c r="CW53" t="s">
        <v>90</v>
      </c>
      <c r="CX53">
        <v>50</v>
      </c>
    </row>
    <row r="54" spans="6:214">
      <c r="CT54">
        <f>+CT48-CT51-CT53</f>
        <v>2190</v>
      </c>
      <c r="CW54" t="s">
        <v>91</v>
      </c>
      <c r="CX54">
        <v>780</v>
      </c>
    </row>
    <row r="59" spans="6:214">
      <c r="F59" t="s">
        <v>11</v>
      </c>
      <c r="G59" s="2">
        <f>+G41-G38</f>
        <v>403.93000000000029</v>
      </c>
      <c r="I59" t="s">
        <v>11</v>
      </c>
      <c r="J59" s="2">
        <f>+J41-J38</f>
        <v>85</v>
      </c>
      <c r="L59" t="s">
        <v>11</v>
      </c>
      <c r="M59" s="2">
        <f>+M41-M38</f>
        <v>225</v>
      </c>
      <c r="N59" s="6"/>
      <c r="O59" t="s">
        <v>29</v>
      </c>
      <c r="P59" s="2">
        <f>+P40-P41</f>
        <v>91.620000000000346</v>
      </c>
      <c r="Q59" s="6"/>
      <c r="R59" t="s">
        <v>29</v>
      </c>
      <c r="S59" s="2">
        <f>+S40-S41</f>
        <v>201.5</v>
      </c>
      <c r="V59" s="2"/>
      <c r="Y59" s="2"/>
      <c r="CT59">
        <f>295*6</f>
        <v>1770</v>
      </c>
      <c r="CW59" t="s">
        <v>92</v>
      </c>
      <c r="CX59">
        <v>642</v>
      </c>
    </row>
    <row r="60" spans="6:214">
      <c r="M60" s="1"/>
      <c r="BE60" s="1"/>
      <c r="CT60">
        <v>330</v>
      </c>
      <c r="CW60" t="s">
        <v>93</v>
      </c>
      <c r="CX60">
        <f>295*6</f>
        <v>1770</v>
      </c>
    </row>
    <row r="61" spans="6:214">
      <c r="F61" t="s">
        <v>22</v>
      </c>
      <c r="G61">
        <v>120</v>
      </c>
      <c r="CT61">
        <f>+CT54-CT59-CT60</f>
        <v>90</v>
      </c>
      <c r="CW61" t="s">
        <v>92</v>
      </c>
      <c r="CX61">
        <v>370</v>
      </c>
    </row>
    <row r="62" spans="6:214">
      <c r="G62" s="1"/>
      <c r="CW62" t="s">
        <v>94</v>
      </c>
      <c r="CX62">
        <f>SUM(CX48:CX61)</f>
        <v>4732</v>
      </c>
    </row>
    <row r="63" spans="6:214">
      <c r="F63" t="s">
        <v>18</v>
      </c>
    </row>
    <row r="64" spans="6:214">
      <c r="F64" t="s">
        <v>19</v>
      </c>
      <c r="G64">
        <v>35</v>
      </c>
    </row>
    <row r="65" spans="7:22">
      <c r="G65" s="1">
        <f>+G64+G63+G62+G61+G40</f>
        <v>460</v>
      </c>
      <c r="U65">
        <f>SUM(U59:U64)</f>
        <v>0</v>
      </c>
    </row>
    <row r="66" spans="7:22">
      <c r="G66" s="1"/>
      <c r="U66">
        <v>6</v>
      </c>
      <c r="V66">
        <v>12</v>
      </c>
    </row>
    <row r="67" spans="7:22">
      <c r="U67">
        <f>+U65/U66</f>
        <v>0</v>
      </c>
      <c r="V67">
        <f>+U65/V66</f>
        <v>0</v>
      </c>
    </row>
    <row r="68" spans="7:22">
      <c r="U68" s="1">
        <f>+J59-U67</f>
        <v>85</v>
      </c>
      <c r="V68" s="1" t="e">
        <f>+J59/V67</f>
        <v>#DIV/0!</v>
      </c>
    </row>
    <row r="69" spans="7:22">
      <c r="U69" s="1"/>
    </row>
  </sheetData>
  <mergeCells count="1">
    <mergeCell ref="BE4:BF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0" workbookViewId="0">
      <selection activeCell="B1" sqref="B1"/>
    </sheetView>
  </sheetViews>
  <sheetFormatPr baseColWidth="10" defaultColWidth="11.42578125" defaultRowHeight="15"/>
  <cols>
    <col min="1" max="1" width="49.5703125" bestFit="1" customWidth="1"/>
    <col min="2" max="2" width="11.85546875" bestFit="1" customWidth="1"/>
  </cols>
  <sheetData>
    <row r="1" spans="1:2">
      <c r="A1" t="s">
        <v>205</v>
      </c>
    </row>
    <row r="5" spans="1:2">
      <c r="B5" s="26"/>
    </row>
    <row r="6" spans="1:2">
      <c r="B6" s="26"/>
    </row>
    <row r="7" spans="1:2">
      <c r="B7" s="33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6:L16"/>
  <sheetViews>
    <sheetView workbookViewId="0">
      <selection activeCell="O13" sqref="O13"/>
    </sheetView>
  </sheetViews>
  <sheetFormatPr baseColWidth="10" defaultColWidth="11.42578125" defaultRowHeight="15"/>
  <cols>
    <col min="5" max="5" width="13.5703125" bestFit="1" customWidth="1"/>
  </cols>
  <sheetData>
    <row r="6" spans="5:12">
      <c r="E6" t="s">
        <v>144</v>
      </c>
      <c r="F6">
        <v>102.25</v>
      </c>
      <c r="G6" t="s">
        <v>146</v>
      </c>
      <c r="H6">
        <f>+F6/3</f>
        <v>34.083333333333336</v>
      </c>
    </row>
    <row r="7" spans="5:12">
      <c r="E7" t="s">
        <v>145</v>
      </c>
      <c r="F7">
        <v>60.5</v>
      </c>
      <c r="G7">
        <v>1</v>
      </c>
      <c r="H7">
        <f>+F7</f>
        <v>60.5</v>
      </c>
    </row>
    <row r="8" spans="5:12">
      <c r="E8" t="s">
        <v>147</v>
      </c>
      <c r="F8">
        <v>59.28</v>
      </c>
      <c r="G8" t="s">
        <v>146</v>
      </c>
      <c r="H8">
        <f t="shared" ref="H8:H13" si="0">+F8/3</f>
        <v>19.760000000000002</v>
      </c>
    </row>
    <row r="9" spans="5:12">
      <c r="E9" t="s">
        <v>148</v>
      </c>
      <c r="F9">
        <v>83.82</v>
      </c>
      <c r="G9" t="s">
        <v>146</v>
      </c>
      <c r="H9">
        <f t="shared" si="0"/>
        <v>27.939999999999998</v>
      </c>
      <c r="L9">
        <v>90</v>
      </c>
    </row>
    <row r="10" spans="5:12">
      <c r="E10" t="s">
        <v>149</v>
      </c>
      <c r="F10">
        <v>68.2</v>
      </c>
      <c r="G10" t="s">
        <v>146</v>
      </c>
      <c r="H10">
        <f t="shared" si="0"/>
        <v>22.733333333333334</v>
      </c>
      <c r="L10">
        <v>5</v>
      </c>
    </row>
    <row r="11" spans="5:12">
      <c r="E11" t="s">
        <v>150</v>
      </c>
      <c r="F11">
        <v>85.3</v>
      </c>
      <c r="G11" t="s">
        <v>146</v>
      </c>
      <c r="H11">
        <f t="shared" si="0"/>
        <v>28.433333333333334</v>
      </c>
      <c r="L11">
        <v>8</v>
      </c>
    </row>
    <row r="12" spans="5:12">
      <c r="E12" t="s">
        <v>151</v>
      </c>
      <c r="F12">
        <v>199.9</v>
      </c>
      <c r="G12" t="s">
        <v>146</v>
      </c>
      <c r="H12">
        <f t="shared" si="0"/>
        <v>66.63333333333334</v>
      </c>
      <c r="L12">
        <v>873</v>
      </c>
    </row>
    <row r="13" spans="5:12">
      <c r="E13" t="s">
        <v>147</v>
      </c>
      <c r="F13">
        <v>89.9</v>
      </c>
      <c r="G13" t="s">
        <v>146</v>
      </c>
      <c r="H13">
        <f t="shared" si="0"/>
        <v>29.966666666666669</v>
      </c>
    </row>
    <row r="14" spans="5:12">
      <c r="E14" t="s">
        <v>152</v>
      </c>
      <c r="F14">
        <v>58</v>
      </c>
      <c r="G14">
        <v>1</v>
      </c>
      <c r="H14">
        <f>+F14</f>
        <v>58</v>
      </c>
      <c r="L14">
        <f>+L12+L9</f>
        <v>963</v>
      </c>
    </row>
    <row r="15" spans="5:12">
      <c r="H15">
        <f>SUM(H6:H14)</f>
        <v>348.05000000000007</v>
      </c>
      <c r="L15">
        <f>+L14-65-31-7.5-7.5</f>
        <v>852</v>
      </c>
    </row>
    <row r="16" spans="5:12">
      <c r="L16">
        <f>+L15/9</f>
        <v>94.666666666666671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Gastos mensuales</vt:lpstr>
      <vt:lpstr>Hoja1</vt:lpstr>
      <vt:lpstr>Hoja2</vt:lpstr>
    </vt:vector>
  </TitlesOfParts>
  <Company>JCSP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Salinas Pinat</dc:creator>
  <cp:lastModifiedBy>Julio</cp:lastModifiedBy>
  <dcterms:created xsi:type="dcterms:W3CDTF">2011-05-29T12:31:22Z</dcterms:created>
  <dcterms:modified xsi:type="dcterms:W3CDTF">2016-04-09T18:00:14Z</dcterms:modified>
</cp:coreProperties>
</file>