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0" windowWidth="2310" windowHeight="1185" activeTab="7"/>
  </bookViews>
  <sheets>
    <sheet name="Main info Mass" sheetId="5" r:id="rId1"/>
    <sheet name="Tower details" sheetId="7" r:id="rId2"/>
    <sheet name="Computations" sheetId="6" r:id="rId3"/>
    <sheet name="Moorings" sheetId="8" r:id="rId4"/>
    <sheet name="Main dim papers" sheetId="9" r:id="rId5"/>
    <sheet name="Moorings help eq pos" sheetId="10" r:id="rId6"/>
    <sheet name="Freqeuncy domain model" sheetId="11" r:id="rId7"/>
    <sheet name="OpenFAST model" sheetId="12" r:id="rId8"/>
  </sheets>
  <definedNames>
    <definedName name="e">#REF!</definedName>
    <definedName name="g">'Main info Mass'!$Q$3</definedName>
    <definedName name="M10_body">'Tower details'!#REF!</definedName>
    <definedName name="M10_head">'Tower details'!#REF!</definedName>
    <definedName name="M6_body">'Tower details'!#REF!</definedName>
    <definedName name="M6_head">'Tower details'!#REF!</definedName>
    <definedName name="M8_body">'Tower details'!#REF!</definedName>
    <definedName name="M8_head">'Tower details'!#REF!</definedName>
    <definedName name="scale">'Main info Mass'!$G$6</definedName>
  </definedNames>
  <calcPr calcId="145621" iterateDelta="1E-4"/>
</workbook>
</file>

<file path=xl/calcChain.xml><?xml version="1.0" encoding="utf-8"?>
<calcChain xmlns="http://schemas.openxmlformats.org/spreadsheetml/2006/main">
  <c r="D29" i="12" l="1"/>
  <c r="E25" i="12"/>
  <c r="D27" i="12"/>
  <c r="F3" i="12"/>
  <c r="D13" i="12"/>
  <c r="D14" i="12"/>
  <c r="C14" i="6" l="1"/>
  <c r="D56" i="5" l="1"/>
  <c r="H56" i="5"/>
  <c r="D58" i="5" s="1"/>
  <c r="D59" i="5" s="1"/>
  <c r="G57" i="5" s="1"/>
  <c r="H57" i="5"/>
  <c r="H55" i="5"/>
  <c r="D57" i="5"/>
  <c r="H62" i="5"/>
  <c r="C58" i="5"/>
  <c r="F55" i="5"/>
  <c r="E55" i="5"/>
  <c r="D55" i="5"/>
  <c r="C55" i="5"/>
  <c r="J13" i="5"/>
  <c r="G56" i="5" l="1"/>
  <c r="G55" i="5"/>
  <c r="F58" i="5" s="1"/>
  <c r="C2" i="11"/>
  <c r="G20" i="11" l="1"/>
  <c r="B19" i="11"/>
  <c r="C18" i="11" s="1"/>
  <c r="F15" i="11"/>
  <c r="E16" i="11" s="1"/>
  <c r="B15" i="11"/>
  <c r="G13" i="11"/>
  <c r="F12" i="11"/>
  <c r="E11" i="11"/>
  <c r="F19" i="11" s="1"/>
  <c r="D10" i="11"/>
  <c r="D17" i="11" s="1"/>
  <c r="C9" i="11"/>
  <c r="C16" i="11" s="1"/>
  <c r="B8" i="11"/>
  <c r="E6" i="11"/>
  <c r="E18" i="11" l="1"/>
  <c r="D29" i="10" l="1"/>
  <c r="D30" i="10"/>
  <c r="D28" i="10"/>
  <c r="H9" i="10" l="1"/>
  <c r="M19" i="8"/>
  <c r="M18" i="8"/>
  <c r="M20" i="8"/>
  <c r="M21" i="8"/>
  <c r="J7" i="10"/>
  <c r="H7" i="10"/>
  <c r="N4" i="10"/>
  <c r="L4" i="10"/>
  <c r="J4" i="10"/>
  <c r="H4" i="10"/>
  <c r="C13" i="10"/>
  <c r="C12" i="10"/>
  <c r="C11" i="10"/>
  <c r="C5" i="10"/>
  <c r="C6" i="10"/>
  <c r="C4" i="10"/>
  <c r="C58" i="7" l="1"/>
  <c r="I47" i="7"/>
  <c r="J47" i="7" l="1"/>
  <c r="I48" i="7"/>
  <c r="J48" i="7" s="1"/>
  <c r="I50" i="7"/>
  <c r="J50" i="7" s="1"/>
  <c r="I49" i="7"/>
  <c r="J49" i="7" s="1"/>
  <c r="R34" i="8"/>
  <c r="E93" i="9" l="1"/>
  <c r="E94" i="9"/>
  <c r="E95" i="9"/>
  <c r="E91" i="9"/>
  <c r="F3" i="9" l="1"/>
  <c r="M38" i="9"/>
  <c r="M47" i="9" s="1"/>
  <c r="M41" i="9"/>
  <c r="M39" i="9"/>
  <c r="D8" i="9" l="1"/>
  <c r="G51" i="9" s="1"/>
  <c r="E71" i="9"/>
  <c r="E72" i="9"/>
  <c r="G52" i="9"/>
  <c r="G60" i="9"/>
  <c r="F57" i="9"/>
  <c r="F52" i="9"/>
  <c r="F46" i="9"/>
  <c r="F44" i="9"/>
  <c r="F60" i="9"/>
  <c r="P27" i="9"/>
  <c r="P21" i="9"/>
  <c r="F51" i="9"/>
  <c r="G42" i="9"/>
  <c r="F42" i="9"/>
  <c r="F58" i="9"/>
  <c r="P31" i="9"/>
  <c r="P26" i="9"/>
  <c r="P14" i="9"/>
  <c r="G46" i="9"/>
  <c r="G43" i="9"/>
  <c r="G56" i="9"/>
  <c r="F59" i="9"/>
  <c r="P30" i="9"/>
  <c r="P18" i="9"/>
  <c r="P13" i="9"/>
  <c r="G47" i="9"/>
  <c r="F61" i="9"/>
  <c r="P29" i="9"/>
  <c r="P17" i="9"/>
  <c r="M48" i="9"/>
  <c r="M9" i="9"/>
  <c r="N22" i="9" s="1"/>
  <c r="P15" i="9"/>
  <c r="P19" i="9"/>
  <c r="P28" i="9"/>
  <c r="P32" i="9"/>
  <c r="F56" i="9"/>
  <c r="G58" i="9"/>
  <c r="G62" i="9"/>
  <c r="G44" i="9"/>
  <c r="M50" i="9"/>
  <c r="M49" i="9"/>
  <c r="N29" i="9"/>
  <c r="N21" i="9"/>
  <c r="N14" i="9"/>
  <c r="N28" i="9"/>
  <c r="N32" i="9"/>
  <c r="N17" i="9"/>
  <c r="N13" i="9"/>
  <c r="G23" i="9"/>
  <c r="G32" i="9"/>
  <c r="F13" i="9"/>
  <c r="G13" i="9" s="1"/>
  <c r="G34" i="9"/>
  <c r="G31" i="9"/>
  <c r="G30" i="9"/>
  <c r="G29" i="9"/>
  <c r="G27" i="9"/>
  <c r="G25" i="9"/>
  <c r="G24" i="9"/>
  <c r="G22" i="9"/>
  <c r="G21" i="9"/>
  <c r="G20" i="9"/>
  <c r="G19" i="9"/>
  <c r="G18" i="9"/>
  <c r="G17" i="9"/>
  <c r="G16" i="9"/>
  <c r="G15" i="9"/>
  <c r="G14" i="9"/>
  <c r="G12" i="9"/>
  <c r="E33" i="9"/>
  <c r="E34" i="9"/>
  <c r="E32" i="9"/>
  <c r="E31" i="9"/>
  <c r="E30" i="9"/>
  <c r="E29" i="9"/>
  <c r="E17" i="9"/>
  <c r="E18" i="9"/>
  <c r="E16" i="9"/>
  <c r="E13" i="9"/>
  <c r="E14" i="9"/>
  <c r="E12" i="9"/>
  <c r="E28" i="9"/>
  <c r="E27" i="9"/>
  <c r="E25" i="9"/>
  <c r="E24" i="9"/>
  <c r="E22" i="9"/>
  <c r="E21" i="9"/>
  <c r="E20" i="9"/>
  <c r="E19" i="9"/>
  <c r="E15" i="9"/>
  <c r="G28" i="9" l="1"/>
  <c r="G33" i="9"/>
  <c r="E23" i="9"/>
  <c r="N23" i="9"/>
  <c r="N19" i="9"/>
  <c r="N25" i="9"/>
  <c r="F47" i="9"/>
  <c r="F62" i="9"/>
  <c r="P23" i="9"/>
  <c r="F43" i="9"/>
  <c r="P25" i="9"/>
  <c r="G61" i="9"/>
  <c r="P20" i="9"/>
  <c r="G57" i="9"/>
  <c r="P16" i="9"/>
  <c r="G59" i="9"/>
  <c r="P22" i="9"/>
  <c r="N26" i="9"/>
  <c r="N16" i="9"/>
  <c r="F53" i="9"/>
  <c r="G54" i="9"/>
  <c r="F54" i="9"/>
  <c r="G53" i="9"/>
  <c r="N27" i="9"/>
  <c r="N15" i="9"/>
  <c r="N20" i="9"/>
  <c r="N31" i="9"/>
  <c r="N18" i="9"/>
  <c r="N30" i="9"/>
  <c r="C39" i="5"/>
  <c r="C28" i="8" l="1"/>
  <c r="D28" i="8"/>
  <c r="H28" i="8" l="1"/>
  <c r="I27" i="8"/>
  <c r="J27" i="8"/>
  <c r="K27" i="8"/>
  <c r="E28" i="8"/>
  <c r="C38" i="5" l="1"/>
  <c r="N27" i="8"/>
  <c r="O27" i="8"/>
  <c r="N29" i="8"/>
  <c r="O29" i="8"/>
  <c r="C32" i="8"/>
  <c r="D47" i="8"/>
  <c r="E47" i="8"/>
  <c r="C47" i="8"/>
  <c r="D52" i="8"/>
  <c r="E52" i="8"/>
  <c r="C52" i="8"/>
  <c r="K42" i="8"/>
  <c r="J42" i="8"/>
  <c r="I42" i="8"/>
  <c r="K41" i="8"/>
  <c r="J41" i="8"/>
  <c r="I41" i="8"/>
  <c r="H41" i="8"/>
  <c r="H39" i="8"/>
  <c r="H38" i="8"/>
  <c r="H37" i="8"/>
  <c r="H36" i="8"/>
  <c r="C36" i="8"/>
  <c r="C38" i="8" s="1"/>
  <c r="C39" i="8" s="1"/>
  <c r="H35" i="8"/>
  <c r="H33" i="8"/>
  <c r="H32" i="8"/>
  <c r="H31" i="8"/>
  <c r="H30" i="8"/>
  <c r="C30" i="8"/>
  <c r="I30" i="8" s="1"/>
  <c r="I29" i="8"/>
  <c r="J32" i="8" s="1"/>
  <c r="H29" i="8"/>
  <c r="H26" i="8"/>
  <c r="C26" i="8"/>
  <c r="I26" i="8" s="1"/>
  <c r="I25" i="8"/>
  <c r="H25" i="8"/>
  <c r="H24" i="8"/>
  <c r="F107" i="8"/>
  <c r="E107" i="8"/>
  <c r="D107" i="8"/>
  <c r="D105" i="8"/>
  <c r="F105" i="8" s="1"/>
  <c r="D98" i="8"/>
  <c r="C97" i="8"/>
  <c r="D95" i="8"/>
  <c r="D94" i="8"/>
  <c r="D97" i="8" s="1"/>
  <c r="N30" i="8" l="1"/>
  <c r="O30" i="8"/>
  <c r="E19" i="8"/>
  <c r="E18" i="8"/>
  <c r="C10" i="8"/>
  <c r="D10" i="8"/>
  <c r="C11" i="8"/>
  <c r="D11" i="8"/>
  <c r="C12" i="8"/>
  <c r="D12" i="8"/>
  <c r="F10" i="8"/>
  <c r="G10" i="8"/>
  <c r="H10" i="8"/>
  <c r="E11" i="8"/>
  <c r="F11" i="8"/>
  <c r="G11" i="8"/>
  <c r="H11" i="8"/>
  <c r="E12" i="8"/>
  <c r="F12" i="8"/>
  <c r="G12" i="8"/>
  <c r="H12" i="8"/>
  <c r="I3" i="8"/>
  <c r="C18" i="8"/>
  <c r="C17" i="8"/>
  <c r="C16" i="8"/>
  <c r="U31" i="8" l="1"/>
  <c r="U36" i="8"/>
  <c r="S35" i="8"/>
  <c r="U24" i="8"/>
  <c r="U37" i="8"/>
  <c r="S33" i="8"/>
  <c r="S29" i="8"/>
  <c r="S31" i="8"/>
  <c r="U35" i="8"/>
  <c r="U27" i="8"/>
  <c r="U23" i="8"/>
  <c r="U32" i="8"/>
  <c r="U34" i="8"/>
  <c r="U33" i="8"/>
  <c r="U28" i="8"/>
  <c r="S27" i="8"/>
  <c r="U29" i="8"/>
  <c r="S28" i="8"/>
  <c r="S32" i="8"/>
  <c r="U30" i="8"/>
  <c r="U25" i="8"/>
  <c r="S34" i="8"/>
  <c r="S37" i="8"/>
  <c r="U26" i="8"/>
  <c r="S30" i="8"/>
  <c r="S36" i="8"/>
  <c r="S26" i="8"/>
  <c r="F39" i="5"/>
  <c r="F40" i="5" s="1"/>
  <c r="E39" i="5"/>
  <c r="E40" i="5" s="1"/>
  <c r="C27" i="6"/>
  <c r="C26" i="6"/>
  <c r="C25" i="6"/>
  <c r="C117" i="7"/>
  <c r="C19" i="6"/>
  <c r="C20" i="6"/>
  <c r="C21" i="6"/>
  <c r="C22" i="6"/>
  <c r="C23" i="6"/>
  <c r="C24" i="6"/>
  <c r="C18" i="6"/>
  <c r="C46" i="5" l="1"/>
  <c r="I40" i="5" l="1"/>
  <c r="I41" i="5"/>
  <c r="I39" i="5"/>
  <c r="C41" i="5"/>
  <c r="C40" i="5"/>
  <c r="E23" i="5"/>
  <c r="M139" i="7" l="1"/>
  <c r="M140" i="7"/>
  <c r="M138" i="7"/>
  <c r="C18" i="7"/>
  <c r="N128" i="7" l="1"/>
  <c r="N127" i="7"/>
  <c r="M125" i="7"/>
  <c r="M124" i="7"/>
  <c r="M123" i="7"/>
  <c r="M122" i="7"/>
  <c r="M119" i="7"/>
  <c r="M118" i="7"/>
  <c r="M117" i="7"/>
  <c r="M116" i="7"/>
  <c r="M115" i="7"/>
  <c r="M34" i="7"/>
  <c r="M33" i="7"/>
  <c r="M32" i="7"/>
  <c r="N24" i="7"/>
  <c r="N23" i="7"/>
  <c r="M21" i="7"/>
  <c r="M20" i="7"/>
  <c r="M19" i="7"/>
  <c r="M18" i="7"/>
  <c r="M15" i="7"/>
  <c r="M14" i="7"/>
  <c r="M13" i="7"/>
  <c r="M12" i="7"/>
  <c r="M11" i="7"/>
  <c r="G140" i="7"/>
  <c r="M142" i="7"/>
  <c r="G139" i="7"/>
  <c r="M110" i="7"/>
  <c r="Q109" i="7"/>
  <c r="O109" i="7"/>
  <c r="N109" i="7"/>
  <c r="M109" i="7"/>
  <c r="C90" i="7"/>
  <c r="C89" i="7"/>
  <c r="T102" i="7"/>
  <c r="T101" i="7"/>
  <c r="T100" i="7"/>
  <c r="T99" i="7"/>
  <c r="T98" i="7"/>
  <c r="T97" i="7"/>
  <c r="M97" i="7"/>
  <c r="G102" i="7"/>
  <c r="G101" i="7"/>
  <c r="G100" i="7"/>
  <c r="G99" i="7"/>
  <c r="G98" i="7"/>
  <c r="G97" i="7"/>
  <c r="E86" i="7"/>
  <c r="C86" i="7"/>
  <c r="C84" i="7"/>
  <c r="E84" i="7"/>
  <c r="M92" i="7"/>
  <c r="C92" i="7"/>
  <c r="M91" i="7"/>
  <c r="M86" i="7"/>
  <c r="M85" i="7"/>
  <c r="M84" i="7"/>
  <c r="Q83" i="7"/>
  <c r="O83" i="7"/>
  <c r="N83" i="7"/>
  <c r="M83" i="7"/>
  <c r="Q46" i="7"/>
  <c r="C101" i="7" l="1"/>
  <c r="C102" i="7" s="1"/>
  <c r="C97" i="7"/>
  <c r="T63" i="7"/>
  <c r="T64" i="7"/>
  <c r="T65" i="7"/>
  <c r="T66" i="7"/>
  <c r="T67" i="7"/>
  <c r="T68" i="7"/>
  <c r="T69" i="7"/>
  <c r="T72" i="7"/>
  <c r="T73" i="7"/>
  <c r="T74" i="7"/>
  <c r="T75" i="7"/>
  <c r="T62" i="7"/>
  <c r="M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62" i="7"/>
  <c r="C74" i="7"/>
  <c r="C75" i="7" s="1"/>
  <c r="C72" i="7"/>
  <c r="C73" i="7" s="1"/>
  <c r="C68" i="7"/>
  <c r="C69" i="7" s="1"/>
  <c r="C66" i="7"/>
  <c r="C67" i="7" s="1"/>
  <c r="C64" i="7"/>
  <c r="C65" i="7" s="1"/>
  <c r="C62" i="7"/>
  <c r="C63" i="7" s="1"/>
  <c r="E15" i="5"/>
  <c r="C98" i="7" l="1"/>
  <c r="M38" i="7"/>
  <c r="N37" i="7"/>
  <c r="M37" i="7"/>
  <c r="M40" i="7"/>
  <c r="M57" i="7"/>
  <c r="M56" i="7"/>
  <c r="C57" i="7"/>
  <c r="N46" i="7"/>
  <c r="O46" i="7"/>
  <c r="M47" i="7"/>
  <c r="M48" i="7"/>
  <c r="M49" i="7"/>
  <c r="M50" i="7"/>
  <c r="M51" i="7"/>
  <c r="M52" i="7"/>
  <c r="M53" i="7"/>
  <c r="M46" i="7"/>
  <c r="M42" i="7"/>
  <c r="M43" i="7"/>
  <c r="M41" i="7"/>
  <c r="E51" i="7"/>
  <c r="C151" i="7"/>
  <c r="G110" i="7" s="1"/>
  <c r="H139" i="7" s="1"/>
  <c r="H140" i="7" s="1"/>
  <c r="C150" i="7"/>
  <c r="C152" i="7"/>
  <c r="E85" i="7" l="1"/>
  <c r="E110" i="7" s="1"/>
  <c r="C139" i="7" s="1"/>
  <c r="C59" i="7"/>
  <c r="I51" i="7"/>
  <c r="J51" i="7" s="1"/>
  <c r="J55" i="7" s="1"/>
  <c r="I52" i="7"/>
  <c r="J52" i="7" s="1"/>
  <c r="I53" i="7"/>
  <c r="J53" i="7" s="1"/>
  <c r="C112" i="7"/>
  <c r="C99" i="7"/>
  <c r="H85" i="7"/>
  <c r="D99" i="7" s="1"/>
  <c r="H110" i="7"/>
  <c r="G85" i="7"/>
  <c r="C94" i="7"/>
  <c r="C70" i="7"/>
  <c r="G51" i="7"/>
  <c r="F3" i="7"/>
  <c r="H4" i="6"/>
  <c r="H9" i="6" s="1"/>
  <c r="C10" i="6" s="1"/>
  <c r="C4" i="6" s="1"/>
  <c r="H8" i="6" l="1"/>
  <c r="H10" i="6"/>
  <c r="H11" i="6"/>
  <c r="D140" i="7"/>
  <c r="D139" i="7"/>
  <c r="B98" i="7"/>
  <c r="B100" i="7" s="1"/>
  <c r="D100" i="7"/>
  <c r="E99" i="7"/>
  <c r="C100" i="7"/>
  <c r="C71" i="7"/>
  <c r="H51" i="7"/>
  <c r="B63" i="7"/>
  <c r="B65" i="7" s="1"/>
  <c r="H7" i="6"/>
  <c r="H86" i="7" l="1"/>
  <c r="D101" i="7" s="1"/>
  <c r="D102" i="7" s="1"/>
  <c r="H84" i="7"/>
  <c r="B102" i="7"/>
  <c r="M102" i="7" s="1"/>
  <c r="M100" i="7"/>
  <c r="B101" i="7"/>
  <c r="M101" i="7" s="1"/>
  <c r="M143" i="7"/>
  <c r="E100" i="7"/>
  <c r="B99" i="7"/>
  <c r="M99" i="7" s="1"/>
  <c r="M98" i="7"/>
  <c r="H53" i="7"/>
  <c r="D74" i="7" s="1"/>
  <c r="D75" i="7" s="1"/>
  <c r="H52" i="7"/>
  <c r="H49" i="7"/>
  <c r="D66" i="7" s="1"/>
  <c r="D67" i="7" s="1"/>
  <c r="H50" i="7"/>
  <c r="D68" i="7" s="1"/>
  <c r="B66" i="7"/>
  <c r="M66" i="7" s="1"/>
  <c r="M65" i="7"/>
  <c r="H48" i="7"/>
  <c r="H47" i="7"/>
  <c r="B64" i="7"/>
  <c r="M64" i="7" s="1"/>
  <c r="M63" i="7"/>
  <c r="D70" i="7"/>
  <c r="D71" i="7"/>
  <c r="B67" i="7"/>
  <c r="M67" i="7" s="1"/>
  <c r="G6" i="5"/>
  <c r="E68" i="9" l="1"/>
  <c r="E70" i="9"/>
  <c r="E69" i="9"/>
  <c r="E67" i="9"/>
  <c r="I33" i="8"/>
  <c r="J28" i="8"/>
  <c r="K28" i="8"/>
  <c r="I28" i="8"/>
  <c r="J31" i="5"/>
  <c r="J48" i="5"/>
  <c r="J43" i="5"/>
  <c r="J30" i="5"/>
  <c r="J45" i="5"/>
  <c r="J44" i="5"/>
  <c r="J50" i="5"/>
  <c r="J49" i="5"/>
  <c r="J46" i="5"/>
  <c r="N71" i="7"/>
  <c r="K57" i="8"/>
  <c r="J56" i="8"/>
  <c r="I55" i="8"/>
  <c r="I51" i="8"/>
  <c r="K46" i="8"/>
  <c r="J45" i="8"/>
  <c r="I35" i="8"/>
  <c r="I32" i="8"/>
  <c r="I31" i="8"/>
  <c r="J57" i="8"/>
  <c r="I56" i="8"/>
  <c r="J52" i="8"/>
  <c r="K50" i="8"/>
  <c r="J46" i="8"/>
  <c r="I45" i="8"/>
  <c r="I57" i="8"/>
  <c r="K55" i="8"/>
  <c r="K51" i="8"/>
  <c r="J50" i="8"/>
  <c r="I46" i="8"/>
  <c r="K56" i="8"/>
  <c r="J55" i="8"/>
  <c r="J51" i="8"/>
  <c r="I50" i="8"/>
  <c r="K45" i="8"/>
  <c r="I37" i="8"/>
  <c r="I39" i="8"/>
  <c r="J47" i="8"/>
  <c r="I52" i="8"/>
  <c r="I36" i="8"/>
  <c r="K47" i="8"/>
  <c r="I47" i="8"/>
  <c r="K52" i="8"/>
  <c r="I38" i="8"/>
  <c r="J41" i="5"/>
  <c r="J39" i="5"/>
  <c r="J40" i="5"/>
  <c r="R51" i="7"/>
  <c r="O100" i="7"/>
  <c r="P100" i="7" s="1"/>
  <c r="N117" i="7"/>
  <c r="R84" i="7"/>
  <c r="N100" i="7"/>
  <c r="R48" i="7"/>
  <c r="J18" i="5"/>
  <c r="J20" i="5"/>
  <c r="J19" i="5"/>
  <c r="N138" i="7"/>
  <c r="J28" i="5"/>
  <c r="M28" i="5" s="1"/>
  <c r="K28" i="5"/>
  <c r="J27" i="5"/>
  <c r="M27" i="5" s="1"/>
  <c r="K27" i="5"/>
  <c r="S142" i="7"/>
  <c r="N139" i="7"/>
  <c r="N140" i="7"/>
  <c r="J29" i="5"/>
  <c r="M29" i="5" s="1"/>
  <c r="K29" i="5"/>
  <c r="O124" i="7"/>
  <c r="O133" i="7" s="1"/>
  <c r="N123" i="7"/>
  <c r="O119" i="7"/>
  <c r="O20" i="7"/>
  <c r="O29" i="7" s="1"/>
  <c r="N19" i="7"/>
  <c r="O14" i="7"/>
  <c r="N13" i="7"/>
  <c r="Q142" i="7"/>
  <c r="Q102" i="7"/>
  <c r="Q100" i="7"/>
  <c r="Q98" i="7"/>
  <c r="N91" i="7"/>
  <c r="N85" i="7"/>
  <c r="Q50" i="7"/>
  <c r="N118" i="7"/>
  <c r="N129" i="7" s="1"/>
  <c r="O125" i="7"/>
  <c r="O134" i="7" s="1"/>
  <c r="N124" i="7"/>
  <c r="N119" i="7"/>
  <c r="O117" i="7"/>
  <c r="O115" i="7"/>
  <c r="O21" i="7"/>
  <c r="O30" i="7" s="1"/>
  <c r="N20" i="7"/>
  <c r="O15" i="7"/>
  <c r="N14" i="7"/>
  <c r="N25" i="7" s="1"/>
  <c r="O11" i="7"/>
  <c r="Q143" i="7"/>
  <c r="N122" i="7"/>
  <c r="N131" i="7" s="1"/>
  <c r="N125" i="7"/>
  <c r="O122" i="7"/>
  <c r="O131" i="7" s="1"/>
  <c r="N115" i="7"/>
  <c r="N21" i="7"/>
  <c r="O18" i="7"/>
  <c r="O27" i="7" s="1"/>
  <c r="N15" i="7"/>
  <c r="O12" i="7"/>
  <c r="N11" i="7"/>
  <c r="Q101" i="7"/>
  <c r="Q99" i="7"/>
  <c r="Q97" i="7"/>
  <c r="Q86" i="7"/>
  <c r="Q84" i="7"/>
  <c r="O123" i="7"/>
  <c r="O132" i="7" s="1"/>
  <c r="O118" i="7"/>
  <c r="O116" i="7"/>
  <c r="O19" i="7"/>
  <c r="O28" i="7" s="1"/>
  <c r="N18" i="7"/>
  <c r="N27" i="7" s="1"/>
  <c r="N28" i="7" s="1"/>
  <c r="O13" i="7"/>
  <c r="N12" i="7"/>
  <c r="N110" i="7"/>
  <c r="P86" i="7"/>
  <c r="P84" i="7"/>
  <c r="R98" i="7"/>
  <c r="N92" i="7"/>
  <c r="R100" i="7"/>
  <c r="R97" i="7"/>
  <c r="R102" i="7"/>
  <c r="N86" i="7"/>
  <c r="R142" i="7"/>
  <c r="R101" i="7"/>
  <c r="R99" i="7"/>
  <c r="R143" i="7"/>
  <c r="N84" i="7"/>
  <c r="N97" i="7"/>
  <c r="N102" i="7"/>
  <c r="N101" i="7"/>
  <c r="P110" i="7"/>
  <c r="N98" i="7"/>
  <c r="P85" i="7"/>
  <c r="Q51" i="7"/>
  <c r="S70" i="7" s="1"/>
  <c r="R110" i="7"/>
  <c r="Q85" i="7"/>
  <c r="R85" i="7"/>
  <c r="O99" i="7"/>
  <c r="P99" i="7" s="1"/>
  <c r="N99" i="7"/>
  <c r="N116" i="7"/>
  <c r="R50" i="7"/>
  <c r="R86" i="7"/>
  <c r="R49" i="7"/>
  <c r="D97" i="7"/>
  <c r="D98" i="7" s="1"/>
  <c r="O101" i="7"/>
  <c r="P101" i="7" s="1"/>
  <c r="E101" i="7"/>
  <c r="Q110" i="7"/>
  <c r="D69" i="7"/>
  <c r="D72" i="7"/>
  <c r="K36" i="5"/>
  <c r="Q63" i="7"/>
  <c r="Q65" i="7"/>
  <c r="Q67" i="7"/>
  <c r="Q69" i="7"/>
  <c r="Q71" i="7"/>
  <c r="Q73" i="7"/>
  <c r="Q75" i="7"/>
  <c r="Q64" i="7"/>
  <c r="N67" i="7"/>
  <c r="Q66" i="7"/>
  <c r="Q68" i="7"/>
  <c r="Q70" i="7"/>
  <c r="Q72" i="7"/>
  <c r="Q74" i="7"/>
  <c r="R62" i="7"/>
  <c r="Q62" i="7"/>
  <c r="N63" i="7"/>
  <c r="Q52" i="7"/>
  <c r="Q53" i="7"/>
  <c r="R75" i="7"/>
  <c r="N65" i="7"/>
  <c r="R66" i="7"/>
  <c r="R69" i="7"/>
  <c r="R64" i="7"/>
  <c r="N74" i="7"/>
  <c r="Q47" i="7"/>
  <c r="R71" i="7"/>
  <c r="N73" i="7"/>
  <c r="N69" i="7"/>
  <c r="R65" i="7"/>
  <c r="N62" i="7"/>
  <c r="N66" i="7"/>
  <c r="Q48" i="7"/>
  <c r="R67" i="7"/>
  <c r="R74" i="7"/>
  <c r="N75" i="7"/>
  <c r="R72" i="7"/>
  <c r="N72" i="7"/>
  <c r="Q49" i="7"/>
  <c r="N68" i="7"/>
  <c r="R63" i="7"/>
  <c r="R70" i="7"/>
  <c r="R73" i="7"/>
  <c r="R68" i="7"/>
  <c r="N64" i="7"/>
  <c r="P52" i="7"/>
  <c r="N56" i="7"/>
  <c r="P48" i="7"/>
  <c r="P53" i="7"/>
  <c r="N50" i="7"/>
  <c r="N47" i="7"/>
  <c r="N38" i="7"/>
  <c r="P49" i="7"/>
  <c r="P47" i="7"/>
  <c r="N51" i="7"/>
  <c r="P50" i="7"/>
  <c r="N48" i="7"/>
  <c r="N52" i="7"/>
  <c r="N39" i="7"/>
  <c r="N49" i="7"/>
  <c r="N53" i="7"/>
  <c r="N57" i="7"/>
  <c r="P51" i="7"/>
  <c r="N41" i="7"/>
  <c r="N40" i="7"/>
  <c r="N42" i="7"/>
  <c r="J37" i="5"/>
  <c r="N70" i="7"/>
  <c r="N43" i="7"/>
  <c r="E70" i="7"/>
  <c r="O70" i="7"/>
  <c r="P70" i="7" s="1"/>
  <c r="E71" i="7"/>
  <c r="O71" i="7"/>
  <c r="P71" i="7" s="1"/>
  <c r="R52" i="7"/>
  <c r="B68" i="7"/>
  <c r="M68" i="7" s="1"/>
  <c r="B69" i="7"/>
  <c r="M69" i="7" s="1"/>
  <c r="R53" i="7"/>
  <c r="D64" i="7"/>
  <c r="D63" i="7"/>
  <c r="D65" i="7"/>
  <c r="D62" i="7"/>
  <c r="R47" i="7"/>
  <c r="K12" i="5"/>
  <c r="J12" i="5"/>
  <c r="K13" i="5"/>
  <c r="K35" i="5"/>
  <c r="J35" i="5"/>
  <c r="J36" i="5"/>
  <c r="J11" i="5"/>
  <c r="K11" i="5"/>
  <c r="N132" i="7" l="1"/>
  <c r="N30" i="7"/>
  <c r="N134" i="7"/>
  <c r="S143" i="7"/>
  <c r="T143" i="7" s="1"/>
  <c r="T142" i="7"/>
  <c r="E97" i="7"/>
  <c r="O97" i="7"/>
  <c r="P97" i="7" s="1"/>
  <c r="O142" i="7"/>
  <c r="P142" i="7" s="1"/>
  <c r="E139" i="7"/>
  <c r="E102" i="7"/>
  <c r="O102" i="7"/>
  <c r="P102" i="7" s="1"/>
  <c r="S71" i="7"/>
  <c r="T71" i="7" s="1"/>
  <c r="T70" i="7"/>
  <c r="E75" i="7"/>
  <c r="O75" i="7"/>
  <c r="P75" i="7" s="1"/>
  <c r="E74" i="7"/>
  <c r="O74" i="7"/>
  <c r="P74" i="7" s="1"/>
  <c r="E63" i="7"/>
  <c r="O63" i="7"/>
  <c r="P63" i="7" s="1"/>
  <c r="E62" i="7"/>
  <c r="O62" i="7"/>
  <c r="P62" i="7" s="1"/>
  <c r="E66" i="7"/>
  <c r="O66" i="7"/>
  <c r="P66" i="7" s="1"/>
  <c r="E65" i="7"/>
  <c r="O65" i="7"/>
  <c r="P65" i="7" s="1"/>
  <c r="E64" i="7"/>
  <c r="O64" i="7"/>
  <c r="P64" i="7" s="1"/>
  <c r="B70" i="7"/>
  <c r="M70" i="7" s="1"/>
  <c r="B71" i="7"/>
  <c r="M71" i="7" s="1"/>
  <c r="N142" i="7" l="1"/>
  <c r="C140" i="7"/>
  <c r="N143" i="7" s="1"/>
  <c r="O143" i="7"/>
  <c r="P143" i="7" s="1"/>
  <c r="E140" i="7"/>
  <c r="E98" i="7"/>
  <c r="O98" i="7"/>
  <c r="P98" i="7" s="1"/>
  <c r="B72" i="7"/>
  <c r="M72" i="7" s="1"/>
  <c r="B73" i="7"/>
  <c r="M73" i="7" s="1"/>
  <c r="B74" i="7" l="1"/>
  <c r="M74" i="7" s="1"/>
  <c r="B75" i="7"/>
  <c r="M75" i="7" s="1"/>
  <c r="O67" i="7"/>
  <c r="P67" i="7" s="1"/>
  <c r="E67" i="7"/>
  <c r="E68" i="7"/>
  <c r="E72" i="7"/>
  <c r="O72" i="7" l="1"/>
  <c r="P72" i="7" s="1"/>
  <c r="D73" i="7"/>
  <c r="O68" i="7"/>
  <c r="P68" i="7" s="1"/>
  <c r="E69" i="7" l="1"/>
  <c r="O69" i="7"/>
  <c r="P69" i="7" s="1"/>
  <c r="E73" i="7"/>
  <c r="O73" i="7"/>
  <c r="P73" i="7" s="1"/>
</calcChain>
</file>

<file path=xl/sharedStrings.xml><?xml version="1.0" encoding="utf-8"?>
<sst xmlns="http://schemas.openxmlformats.org/spreadsheetml/2006/main" count="1016" uniqueCount="505">
  <si>
    <t>ZCOG [m] from Keel</t>
  </si>
  <si>
    <t>Tour + Nacelle</t>
  </si>
  <si>
    <t>source</t>
  </si>
  <si>
    <t>mesuré: voir E9906-SE000-PE01 Nomenclature nacelle_B</t>
  </si>
  <si>
    <t>Input informations for Numerical model</t>
  </si>
  <si>
    <t>Masse [kg]</t>
  </si>
  <si>
    <t>Floater + Wind Turbine</t>
  </si>
  <si>
    <t>Mesures 30/01/2020</t>
  </si>
  <si>
    <t>Incertitudes mesures</t>
  </si>
  <si>
    <t>Valeurs retenues pour modèlisation</t>
  </si>
  <si>
    <t>Definition : la tower base  pour le modèle numérique correspond au sommet du bouchon supérieur. C'est donc 30mm (décollement) au dessus du tower base convention "bassin"</t>
  </si>
  <si>
    <t>incertitude</t>
  </si>
  <si>
    <t>source donnée</t>
  </si>
  <si>
    <t>Height buoy + bouchon sup [m]</t>
  </si>
  <si>
    <t>géométrie tôle + bouchons</t>
  </si>
  <si>
    <t>Draft buoy [m]</t>
  </si>
  <si>
    <t>mesure pied à coulisse</t>
  </si>
  <si>
    <t>Tower Base height from MSL [m]</t>
  </si>
  <si>
    <t>Tower height (twr base to twr top)[m]</t>
  </si>
  <si>
    <t>mesure sur plan E9906-SE000-PE01 Nomenclature nacelle_B</t>
  </si>
  <si>
    <t>Hub height above MSL [m]</t>
  </si>
  <si>
    <t>Mass RNA above twr Top [kg]</t>
  </si>
  <si>
    <t>calculé depuis mesure + estimation visserie</t>
  </si>
  <si>
    <t>CoG X RNA above twr top [m]</t>
  </si>
  <si>
    <t>CoG Y RNA above twr top [m]</t>
  </si>
  <si>
    <t>CoG Z RNA above twr top [m]</t>
  </si>
  <si>
    <t>Inertia RNA xx around CoG RNA [kg.m^-2]</t>
  </si>
  <si>
    <t>?</t>
  </si>
  <si>
    <t>CAO voir E9906-SE000-PE01 Nomenclature nacelle_B</t>
  </si>
  <si>
    <t>Inertia RNA yy around CoG RNA [kg.m^-2]</t>
  </si>
  <si>
    <t>Inertia RNA zz around CoG RNA [kg.m^-2]</t>
  </si>
  <si>
    <t>Platform Pitch Natural period computation</t>
  </si>
  <si>
    <t>KH [5,5] computation</t>
  </si>
  <si>
    <t>T Computation [s]</t>
  </si>
  <si>
    <t>Kh55 free surface</t>
  </si>
  <si>
    <t>T Bassin[s]</t>
  </si>
  <si>
    <t xml:space="preserve">measure +-0,02s </t>
  </si>
  <si>
    <t>ZCOB [m] from Keel</t>
  </si>
  <si>
    <t>I55 [kg.m^-2]</t>
  </si>
  <si>
    <t>measure +-30 kg.m^-2</t>
  </si>
  <si>
    <t>KH55 [N.m/rad]</t>
  </si>
  <si>
    <t>A15</t>
  </si>
  <si>
    <t>NEMOH 27/03/2020</t>
  </si>
  <si>
    <t>A55</t>
  </si>
  <si>
    <t>A11</t>
  </si>
  <si>
    <t>KH 55</t>
  </si>
  <si>
    <t>--&gt; see calcul on the right</t>
  </si>
  <si>
    <t>Kmoor [5,5]</t>
  </si>
  <si>
    <t>OrcaFlex. +-15</t>
  </si>
  <si>
    <t>Mass [kg]</t>
  </si>
  <si>
    <t>measure; +- 0,2</t>
  </si>
  <si>
    <t>Inertie around COG [kg.m^2]</t>
  </si>
  <si>
    <t>MODEL SCALE</t>
  </si>
  <si>
    <t>FULL SCALE</t>
  </si>
  <si>
    <t>scale</t>
  </si>
  <si>
    <t>ZCOG [m] from MSL</t>
  </si>
  <si>
    <t>Draft at equilibrium [m]</t>
  </si>
  <si>
    <t>ZCOB at equilibrium from Keel [m]</t>
  </si>
  <si>
    <t>Bouée + Habillage + Câbles + Tour @ CoG Ensemble</t>
  </si>
  <si>
    <t>Buoy</t>
  </si>
  <si>
    <t>Cables</t>
  </si>
  <si>
    <t>Dressing</t>
  </si>
  <si>
    <t>Buoy + Dressing + Cables</t>
  </si>
  <si>
    <t>Input for modelling</t>
  </si>
  <si>
    <t>Inertia yy around COG [kg.m^2]</t>
  </si>
  <si>
    <t>Floater = Buoy + Dressing + Cables</t>
  </si>
  <si>
    <t>Value</t>
  </si>
  <si>
    <t>Uncertainty</t>
  </si>
  <si>
    <t>Source</t>
  </si>
  <si>
    <t>from measurement</t>
  </si>
  <si>
    <t>mix CAO and measure</t>
  </si>
  <si>
    <t>OpenFAST model of model</t>
  </si>
  <si>
    <t>Input File</t>
  </si>
  <si>
    <t>Variable Name</t>
  </si>
  <si>
    <t>ZCOB from MSL [m]</t>
  </si>
  <si>
    <t>Wind Turbine = Tower + RNA</t>
  </si>
  <si>
    <t>ElastoDyn</t>
  </si>
  <si>
    <t>1907_SOFTWIND SPAR</t>
  </si>
  <si>
    <t>Dates</t>
  </si>
  <si>
    <t>11/2019 - 03/2020</t>
  </si>
  <si>
    <t>Tests</t>
  </si>
  <si>
    <t>Mass Rotor Full scale [kg]</t>
  </si>
  <si>
    <r>
      <t>Extract</t>
    </r>
    <r>
      <rPr>
        <b/>
        <i/>
        <sz val="11"/>
        <color theme="1"/>
        <rFont val="Calibri"/>
        <family val="2"/>
        <scheme val="minor"/>
      </rPr>
      <t xml:space="preserve"> Nacelle Only</t>
    </r>
    <r>
      <rPr>
        <sz val="11"/>
        <color theme="1"/>
        <rFont val="Calibri"/>
        <family val="2"/>
        <scheme val="minor"/>
      </rPr>
      <t xml:space="preserve"> Information</t>
    </r>
  </si>
  <si>
    <t>Wind Turbine = Tower + RNA; Mass and Dimensions</t>
  </si>
  <si>
    <t>CAO</t>
  </si>
  <si>
    <t>TowerBsHt</t>
  </si>
  <si>
    <t>TowerHt</t>
  </si>
  <si>
    <t>Tower top above MSL [m]</t>
  </si>
  <si>
    <t>CoG X Rotor above twr top [m]</t>
  </si>
  <si>
    <t>CoG Z Rotor above twr top [m]</t>
  </si>
  <si>
    <t>PtfmCMzt</t>
  </si>
  <si>
    <t>Twr2Shft</t>
  </si>
  <si>
    <t>PtfmMass</t>
  </si>
  <si>
    <t>PtfmPIner</t>
  </si>
  <si>
    <t>Inputs from model</t>
  </si>
  <si>
    <t>Input from numerical</t>
  </si>
  <si>
    <t>Inputs to numerical</t>
  </si>
  <si>
    <t>Mass Nacelle above twr Top [kg]</t>
  </si>
  <si>
    <t>CoG X Nacelle above twr top [m]</t>
  </si>
  <si>
    <t>CoG Y Nacelle above twr top [m]</t>
  </si>
  <si>
    <t>CoG Z Nacelle above twr top [m]</t>
  </si>
  <si>
    <t>NacCMxn</t>
  </si>
  <si>
    <t>NacCMyn</t>
  </si>
  <si>
    <t>NacCMzn</t>
  </si>
  <si>
    <t>NacMass</t>
  </si>
  <si>
    <t>Tower top to Rotor Apex [m]</t>
  </si>
  <si>
    <t>Displacement [m^3]</t>
  </si>
  <si>
    <t>PtfmVol0</t>
  </si>
  <si>
    <t>HydroDyn</t>
  </si>
  <si>
    <t>N/A</t>
  </si>
  <si>
    <t>Flexible tube details</t>
  </si>
  <si>
    <t xml:space="preserve">Spec values </t>
  </si>
  <si>
    <t>Volumic mass Aluminium [kg.m^-3]</t>
  </si>
  <si>
    <t>Shell width [mm]</t>
  </si>
  <si>
    <t>ok</t>
  </si>
  <si>
    <t>external diameter [mm]</t>
  </si>
  <si>
    <t>Young modulus E alu [Pa]</t>
  </si>
  <si>
    <t>Length of the flexible mast [m]</t>
  </si>
  <si>
    <t>lineic mass [kg.m^-1]</t>
  </si>
  <si>
    <t>Sources</t>
  </si>
  <si>
    <t>height [mm]</t>
  </si>
  <si>
    <t>BG3 / bride sup</t>
  </si>
  <si>
    <t>BG3</t>
  </si>
  <si>
    <t>BG3 / bride inf</t>
  </si>
  <si>
    <t>Measures</t>
  </si>
  <si>
    <t>E180103-SE500-PD01 Mat ind BPE 190904</t>
  </si>
  <si>
    <t>comments</t>
  </si>
  <si>
    <t>+50 pour soudure et autre</t>
  </si>
  <si>
    <t>Tower</t>
  </si>
  <si>
    <t>From Bottom to Top</t>
  </si>
  <si>
    <t>Mass WITH screws[kg]</t>
  </si>
  <si>
    <t>Mast / Bride inf</t>
  </si>
  <si>
    <t>Mast / Tube 60*2</t>
  </si>
  <si>
    <t>Mast / Bride sup</t>
  </si>
  <si>
    <t>Fake BG1</t>
  </si>
  <si>
    <t>Stiffness</t>
  </si>
  <si>
    <t>STIFF</t>
  </si>
  <si>
    <t>SOFT</t>
  </si>
  <si>
    <t>TopSide, Bottom to Top</t>
  </si>
  <si>
    <t>height[m]</t>
  </si>
  <si>
    <t>RNA Mass [kg]</t>
  </si>
  <si>
    <t>RNA CDG Z from Twr Top [m]</t>
  </si>
  <si>
    <t>Stifness [Nm^2]</t>
  </si>
  <si>
    <t>external diameter [m]</t>
  </si>
  <si>
    <t>Inputs for model of the model : Tower details</t>
  </si>
  <si>
    <t>Inputs for model of the model : Floater details and overall dimensions</t>
  </si>
  <si>
    <t>Version</t>
  </si>
  <si>
    <t>Diameter [mm]</t>
  </si>
  <si>
    <t>SW_SPAR_v0_7</t>
  </si>
  <si>
    <t>Flapwise and Edgewise stiffness [Nm^2]</t>
  </si>
  <si>
    <t>SW_SPAR_v0_6</t>
  </si>
  <si>
    <t>Create ElastoDyn Input files data</t>
  </si>
  <si>
    <t>HtFract</t>
  </si>
  <si>
    <t>TMassDen [kg/m]</t>
  </si>
  <si>
    <t>TwFAStif [Nm^2]</t>
  </si>
  <si>
    <t>TwSSStif [Nm^2]</t>
  </si>
  <si>
    <t>TwGJStff [Nm^2]</t>
  </si>
  <si>
    <t>TwEAStff</t>
  </si>
  <si>
    <t>TwFAIner</t>
  </si>
  <si>
    <t>TwSSIner</t>
  </si>
  <si>
    <t>TwFAcgOf</t>
  </si>
  <si>
    <t>TwSScgOf</t>
  </si>
  <si>
    <t>height tower [mm]</t>
  </si>
  <si>
    <t>ElastoDyn Tower input file</t>
  </si>
  <si>
    <t>Inertia [kg.m]</t>
  </si>
  <si>
    <t>group 1: BG3 + mast bride inf</t>
  </si>
  <si>
    <t>group 2: flex tube</t>
  </si>
  <si>
    <t>group 3: Mast bride sup +Fake BG1</t>
  </si>
  <si>
    <t>BG3+ mast bride inf</t>
  </si>
  <si>
    <t>Mast / Bride sup + Fake BG1</t>
  </si>
  <si>
    <t>Compute RNA including Mast/ bride sup + Fake BG1 in it</t>
  </si>
  <si>
    <t>CDG from twr top</t>
  </si>
  <si>
    <t>"Nacelle" Mass [kg]</t>
  </si>
  <si>
    <t>"Nacelle" CDG Z from Twr Top [m]</t>
  </si>
  <si>
    <t>ONLY ONE GROUP : flex tube</t>
  </si>
  <si>
    <t>Tower top to Hub thrust application [m]</t>
  </si>
  <si>
    <t>Mass RNA [kg]</t>
  </si>
  <si>
    <t>Flotteur définition FAST v1= bouée + câbles  + habillage</t>
  </si>
  <si>
    <t>Flotteur définition FAST v2 = bouée + câbles  + habillage + ensemble BG3</t>
  </si>
  <si>
    <t>Total BG3</t>
  </si>
  <si>
    <t>Total Bouée</t>
  </si>
  <si>
    <t>Habillage total</t>
  </si>
  <si>
    <t xml:space="preserve">Total Câble </t>
  </si>
  <si>
    <t>Total Bouée + Habillage + Câbles</t>
  </si>
  <si>
    <t>Flotteur définition FAST v2 = bouée + câbles  + habillage + ensemble BG3 + platine inf mast</t>
  </si>
  <si>
    <t>Hydrostatic properties</t>
  </si>
  <si>
    <t>constants</t>
  </si>
  <si>
    <t>g</t>
  </si>
  <si>
    <t>KH 55  with gravity [F+WT] [Nm/rad]</t>
  </si>
  <si>
    <t>KH 55 no gravity [Nm/rad]</t>
  </si>
  <si>
    <t>KH 33  [N/m]</t>
  </si>
  <si>
    <t>NEMOH 30/03/2020</t>
  </si>
  <si>
    <t>A55 [kg.m^2]</t>
  </si>
  <si>
    <t>A11 [kg]</t>
  </si>
  <si>
    <t xml:space="preserve">Hydrodynamic properties </t>
  </si>
  <si>
    <t>A33 [kg]</t>
  </si>
  <si>
    <t>Bmodes computations</t>
  </si>
  <si>
    <t>freq [Hz]</t>
  </si>
  <si>
    <t>Period Model scale [s]</t>
  </si>
  <si>
    <t>Period Full scale [s]</t>
  </si>
  <si>
    <t>A15 [kg.m] around COG {F+WT}</t>
  </si>
  <si>
    <t>A15 [kg.m] around (0,0,0)</t>
  </si>
  <si>
    <t>A55 [kg.m^2] around (0,0,0)</t>
  </si>
  <si>
    <t>Ressources</t>
  </si>
  <si>
    <t>https://wind.nrel.gov/forum/wind/viewtopic.php?f=4&amp;t=742&amp;p=2826</t>
  </si>
  <si>
    <t>Kmoor 55 for Bmodes [Nm/rad]</t>
  </si>
  <si>
    <t>zG [m] from MSL</t>
  </si>
  <si>
    <t>Bmodes 1st fore-aft mode shape</t>
  </si>
  <si>
    <t>Inertie propre [kg.m^2]</t>
  </si>
  <si>
    <t>Inertie transport (m.l^2)</t>
  </si>
  <si>
    <t>Frame (0,0,0); @ equilibrium</t>
  </si>
  <si>
    <t>Frame (0,0,z_G); @ (-0,025,0,z_G)</t>
  </si>
  <si>
    <t>Vessel1</t>
  </si>
  <si>
    <t>wrt global</t>
  </si>
  <si>
    <t>X</t>
  </si>
  <si>
    <t>Y</t>
  </si>
  <si>
    <t>Z</t>
  </si>
  <si>
    <t>RX</t>
  </si>
  <si>
    <t>RY</t>
  </si>
  <si>
    <t>RZ</t>
  </si>
  <si>
    <t>wrt vessel</t>
  </si>
  <si>
    <t>x</t>
  </si>
  <si>
    <t>y</t>
  </si>
  <si>
    <t>z</t>
  </si>
  <si>
    <t>Rx</t>
  </si>
  <si>
    <t>Ry</t>
  </si>
  <si>
    <t>Rz</t>
  </si>
  <si>
    <t>Mesure JW, 12/2019</t>
  </si>
  <si>
    <t>Mesure MH, 24/02/2020</t>
  </si>
  <si>
    <t>Mesure MH, 12/03/2020</t>
  </si>
  <si>
    <t>Conclusions</t>
  </si>
  <si>
    <t>Positions mesurées</t>
  </si>
  <si>
    <t>L (wmk to beach wall) [m]</t>
  </si>
  <si>
    <t>Width [m]</t>
  </si>
  <si>
    <t xml:space="preserve"> [17.0, 14.87, 0]</t>
  </si>
  <si>
    <t>X Origin[m]</t>
  </si>
  <si>
    <t>Y Origin [m]</t>
  </si>
  <si>
    <t>Mesure VA 30/01/2020</t>
  </si>
  <si>
    <t>Mesures 24/02/2020</t>
  </si>
  <si>
    <t>Mesures 12/03/2020</t>
  </si>
  <si>
    <t>Conclusion</t>
  </si>
  <si>
    <t>Frame origin for SPAR</t>
  </si>
  <si>
    <t>Measurements : Equilibrium position and anchor points</t>
  </si>
  <si>
    <t>Anchor points</t>
  </si>
  <si>
    <t xml:space="preserve">SPAR Equilibrium position </t>
  </si>
  <si>
    <t>Draft [m]</t>
  </si>
  <si>
    <t>Z from Keel [m]</t>
  </si>
  <si>
    <t>Measurements : Mass and dimensions of mooring lines</t>
  </si>
  <si>
    <t>Computations : Mooring stiffness</t>
  </si>
  <si>
    <t>Dimensions Wave tank</t>
  </si>
  <si>
    <t>Comparison shape of offshore mooring and wave tank shapoe</t>
  </si>
  <si>
    <t>7800 ou 8010 ?</t>
  </si>
  <si>
    <t>[mm]</t>
  </si>
  <si>
    <t>measured system</t>
  </si>
  <si>
    <t>target Offshore</t>
  </si>
  <si>
    <t>rho steel [kg.m^-3]</t>
  </si>
  <si>
    <t>L</t>
  </si>
  <si>
    <t>b</t>
  </si>
  <si>
    <t xml:space="preserve">d </t>
  </si>
  <si>
    <t>Volume  =</t>
  </si>
  <si>
    <t>P</t>
  </si>
  <si>
    <t>we should find equivalent diam = 1,8 * diam</t>
  </si>
  <si>
    <t>masse linéique air</t>
  </si>
  <si>
    <t>le volume ?</t>
  </si>
  <si>
    <t>dimension précise un maillon</t>
  </si>
  <si>
    <t>taille maillon (mm]</t>
  </si>
  <si>
    <t>instead of</t>
  </si>
  <si>
    <t>P+2*b</t>
  </si>
  <si>
    <t>diam</t>
  </si>
  <si>
    <t>longeur un maillon (P) [mm]</t>
  </si>
  <si>
    <t>nb maillon</t>
  </si>
  <si>
    <t>longueur nb maillons [cm]</t>
  </si>
  <si>
    <t>Model scale to Full scale : Main moorings characteristics</t>
  </si>
  <si>
    <t>At Model Scale</t>
  </si>
  <si>
    <t>At Full Scale</t>
  </si>
  <si>
    <t>Dimensions</t>
  </si>
  <si>
    <t>Bridle length [m]</t>
  </si>
  <si>
    <t>measure</t>
  </si>
  <si>
    <t>Bottom chain length [m]</t>
  </si>
  <si>
    <t>Diam Bar [m]</t>
  </si>
  <si>
    <t>Diam equivalent [m]</t>
  </si>
  <si>
    <t>Mass lin air [kg/m]</t>
  </si>
  <si>
    <t>EA [N]</t>
  </si>
  <si>
    <t>Mass lin water [kg/m]</t>
  </si>
  <si>
    <t>Mooring sensor mass and dimensions</t>
  </si>
  <si>
    <t>Mass in water [kg]</t>
  </si>
  <si>
    <t>Length capteur d'ancrage [m]</t>
  </si>
  <si>
    <t>Masse lin [kg/m] in water sensor</t>
  </si>
  <si>
    <t>Mass of bottom chain to withdraw [kg]</t>
  </si>
  <si>
    <t>Mass in water - chain to withdraw</t>
  </si>
  <si>
    <t>orientation</t>
  </si>
  <si>
    <t xml:space="preserve">Line 1 </t>
  </si>
  <si>
    <t>Line 2</t>
  </si>
  <si>
    <t>Line 3</t>
  </si>
  <si>
    <t>Using delta connection</t>
  </si>
  <si>
    <t>fairleads coordinates</t>
  </si>
  <si>
    <t>Point 8</t>
  </si>
  <si>
    <t>Point 9</t>
  </si>
  <si>
    <t>Point 7</t>
  </si>
  <si>
    <t>drawings</t>
  </si>
  <si>
    <t>Anchors positions</t>
  </si>
  <si>
    <t>Anchor #1</t>
  </si>
  <si>
    <t>Anchor #2</t>
  </si>
  <si>
    <t>Anchor #3</t>
  </si>
  <si>
    <t>Connection points coordinates : Guess for initial position</t>
  </si>
  <si>
    <t>wave tank depth [m]</t>
  </si>
  <si>
    <t>drawings + draft measure</t>
  </si>
  <si>
    <t>OrcaFlex chain formulas</t>
  </si>
  <si>
    <t>compute EA "by hand"</t>
  </si>
  <si>
    <t>E steel [Gpa]</t>
  </si>
  <si>
    <t>diam [mm]</t>
  </si>
  <si>
    <t>A [m^2]</t>
  </si>
  <si>
    <t>Inputs for model of the model : Moorings details</t>
  </si>
  <si>
    <t>Variable</t>
  </si>
  <si>
    <t>triplate_3 X (m)</t>
  </si>
  <si>
    <t>triplate_3 Y (m)</t>
  </si>
  <si>
    <t>triplate_3 Z (m)</t>
  </si>
  <si>
    <t>triplate_1 X (m)</t>
  </si>
  <si>
    <t>triplate_1 Y (m)</t>
  </si>
  <si>
    <t>triplate_1 Z (m)</t>
  </si>
  <si>
    <t>triplate_2 X (m)</t>
  </si>
  <si>
    <t>triplate_2 Y (m)</t>
  </si>
  <si>
    <t>triplate_2 Z (m)</t>
  </si>
  <si>
    <t>Full scale values</t>
  </si>
  <si>
    <t>Equivalent displacement of Mass {F + WT} [m^3]</t>
  </si>
  <si>
    <t>XCOG from centerline [m]</t>
  </si>
  <si>
    <t>Inertia ZZ</t>
  </si>
  <si>
    <t>Inertia zz around COG [kg.m^2]</t>
  </si>
  <si>
    <t>Upscaled Value</t>
  </si>
  <si>
    <t>Value considered</t>
  </si>
  <si>
    <t>Simplified Tower to avoid very small discretisation. BG3 + bride bottom mast in floater</t>
  </si>
  <si>
    <t>Simplified Tower to avoid very small discretisation. BG3 + bride bottom mast in floater and  BG1 + Bride Sup Mast in RNA</t>
  </si>
  <si>
    <t>Mean bottom chain length [m]</t>
  </si>
  <si>
    <t>warning : EA scale with diam ^3, which means at full scale this is not the same material !! Stiffer</t>
  </si>
  <si>
    <t>Some specific measures</t>
  </si>
  <si>
    <t>Line 2 -AR</t>
  </si>
  <si>
    <t>Line 1 - AV G</t>
  </si>
  <si>
    <t>Line 3 - AV D</t>
  </si>
  <si>
    <t>TOCHECK :</t>
  </si>
  <si>
    <t xml:space="preserve"> take into account at the correct place ??</t>
  </si>
  <si>
    <t>dimenions of the manille sensor</t>
  </si>
  <si>
    <t>dimenions of the manille attachment point</t>
  </si>
  <si>
    <t>THIS IS THE ONLY PART UPDATED WITh NEW MEASUREMENTS</t>
  </si>
  <si>
    <t>Scale 1:40</t>
  </si>
  <si>
    <t>Scale 1:1</t>
  </si>
  <si>
    <t>Floater</t>
  </si>
  <si>
    <t>Taper top from MSL [m]</t>
  </si>
  <si>
    <t>Taper height [m]</t>
  </si>
  <si>
    <t>Freeboard [m]</t>
  </si>
  <si>
    <t>Wind turbine</t>
  </si>
  <si>
    <t>Tower height [m]</t>
  </si>
  <si>
    <t>Tower mass [kg]</t>
  </si>
  <si>
    <t>RNA mass [kg]</t>
  </si>
  <si>
    <t>D_MSL [m]</t>
  </si>
  <si>
    <t>D_SPAR [m]</t>
  </si>
  <si>
    <t>Ixx [kg.m^2] around CoG FWT</t>
  </si>
  <si>
    <t>Izz [kg.m^2] around CoG FWT</t>
  </si>
  <si>
    <t>Values</t>
  </si>
  <si>
    <t>Uncertainties</t>
  </si>
  <si>
    <t>Iyy [kg.m^2] around CoG FWT</t>
  </si>
  <si>
    <t>Tower CoG Z [m]</t>
  </si>
  <si>
    <t>CoB Z [m]</t>
  </si>
  <si>
    <t>As Built F+WT</t>
  </si>
  <si>
    <t>comments VA value</t>
  </si>
  <si>
    <t>comments VA uncertainty</t>
  </si>
  <si>
    <t>Target FWT</t>
  </si>
  <si>
    <t>CM Location Below MSL along platform centerline [m]</t>
  </si>
  <si>
    <t>Mast / Tube 60*2mm</t>
  </si>
  <si>
    <t>scale 1:40</t>
  </si>
  <si>
    <t>scale 1:1</t>
  </si>
  <si>
    <t>height [m]</t>
  </si>
  <si>
    <t>Stiffness [Nm^2]</t>
  </si>
  <si>
    <t>Overall properties</t>
  </si>
  <si>
    <t>RNA</t>
  </si>
  <si>
    <t>Stiff</t>
  </si>
  <si>
    <t xml:space="preserve">Inertia </t>
  </si>
  <si>
    <t xml:space="preserve">Stiffness </t>
  </si>
  <si>
    <t>CoG X above twr top [m]</t>
  </si>
  <si>
    <t>CoG Y above twr top [m]</t>
  </si>
  <si>
    <t>CoG Z above twr top [m]</t>
  </si>
  <si>
    <t>Inertia xx around CoG RNA [kg.m^-2]</t>
  </si>
  <si>
    <t>Inertia yy around CoG RNA [kg.m^-2]</t>
  </si>
  <si>
    <t>Inertia zz around CoG RNA [kg.m^-2]</t>
  </si>
  <si>
    <t>Mass rotor [kg]</t>
  </si>
  <si>
    <t>Details : RNA target DTU 10 MW RWT</t>
  </si>
  <si>
    <t>Mass Nacelle [kg]</t>
  </si>
  <si>
    <t>CoG Y Rotor above twr top [m]</t>
  </si>
  <si>
    <t xml:space="preserve">Nacelle CoG X from Yaw Axis </t>
  </si>
  <si>
    <t xml:space="preserve">Nacelle CoG Z from Yaw Bearing </t>
  </si>
  <si>
    <t xml:space="preserve">Nacelle CoG Y from Yaw Axis </t>
  </si>
  <si>
    <t>Mass RNA</t>
  </si>
  <si>
    <t>CoG X</t>
  </si>
  <si>
    <t>CoG Y</t>
  </si>
  <si>
    <t>CoG Z</t>
  </si>
  <si>
    <t>RNA CoG X from tower centerline[m]</t>
  </si>
  <si>
    <t>RNA CoG Y from tower centerline[m]</t>
  </si>
  <si>
    <t>RNA CoG Z from tower top [m]</t>
  </si>
  <si>
    <t>Main tables for Papers and PhD thesis</t>
  </si>
  <si>
    <t>WIND TURBINE details</t>
  </si>
  <si>
    <t>Moorings details</t>
  </si>
  <si>
    <t>target Moorings</t>
  </si>
  <si>
    <t>Anchorage radius [m]</t>
  </si>
  <si>
    <t>Diameter chain [m]</t>
  </si>
  <si>
    <t>Briddle chain length [m]</t>
  </si>
  <si>
    <t>Fairleads radius [m]</t>
  </si>
  <si>
    <t>Fairleads depth [m]</t>
  </si>
  <si>
    <t>Mass lineic in air [kg/m]</t>
  </si>
  <si>
    <t>Target link length [m]</t>
  </si>
  <si>
    <t>Target link width [m]</t>
  </si>
  <si>
    <t>Table of criteria and constraints</t>
  </si>
  <si>
    <t>Moorings stiffness</t>
  </si>
  <si>
    <t>Admissible offset</t>
  </si>
  <si>
    <t>Maximal Anchorage radius [m]</t>
  </si>
  <si>
    <t>Surge min nat. period [s]</t>
  </si>
  <si>
    <t>Surge max nat. period [s]</t>
  </si>
  <si>
    <t>Yaw max nat. period [s]</t>
  </si>
  <si>
    <t>Yaw min nat. period [s]</t>
  </si>
  <si>
    <t>Hor. offset due to steady wind force  [m]</t>
  </si>
  <si>
    <t>Hor. offset due to steady wind force and dynamic motions  [m]</t>
  </si>
  <si>
    <t>Max heading angle [deg]</t>
  </si>
  <si>
    <t>Dimensions and properties of the lines</t>
  </si>
  <si>
    <t>Max tension at fairleads  [% MBL]</t>
  </si>
  <si>
    <t>Min laid length  on the seafloor  in offset max  [m]</t>
  </si>
  <si>
    <t>Chain diameters range [mm]</t>
  </si>
  <si>
    <t>[120 - 200]</t>
  </si>
  <si>
    <t>[3-5]</t>
  </si>
  <si>
    <t>First nat. period of the mooring line [s]</t>
  </si>
  <si>
    <t>Lineic inertia [kg.m]</t>
  </si>
  <si>
    <t>&lt;3</t>
  </si>
  <si>
    <t>&lt;0.5</t>
  </si>
  <si>
    <t>For manuscrit Target system : Anchor points and line properties</t>
  </si>
  <si>
    <t>For manuscrit As-built system : Anchor points and line properties</t>
  </si>
  <si>
    <t>Bridle chain length [m]</t>
  </si>
  <si>
    <t>Bottom chain 1 length [m]</t>
  </si>
  <si>
    <t>Bottom chain 2 length [m]</t>
  </si>
  <si>
    <t>Bottom chain 3 length [m]</t>
  </si>
  <si>
    <t>Ligne 1 – AR</t>
  </si>
  <si>
    <t>Ligne 3 -AV-G</t>
  </si>
  <si>
    <t>Ligne 2 -AV-D</t>
  </si>
  <si>
    <t>Anchor 1 positions (X,Y) [m]</t>
  </si>
  <si>
    <t>Anchor 2 positions (X,Y) [m]</t>
  </si>
  <si>
    <t>Anchor 3 positions (X,Y) [m]</t>
  </si>
  <si>
    <t>Anchors depth [m]</t>
  </si>
  <si>
    <t>(15.96, -0.03)</t>
  </si>
  <si>
    <t>(-7.97, 13.85)</t>
  </si>
  <si>
    <t>(-8.01, -13.86)</t>
  </si>
  <si>
    <t>Mesures du 20/05/2020</t>
  </si>
  <si>
    <t>Longueur [m]</t>
  </si>
  <si>
    <t>nb maillons</t>
  </si>
  <si>
    <t>Détail : longueur du point d'accroche , celui qui a été mesuré en bassin, au bout du maillon final, sans manille</t>
  </si>
  <si>
    <t>+2 maillons</t>
  </si>
  <si>
    <t>ref</t>
  </si>
  <si>
    <t>+3 maillons</t>
  </si>
  <si>
    <t>Mass load cell in water [kg]</t>
  </si>
  <si>
    <t>Length load cell  [m]</t>
  </si>
  <si>
    <t>Diameter chain [mm]</t>
  </si>
  <si>
    <t>Mass chain in water [kg/m]</t>
  </si>
  <si>
    <t>Mass chain in air [kg/m]</t>
  </si>
  <si>
    <t>CoG X from centerline [m]</t>
  </si>
  <si>
    <t>CoG Y  from centerline [m]</t>
  </si>
  <si>
    <t>CoG Z from MSL [m]</t>
  </si>
  <si>
    <t>Ixx [kg.m^2] around CoG Floater</t>
  </si>
  <si>
    <t>Iyy [kg.m^2] around CoG Floater</t>
  </si>
  <si>
    <t>Izz [kg.m^2] around CoG Floater</t>
  </si>
  <si>
    <t>CoG</t>
  </si>
  <si>
    <t>m*ZCOG</t>
  </si>
  <si>
    <t>Tower CoG Z from MSL [m]</t>
  </si>
  <si>
    <t>Tower mass  ( BG 3 + flex tube)[kg]</t>
  </si>
  <si>
    <t>height tower (BG + flex tube) [mm]</t>
  </si>
  <si>
    <t>RNA CoG X from tower centerline [m]</t>
  </si>
  <si>
    <t>RNA CoG Y from tower centerline [m]</t>
  </si>
  <si>
    <t>From orca model</t>
  </si>
  <si>
    <t>equilibrium positoin</t>
  </si>
  <si>
    <t>mass lin</t>
  </si>
  <si>
    <t>length bot chain</t>
  </si>
  <si>
    <t>length sensor</t>
  </si>
  <si>
    <t>length bridle</t>
  </si>
  <si>
    <t>pos anchor</t>
  </si>
  <si>
    <t>(638.4 , -1.2)</t>
  </si>
  <si>
    <t>(-318.8, 554)</t>
  </si>
  <si>
    <t>(-320.4, -554.4)</t>
  </si>
  <si>
    <t>Ixx @ COG</t>
  </si>
  <si>
    <t>KH at (0,0,0)</t>
  </si>
  <si>
    <t>Iyy @ COG</t>
  </si>
  <si>
    <t>Izz @ COG</t>
  </si>
  <si>
    <t>Inertia transform</t>
  </si>
  <si>
    <t>M [kg]</t>
  </si>
  <si>
    <t>in frame centred on the CoG</t>
  </si>
  <si>
    <t>zg</t>
  </si>
  <si>
    <t>IA Msys -&gt; G'</t>
  </si>
  <si>
    <t>M=</t>
  </si>
  <si>
    <t>in frame centred on (0,0,0)</t>
  </si>
  <si>
    <t>SOFTWIND SPAR</t>
  </si>
  <si>
    <t>450, 500</t>
  </si>
  <si>
    <t>Computations</t>
  </si>
  <si>
    <t>Frame (0,0,0) @ Equilibrium (0,1, -1, -0,5, 0,, -0,3, -0,07)</t>
  </si>
  <si>
    <t>Verif total inertia . Flotteur définition FAST v2 = bouée + câbles  + habillage + ensemble BG3 and wind turbine</t>
  </si>
  <si>
    <t>Z ref</t>
  </si>
  <si>
    <t>Total</t>
  </si>
  <si>
    <t>Inertia yy around COG Floater [kg.m^2]</t>
  </si>
  <si>
    <t>Inertia xx around COG Floater [kg.m^2]</t>
  </si>
  <si>
    <t>Inertia zz around COG Floater [kg.m^2]</t>
  </si>
  <si>
    <t>Inputs for model of the model : OpenFAST model</t>
  </si>
  <si>
    <t>Nacelle</t>
  </si>
  <si>
    <t>Mass and 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</si>
</sst>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E+00"/>
    <numFmt numFmtId="166" formatCode="0.0"/>
    <numFmt numFmtId="167" formatCode="0.000E+00"/>
    <numFmt numFmtId="168" formatCode="0E+00"/>
    <numFmt numFmtId="169" formatCode="0.0000000"/>
    <numFmt numFmtId="170" formatCode="0.00000000"/>
    <numFmt numFmtId="171" formatCode="0.000000"/>
    <numFmt numFmtId="172" formatCode="0.00000"/>
    <numFmt numFmtId="173" formatCode="0.0000"/>
    <numFmt numFmtId="174" formatCode="0.0000E+00"/>
    <numFmt numFmtId="175" formatCode="_-* #,##0.00\ _€_-;\-* #,##0.00\ _€_-;_-* \-??\ _€_-;_-@_-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8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LM Roman 12"/>
      <family val="3"/>
    </font>
    <font>
      <sz val="11"/>
      <color theme="1"/>
      <name val="LM Roman 12"/>
      <family val="3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LM Roman 12"/>
      <family val="3"/>
    </font>
    <font>
      <b/>
      <sz val="11"/>
      <color rgb="FF000000"/>
      <name val="LM Roman 12"/>
      <family val="3"/>
    </font>
    <font>
      <sz val="11"/>
      <color rgb="FF000000"/>
      <name val="LM Roman 12"/>
      <family val="3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8CE"/>
        <bgColor rgb="FFF7D1D5"/>
      </patternFill>
    </fill>
    <fill>
      <patternFill patternType="solid">
        <fgColor rgb="FFFFF5CE"/>
        <bgColor rgb="FFF6F9D4"/>
      </patternFill>
    </fill>
    <fill>
      <patternFill patternType="solid">
        <fgColor theme="0" tint="-4.9989318521683403E-2"/>
        <bgColor rgb="FFF7D1D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7D1D5"/>
        <bgColor rgb="FFFFD8CE"/>
      </patternFill>
    </fill>
    <fill>
      <patternFill patternType="solid">
        <fgColor rgb="FFD9D9D9"/>
        <bgColor rgb="FFD7E4BD"/>
      </patternFill>
    </fill>
    <fill>
      <patternFill patternType="solid">
        <fgColor rgb="FFFAC090"/>
        <bgColor rgb="FFFCD5B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BF1DE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9" fillId="0" borderId="0"/>
    <xf numFmtId="0" fontId="21" fillId="0" borderId="0"/>
    <xf numFmtId="175" fontId="9" fillId="0" borderId="0" applyBorder="0" applyProtection="0"/>
    <xf numFmtId="0" fontId="9" fillId="0" borderId="0"/>
    <xf numFmtId="9" fontId="9" fillId="0" borderId="0" applyFont="0" applyFill="0" applyBorder="0" applyAlignment="0" applyProtection="0"/>
  </cellStyleXfs>
  <cellXfs count="384">
    <xf numFmtId="0" fontId="0" fillId="0" borderId="0" xfId="0"/>
    <xf numFmtId="0" fontId="0" fillId="0" borderId="2" xfId="0" applyBorder="1"/>
    <xf numFmtId="166" fontId="0" fillId="0" borderId="2" xfId="0" applyNumberFormat="1" applyBorder="1"/>
    <xf numFmtId="2" fontId="0" fillId="0" borderId="2" xfId="0" applyNumberFormat="1" applyBorder="1"/>
    <xf numFmtId="0" fontId="4" fillId="5" borderId="2" xfId="0" applyFont="1" applyFill="1" applyBorder="1"/>
    <xf numFmtId="166" fontId="4" fillId="5" borderId="2" xfId="0" applyNumberFormat="1" applyFont="1" applyFill="1" applyBorder="1"/>
    <xf numFmtId="164" fontId="4" fillId="5" borderId="2" xfId="0" applyNumberFormat="1" applyFont="1" applyFill="1" applyBorder="1"/>
    <xf numFmtId="1" fontId="4" fillId="5" borderId="2" xfId="0" applyNumberFormat="1" applyFont="1" applyFill="1" applyBorder="1"/>
    <xf numFmtId="0" fontId="4" fillId="6" borderId="2" xfId="0" applyFont="1" applyFill="1" applyBorder="1"/>
    <xf numFmtId="0" fontId="0" fillId="6" borderId="2" xfId="0" applyFill="1" applyBorder="1"/>
    <xf numFmtId="1" fontId="0" fillId="0" borderId="2" xfId="0" applyNumberFormat="1" applyBorder="1"/>
    <xf numFmtId="0" fontId="0" fillId="0" borderId="3" xfId="0" applyBorder="1"/>
    <xf numFmtId="164" fontId="4" fillId="6" borderId="2" xfId="0" applyNumberFormat="1" applyFont="1" applyFill="1" applyBorder="1"/>
    <xf numFmtId="164" fontId="0" fillId="0" borderId="2" xfId="0" applyNumberFormat="1" applyBorder="1"/>
    <xf numFmtId="0" fontId="0" fillId="7" borderId="2" xfId="0" applyFill="1" applyBorder="1"/>
    <xf numFmtId="2" fontId="0" fillId="7" borderId="2" xfId="0" applyNumberFormat="1" applyFill="1" applyBorder="1"/>
    <xf numFmtId="164" fontId="0" fillId="7" borderId="2" xfId="0" applyNumberFormat="1" applyFill="1" applyBorder="1"/>
    <xf numFmtId="0" fontId="0" fillId="0" borderId="2" xfId="0" applyFill="1" applyBorder="1"/>
    <xf numFmtId="0" fontId="5" fillId="0" borderId="0" xfId="0" applyFont="1" applyFill="1" applyAlignment="1"/>
    <xf numFmtId="0" fontId="0" fillId="0" borderId="0" xfId="0" applyFill="1"/>
    <xf numFmtId="0" fontId="3" fillId="0" borderId="2" xfId="0" applyFont="1" applyBorder="1"/>
    <xf numFmtId="0" fontId="3" fillId="0" borderId="4" xfId="0" applyFont="1" applyBorder="1"/>
    <xf numFmtId="0" fontId="3" fillId="0" borderId="0" xfId="0" applyFont="1" applyBorder="1"/>
    <xf numFmtId="2" fontId="3" fillId="0" borderId="2" xfId="0" applyNumberFormat="1" applyFont="1" applyBorder="1"/>
    <xf numFmtId="0" fontId="0" fillId="0" borderId="2" xfId="0" quotePrefix="1" applyBorder="1"/>
    <xf numFmtId="0" fontId="0" fillId="2" borderId="2" xfId="0" applyFill="1" applyBorder="1"/>
    <xf numFmtId="0" fontId="3" fillId="7" borderId="3" xfId="0" applyFont="1" applyFill="1" applyBorder="1"/>
    <xf numFmtId="0" fontId="2" fillId="9" borderId="2" xfId="0" applyFont="1" applyFill="1" applyBorder="1"/>
    <xf numFmtId="0" fontId="0" fillId="9" borderId="2" xfId="0" applyFill="1" applyBorder="1"/>
    <xf numFmtId="0" fontId="1" fillId="6" borderId="2" xfId="0" applyFont="1" applyFill="1" applyBorder="1"/>
    <xf numFmtId="0" fontId="1" fillId="0" borderId="2" xfId="0" applyFont="1" applyBorder="1"/>
    <xf numFmtId="164" fontId="6" fillId="6" borderId="2" xfId="0" applyNumberFormat="1" applyFont="1" applyFill="1" applyBorder="1"/>
    <xf numFmtId="164" fontId="0" fillId="0" borderId="2" xfId="0" applyNumberFormat="1" applyFill="1" applyBorder="1"/>
    <xf numFmtId="0" fontId="4" fillId="0" borderId="0" xfId="0" applyFont="1" applyFill="1" applyBorder="1" applyAlignment="1"/>
    <xf numFmtId="0" fontId="1" fillId="0" borderId="4" xfId="0" applyFont="1" applyBorder="1"/>
    <xf numFmtId="0" fontId="0" fillId="0" borderId="4" xfId="0" applyBorder="1"/>
    <xf numFmtId="11" fontId="0" fillId="0" borderId="2" xfId="0" applyNumberFormat="1" applyBorder="1"/>
    <xf numFmtId="0" fontId="2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2" xfId="0" applyNumberFormat="1" applyFill="1" applyBorder="1"/>
    <xf numFmtId="165" fontId="0" fillId="0" borderId="2" xfId="0" applyNumberFormat="1" applyFont="1" applyFill="1" applyBorder="1"/>
    <xf numFmtId="167" fontId="0" fillId="0" borderId="2" xfId="0" applyNumberFormat="1" applyFont="1" applyFill="1" applyBorder="1"/>
    <xf numFmtId="168" fontId="0" fillId="0" borderId="2" xfId="0" applyNumberFormat="1" applyFont="1" applyFill="1" applyBorder="1"/>
    <xf numFmtId="2" fontId="0" fillId="0" borderId="2" xfId="0" applyNumberFormat="1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6" xfId="0" applyFill="1" applyBorder="1"/>
    <xf numFmtId="0" fontId="2" fillId="7" borderId="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69" fontId="4" fillId="0" borderId="2" xfId="1" applyNumberFormat="1" applyFont="1" applyBorder="1" applyAlignment="1"/>
    <xf numFmtId="169" fontId="0" fillId="0" borderId="4" xfId="1" applyNumberFormat="1" applyFont="1" applyBorder="1"/>
    <xf numFmtId="1" fontId="0" fillId="0" borderId="2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9" fontId="0" fillId="0" borderId="4" xfId="1" applyNumberFormat="1" applyFont="1" applyFill="1" applyBorder="1"/>
    <xf numFmtId="11" fontId="0" fillId="0" borderId="2" xfId="1" applyNumberFormat="1" applyFont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2" xfId="0" applyFont="1" applyFill="1" applyBorder="1"/>
    <xf numFmtId="0" fontId="11" fillId="0" borderId="2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quotePrefix="1"/>
    <xf numFmtId="169" fontId="10" fillId="0" borderId="2" xfId="1" applyNumberFormat="1" applyFont="1" applyBorder="1" applyAlignment="1"/>
    <xf numFmtId="169" fontId="0" fillId="0" borderId="2" xfId="1" applyNumberFormat="1" applyFont="1" applyBorder="1"/>
    <xf numFmtId="2" fontId="0" fillId="0" borderId="0" xfId="1" applyNumberFormat="1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66" fontId="0" fillId="0" borderId="4" xfId="1" applyNumberFormat="1" applyFont="1" applyBorder="1"/>
    <xf numFmtId="11" fontId="0" fillId="0" borderId="4" xfId="1" applyNumberFormat="1" applyFont="1" applyBorder="1"/>
    <xf numFmtId="11" fontId="0" fillId="0" borderId="2" xfId="0" applyNumberFormat="1" applyFill="1" applyBorder="1"/>
    <xf numFmtId="0" fontId="11" fillId="0" borderId="0" xfId="0" applyFont="1" applyBorder="1"/>
    <xf numFmtId="2" fontId="1" fillId="0" borderId="2" xfId="1" applyNumberFormat="1" applyFont="1" applyFill="1" applyBorder="1" applyAlignment="1">
      <alignment horizontal="center"/>
    </xf>
    <xf numFmtId="165" fontId="0" fillId="0" borderId="2" xfId="0" applyNumberFormat="1" applyFill="1" applyBorder="1"/>
    <xf numFmtId="11" fontId="0" fillId="0" borderId="4" xfId="0" applyNumberFormat="1" applyBorder="1"/>
    <xf numFmtId="0" fontId="0" fillId="7" borderId="0" xfId="0" applyFill="1"/>
    <xf numFmtId="2" fontId="0" fillId="0" borderId="0" xfId="0" applyNumberFormat="1"/>
    <xf numFmtId="170" fontId="0" fillId="0" borderId="0" xfId="0" applyNumberFormat="1"/>
    <xf numFmtId="165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0" fontId="0" fillId="0" borderId="0" xfId="0" applyAlignment="1">
      <alignment horizontal="center"/>
    </xf>
    <xf numFmtId="171" fontId="0" fillId="0" borderId="0" xfId="0" applyNumberFormat="1"/>
    <xf numFmtId="164" fontId="0" fillId="0" borderId="0" xfId="0" applyNumberFormat="1"/>
    <xf numFmtId="171" fontId="1" fillId="0" borderId="0" xfId="0" applyNumberFormat="1" applyFont="1"/>
    <xf numFmtId="165" fontId="0" fillId="0" borderId="0" xfId="0" applyNumberFormat="1" applyFill="1" applyBorder="1"/>
    <xf numFmtId="11" fontId="0" fillId="0" borderId="0" xfId="0" applyNumberFormat="1" applyFill="1" applyBorder="1"/>
    <xf numFmtId="11" fontId="0" fillId="0" borderId="0" xfId="0" applyNumberFormat="1" applyBorder="1"/>
    <xf numFmtId="173" fontId="0" fillId="7" borderId="2" xfId="0" applyNumberFormat="1" applyFill="1" applyBorder="1"/>
    <xf numFmtId="172" fontId="0" fillId="0" borderId="2" xfId="0" applyNumberFormat="1" applyBorder="1"/>
    <xf numFmtId="0" fontId="4" fillId="0" borderId="8" xfId="0" applyFont="1" applyFill="1" applyBorder="1" applyAlignment="1"/>
    <xf numFmtId="0" fontId="4" fillId="0" borderId="1" xfId="0" applyFont="1" applyFill="1" applyBorder="1" applyAlignment="1"/>
    <xf numFmtId="165" fontId="0" fillId="0" borderId="0" xfId="0" applyNumberFormat="1" applyBorder="1"/>
    <xf numFmtId="0" fontId="0" fillId="7" borderId="0" xfId="0" applyFill="1" applyBorder="1"/>
    <xf numFmtId="167" fontId="0" fillId="0" borderId="2" xfId="1" applyNumberFormat="1" applyFont="1" applyBorder="1" applyAlignment="1">
      <alignment horizontal="center"/>
    </xf>
    <xf numFmtId="1" fontId="0" fillId="0" borderId="0" xfId="0" applyNumberFormat="1"/>
    <xf numFmtId="0" fontId="4" fillId="5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1" fontId="0" fillId="0" borderId="2" xfId="0" applyNumberFormat="1" applyFont="1" applyFill="1" applyBorder="1"/>
    <xf numFmtId="0" fontId="1" fillId="7" borderId="2" xfId="0" applyFont="1" applyFill="1" applyBorder="1"/>
    <xf numFmtId="2" fontId="1" fillId="7" borderId="2" xfId="0" applyNumberFormat="1" applyFont="1" applyFill="1" applyBorder="1"/>
    <xf numFmtId="11" fontId="1" fillId="7" borderId="2" xfId="0" applyNumberFormat="1" applyFont="1" applyFill="1" applyBorder="1"/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1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1" xfId="0" applyBorder="1" applyAlignment="1">
      <alignment horizontal="right" vertical="center"/>
    </xf>
    <xf numFmtId="11" fontId="0" fillId="0" borderId="21" xfId="0" applyNumberFormat="1" applyBorder="1" applyAlignment="1">
      <alignment horizontal="right" vertical="center"/>
    </xf>
    <xf numFmtId="0" fontId="1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11" fontId="0" fillId="0" borderId="24" xfId="0" applyNumberForma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/>
    <xf numFmtId="0" fontId="14" fillId="0" borderId="26" xfId="0" applyFont="1" applyBorder="1"/>
    <xf numFmtId="0" fontId="0" fillId="0" borderId="2" xfId="0" applyFont="1" applyBorder="1" applyAlignment="1">
      <alignment wrapText="1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14" fillId="0" borderId="2" xfId="0" applyFont="1" applyBorder="1"/>
    <xf numFmtId="0" fontId="0" fillId="13" borderId="2" xfId="0" applyFill="1" applyBorder="1"/>
    <xf numFmtId="0" fontId="0" fillId="0" borderId="28" xfId="0" applyBorder="1"/>
    <xf numFmtId="0" fontId="0" fillId="0" borderId="2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0" fillId="0" borderId="29" xfId="0" applyBorder="1"/>
    <xf numFmtId="0" fontId="0" fillId="0" borderId="2" xfId="0" applyFill="1" applyBorder="1" applyAlignment="1">
      <alignment wrapText="1"/>
    </xf>
    <xf numFmtId="0" fontId="3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0" applyNumberFormat="1" applyFill="1" applyBorder="1"/>
    <xf numFmtId="0" fontId="0" fillId="0" borderId="0" xfId="0" applyAlignment="1">
      <alignment wrapText="1"/>
    </xf>
    <xf numFmtId="2" fontId="17" fillId="0" borderId="2" xfId="0" applyNumberFormat="1" applyFont="1" applyBorder="1"/>
    <xf numFmtId="11" fontId="17" fillId="0" borderId="2" xfId="0" applyNumberFormat="1" applyFont="1" applyBorder="1"/>
    <xf numFmtId="0" fontId="0" fillId="6" borderId="0" xfId="0" applyFill="1" applyBorder="1"/>
    <xf numFmtId="164" fontId="0" fillId="6" borderId="0" xfId="0" applyNumberFormat="1" applyFill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right" vertical="center"/>
    </xf>
    <xf numFmtId="11" fontId="0" fillId="0" borderId="19" xfId="0" applyNumberFormat="1" applyBorder="1" applyAlignment="1">
      <alignment horizontal="right" vertical="center"/>
    </xf>
    <xf numFmtId="0" fontId="0" fillId="0" borderId="7" xfId="0" applyFill="1" applyBorder="1"/>
    <xf numFmtId="164" fontId="0" fillId="0" borderId="7" xfId="0" applyNumberFormat="1" applyFill="1" applyBorder="1"/>
    <xf numFmtId="166" fontId="0" fillId="6" borderId="2" xfId="0" applyNumberFormat="1" applyFill="1" applyBorder="1"/>
    <xf numFmtId="164" fontId="0" fillId="6" borderId="2" xfId="0" applyNumberFormat="1" applyFill="1" applyBorder="1"/>
    <xf numFmtId="0" fontId="0" fillId="0" borderId="5" xfId="0" applyBorder="1"/>
    <xf numFmtId="173" fontId="0" fillId="0" borderId="0" xfId="0" applyNumberFormat="1" applyBorder="1"/>
    <xf numFmtId="0" fontId="0" fillId="0" borderId="4" xfId="0" applyFill="1" applyBorder="1"/>
    <xf numFmtId="173" fontId="0" fillId="0" borderId="4" xfId="0" applyNumberFormat="1" applyBorder="1"/>
    <xf numFmtId="0" fontId="0" fillId="0" borderId="9" xfId="0" applyFill="1" applyBorder="1"/>
    <xf numFmtId="164" fontId="0" fillId="0" borderId="2" xfId="0" applyNumberFormat="1" applyFont="1" applyFill="1" applyBorder="1"/>
    <xf numFmtId="0" fontId="5" fillId="8" borderId="0" xfId="0" applyFont="1" applyFill="1" applyBorder="1" applyAlignment="1">
      <alignment horizontal="center" vertical="center"/>
    </xf>
    <xf numFmtId="167" fontId="0" fillId="0" borderId="4" xfId="0" applyNumberFormat="1" applyBorder="1"/>
    <xf numFmtId="174" fontId="0" fillId="0" borderId="4" xfId="0" applyNumberFormat="1" applyBorder="1"/>
    <xf numFmtId="0" fontId="0" fillId="0" borderId="30" xfId="0" applyFill="1" applyBorder="1"/>
    <xf numFmtId="1" fontId="0" fillId="0" borderId="6" xfId="0" applyNumberFormat="1" applyFill="1" applyBorder="1"/>
    <xf numFmtId="0" fontId="19" fillId="0" borderId="2" xfId="0" applyFont="1" applyBorder="1" applyAlignment="1">
      <alignment horizontal="left" vertical="center" wrapText="1"/>
    </xf>
    <xf numFmtId="11" fontId="19" fillId="0" borderId="2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2" fillId="7" borderId="0" xfId="0" applyFont="1" applyFill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Alignment="1"/>
    <xf numFmtId="2" fontId="19" fillId="0" borderId="2" xfId="0" applyNumberFormat="1" applyFont="1" applyBorder="1" applyAlignment="1">
      <alignment horizontal="left" vertical="center" wrapText="1"/>
    </xf>
    <xf numFmtId="166" fontId="19" fillId="0" borderId="2" xfId="0" applyNumberFormat="1" applyFont="1" applyBorder="1" applyAlignment="1">
      <alignment horizontal="left" vertical="center" wrapText="1"/>
    </xf>
    <xf numFmtId="168" fontId="19" fillId="5" borderId="2" xfId="0" applyNumberFormat="1" applyFont="1" applyFill="1" applyBorder="1" applyAlignment="1">
      <alignment horizontal="left" vertical="center" wrapText="1"/>
    </xf>
    <xf numFmtId="165" fontId="19" fillId="5" borderId="2" xfId="0" applyNumberFormat="1" applyFont="1" applyFill="1" applyBorder="1" applyAlignment="1">
      <alignment horizontal="left" vertical="center" wrapText="1"/>
    </xf>
    <xf numFmtId="11" fontId="19" fillId="5" borderId="2" xfId="0" applyNumberFormat="1" applyFont="1" applyFill="1" applyBorder="1" applyAlignment="1">
      <alignment horizontal="left" vertical="center" wrapText="1"/>
    </xf>
    <xf numFmtId="0" fontId="20" fillId="16" borderId="5" xfId="0" applyFont="1" applyFill="1" applyBorder="1" applyAlignment="1">
      <alignment vertical="center" wrapText="1"/>
    </xf>
    <xf numFmtId="0" fontId="20" fillId="16" borderId="3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 applyAlignment="1"/>
    <xf numFmtId="0" fontId="20" fillId="0" borderId="5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3" xfId="0" applyFill="1" applyBorder="1"/>
    <xf numFmtId="11" fontId="0" fillId="0" borderId="3" xfId="1" applyNumberFormat="1" applyFon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0" fontId="21" fillId="0" borderId="0" xfId="2"/>
    <xf numFmtId="2" fontId="21" fillId="0" borderId="0" xfId="2" applyNumberFormat="1"/>
    <xf numFmtId="0" fontId="21" fillId="0" borderId="0" xfId="2" applyFill="1"/>
    <xf numFmtId="164" fontId="19" fillId="0" borderId="2" xfId="0" applyNumberFormat="1" applyFont="1" applyBorder="1" applyAlignment="1">
      <alignment horizontal="left" vertical="center" wrapText="1"/>
    </xf>
    <xf numFmtId="173" fontId="0" fillId="0" borderId="2" xfId="0" applyNumberFormat="1" applyBorder="1"/>
    <xf numFmtId="1" fontId="0" fillId="18" borderId="2" xfId="0" applyNumberFormat="1" applyFill="1" applyBorder="1"/>
    <xf numFmtId="0" fontId="23" fillId="0" borderId="2" xfId="4" applyFont="1" applyBorder="1"/>
    <xf numFmtId="0" fontId="23" fillId="21" borderId="2" xfId="4" applyFont="1" applyFill="1" applyBorder="1"/>
    <xf numFmtId="166" fontId="23" fillId="0" borderId="2" xfId="4" applyNumberFormat="1" applyFont="1" applyBorder="1"/>
    <xf numFmtId="0" fontId="0" fillId="0" borderId="2" xfId="0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168" fontId="0" fillId="0" borderId="2" xfId="0" applyNumberFormat="1" applyBorder="1"/>
    <xf numFmtId="168" fontId="0" fillId="0" borderId="2" xfId="0" applyNumberForma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11" fontId="23" fillId="0" borderId="33" xfId="0" applyNumberFormat="1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/>
    </xf>
    <xf numFmtId="0" fontId="25" fillId="16" borderId="35" xfId="0" applyFont="1" applyFill="1" applyBorder="1" applyAlignment="1">
      <alignment vertical="center" wrapText="1"/>
    </xf>
    <xf numFmtId="0" fontId="25" fillId="16" borderId="39" xfId="0" applyFont="1" applyFill="1" applyBorder="1" applyAlignment="1">
      <alignment vertical="center" wrapText="1"/>
    </xf>
    <xf numFmtId="0" fontId="20" fillId="0" borderId="38" xfId="0" applyFont="1" applyBorder="1" applyAlignment="1">
      <alignment horizontal="justify" vertical="center"/>
    </xf>
    <xf numFmtId="0" fontId="20" fillId="0" borderId="38" xfId="0" applyFont="1" applyBorder="1" applyAlignment="1">
      <alignment horizontal="center"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Fill="1" applyBorder="1" applyAlignment="1">
      <alignment horizontal="justify" vertical="center"/>
    </xf>
    <xf numFmtId="0" fontId="0" fillId="0" borderId="0" xfId="0" applyBorder="1" applyAlignment="1">
      <alignment horizontal="right" vertical="center"/>
    </xf>
    <xf numFmtId="166" fontId="20" fillId="0" borderId="38" xfId="0" applyNumberFormat="1" applyFont="1" applyBorder="1" applyAlignment="1">
      <alignment horizontal="center" vertical="center"/>
    </xf>
    <xf numFmtId="2" fontId="20" fillId="0" borderId="38" xfId="0" applyNumberFormat="1" applyFont="1" applyBorder="1" applyAlignment="1">
      <alignment horizontal="center" vertical="center"/>
    </xf>
    <xf numFmtId="164" fontId="23" fillId="0" borderId="33" xfId="0" applyNumberFormat="1" applyFont="1" applyBorder="1" applyAlignment="1">
      <alignment horizontal="center" vertical="center" wrapText="1"/>
    </xf>
    <xf numFmtId="2" fontId="23" fillId="0" borderId="37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1" fontId="23" fillId="0" borderId="33" xfId="0" applyNumberFormat="1" applyFont="1" applyBorder="1" applyAlignment="1">
      <alignment horizontal="center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64" fontId="23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1" fontId="19" fillId="0" borderId="2" xfId="0" applyNumberFormat="1" applyFont="1" applyBorder="1" applyAlignment="1">
      <alignment horizontal="center" vertical="center" wrapText="1"/>
    </xf>
    <xf numFmtId="168" fontId="19" fillId="0" borderId="2" xfId="0" applyNumberFormat="1" applyFont="1" applyBorder="1" applyAlignment="1">
      <alignment horizontal="center" vertical="center" wrapText="1"/>
    </xf>
    <xf numFmtId="165" fontId="19" fillId="0" borderId="2" xfId="0" applyNumberFormat="1" applyFont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0" fontId="0" fillId="0" borderId="40" xfId="0" applyFont="1" applyBorder="1"/>
    <xf numFmtId="0" fontId="0" fillId="0" borderId="37" xfId="0" applyFont="1" applyBorder="1"/>
    <xf numFmtId="2" fontId="14" fillId="0" borderId="40" xfId="0" applyNumberFormat="1" applyFont="1" applyBorder="1"/>
    <xf numFmtId="0" fontId="0" fillId="0" borderId="0" xfId="0" applyFont="1" applyBorder="1"/>
    <xf numFmtId="0" fontId="0" fillId="0" borderId="37" xfId="0" applyBorder="1"/>
    <xf numFmtId="0" fontId="0" fillId="0" borderId="40" xfId="0" applyFont="1" applyBorder="1" applyAlignment="1">
      <alignment wrapText="1"/>
    </xf>
    <xf numFmtId="165" fontId="26" fillId="23" borderId="0" xfId="0" applyNumberFormat="1" applyFont="1" applyFill="1" applyBorder="1"/>
    <xf numFmtId="11" fontId="27" fillId="23" borderId="41" xfId="0" applyNumberFormat="1" applyFont="1" applyFill="1" applyBorder="1"/>
    <xf numFmtId="0" fontId="14" fillId="0" borderId="42" xfId="0" applyFont="1" applyBorder="1"/>
    <xf numFmtId="0" fontId="14" fillId="0" borderId="41" xfId="0" applyFont="1" applyBorder="1"/>
    <xf numFmtId="11" fontId="14" fillId="0" borderId="42" xfId="0" applyNumberFormat="1" applyFont="1" applyBorder="1"/>
    <xf numFmtId="0" fontId="14" fillId="0" borderId="43" xfId="0" applyFont="1" applyBorder="1"/>
    <xf numFmtId="0" fontId="14" fillId="0" borderId="40" xfId="0" applyFont="1" applyBorder="1"/>
    <xf numFmtId="11" fontId="27" fillId="23" borderId="0" xfId="0" applyNumberFormat="1" applyFont="1" applyFill="1" applyBorder="1"/>
    <xf numFmtId="0" fontId="14" fillId="0" borderId="0" xfId="0" applyFont="1" applyBorder="1"/>
    <xf numFmtId="11" fontId="14" fillId="0" borderId="40" xfId="0" applyNumberFormat="1" applyFont="1" applyBorder="1"/>
    <xf numFmtId="0" fontId="14" fillId="0" borderId="37" xfId="0" applyFont="1" applyBorder="1"/>
    <xf numFmtId="0" fontId="14" fillId="0" borderId="44" xfId="0" applyFont="1" applyBorder="1"/>
    <xf numFmtId="0" fontId="14" fillId="0" borderId="38" xfId="0" applyFont="1" applyBorder="1"/>
    <xf numFmtId="11" fontId="27" fillId="23" borderId="38" xfId="0" applyNumberFormat="1" applyFont="1" applyFill="1" applyBorder="1"/>
    <xf numFmtId="0" fontId="14" fillId="0" borderId="33" xfId="0" applyFont="1" applyBorder="1"/>
    <xf numFmtId="11" fontId="14" fillId="0" borderId="0" xfId="0" applyNumberFormat="1" applyFont="1" applyBorder="1"/>
    <xf numFmtId="0" fontId="0" fillId="0" borderId="44" xfId="0" applyFont="1" applyBorder="1"/>
    <xf numFmtId="11" fontId="14" fillId="23" borderId="33" xfId="0" applyNumberFormat="1" applyFont="1" applyFill="1" applyBorder="1"/>
    <xf numFmtId="165" fontId="0" fillId="25" borderId="0" xfId="0" applyNumberFormat="1" applyFill="1" applyBorder="1"/>
    <xf numFmtId="165" fontId="0" fillId="26" borderId="0" xfId="0" applyNumberFormat="1" applyFill="1" applyBorder="1"/>
    <xf numFmtId="11" fontId="0" fillId="25" borderId="0" xfId="0" applyNumberFormat="1" applyFill="1" applyBorder="1"/>
    <xf numFmtId="11" fontId="0" fillId="25" borderId="0" xfId="0" applyNumberFormat="1" applyFill="1"/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1" fontId="0" fillId="0" borderId="16" xfId="0" applyNumberFormat="1" applyBorder="1" applyAlignment="1">
      <alignment horizontal="right" vertical="center"/>
    </xf>
    <xf numFmtId="11" fontId="0" fillId="0" borderId="17" xfId="0" applyNumberFormat="1" applyBorder="1" applyAlignment="1">
      <alignment horizontal="right" vertical="center"/>
    </xf>
    <xf numFmtId="11" fontId="0" fillId="0" borderId="18" xfId="0" applyNumberFormat="1" applyBorder="1" applyAlignment="1">
      <alignment horizontal="right" vertical="center"/>
    </xf>
    <xf numFmtId="11" fontId="0" fillId="0" borderId="20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1" fontId="0" fillId="0" borderId="23" xfId="0" applyNumberFormat="1" applyBorder="1" applyAlignment="1">
      <alignment horizontal="right" vertical="center"/>
    </xf>
    <xf numFmtId="11" fontId="0" fillId="0" borderId="25" xfId="0" applyNumberFormat="1" applyBorder="1" applyAlignment="1">
      <alignment horizontal="right" vertical="center"/>
    </xf>
    <xf numFmtId="11" fontId="29" fillId="0" borderId="17" xfId="0" applyNumberFormat="1" applyFont="1" applyBorder="1" applyAlignment="1">
      <alignment horizontal="right" vertical="center"/>
    </xf>
    <xf numFmtId="166" fontId="0" fillId="0" borderId="0" xfId="0" applyNumberFormat="1"/>
    <xf numFmtId="0" fontId="2" fillId="7" borderId="0" xfId="0" applyFont="1" applyFill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7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5" borderId="30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0" fontId="22" fillId="19" borderId="0" xfId="0" applyFont="1" applyFill="1" applyAlignment="1">
      <alignment horizontal="center"/>
    </xf>
    <xf numFmtId="0" fontId="20" fillId="16" borderId="2" xfId="0" applyFont="1" applyFill="1" applyBorder="1" applyAlignment="1">
      <alignment horizontal="center" vertical="center" wrapText="1"/>
    </xf>
    <xf numFmtId="2" fontId="0" fillId="0" borderId="2" xfId="1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 wrapText="1"/>
    </xf>
    <xf numFmtId="0" fontId="20" fillId="16" borderId="4" xfId="0" applyFont="1" applyFill="1" applyBorder="1" applyAlignment="1">
      <alignment horizontal="center" vertical="center" wrapText="1"/>
    </xf>
    <xf numFmtId="0" fontId="20" fillId="16" borderId="5" xfId="0" applyFont="1" applyFill="1" applyBorder="1" applyAlignment="1">
      <alignment horizontal="center" vertical="center" wrapText="1"/>
    </xf>
    <xf numFmtId="0" fontId="9" fillId="20" borderId="2" xfId="1" applyFont="1" applyFill="1" applyBorder="1" applyAlignment="1">
      <alignment horizontal="center" vertical="center" wrapText="1"/>
    </xf>
    <xf numFmtId="0" fontId="9" fillId="20" borderId="2" xfId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20" fillId="16" borderId="3" xfId="0" applyFont="1" applyFill="1" applyBorder="1" applyAlignment="1">
      <alignment horizontal="center" vertical="center" wrapText="1"/>
    </xf>
    <xf numFmtId="0" fontId="28" fillId="24" borderId="4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</cellXfs>
  <cellStyles count="6">
    <cellStyle name="Milliers 2" xfId="3"/>
    <cellStyle name="Normal" xfId="0" builtinId="0"/>
    <cellStyle name="Normal 2" xfId="2"/>
    <cellStyle name="Normal 2 2" xfId="4"/>
    <cellStyle name="Normal 3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150</xdr:row>
      <xdr:rowOff>0</xdr:rowOff>
    </xdr:from>
    <xdr:to>
      <xdr:col>12</xdr:col>
      <xdr:colOff>526839</xdr:colOff>
      <xdr:row>170</xdr:row>
      <xdr:rowOff>47143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3318" y="29371636"/>
          <a:ext cx="3990476" cy="3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85725</xdr:rowOff>
    </xdr:from>
    <xdr:to>
      <xdr:col>3</xdr:col>
      <xdr:colOff>852767</xdr:colOff>
      <xdr:row>127</xdr:row>
      <xdr:rowOff>171450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/>
        <a:srcRect b="35731"/>
        <a:stretch/>
      </xdr:blipFill>
      <xdr:spPr>
        <a:xfrm>
          <a:off x="0" y="20050125"/>
          <a:ext cx="3848100" cy="19907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123824</xdr:colOff>
      <xdr:row>109</xdr:row>
      <xdr:rowOff>0</xdr:rowOff>
    </xdr:from>
    <xdr:to>
      <xdr:col>3</xdr:col>
      <xdr:colOff>353059</xdr:colOff>
      <xdr:row>115</xdr:row>
      <xdr:rowOff>78740</xdr:rowOff>
    </xdr:to>
    <xdr:pic>
      <xdr:nvPicPr>
        <xdr:cNvPr id="4" name="Image 13"/>
        <xdr:cNvPicPr/>
      </xdr:nvPicPr>
      <xdr:blipFill rotWithShape="1">
        <a:blip xmlns:r="http://schemas.openxmlformats.org/officeDocument/2006/relationships" r:embed="rId2"/>
        <a:srcRect l="10793" t="16487" b="8960"/>
        <a:stretch/>
      </xdr:blipFill>
      <xdr:spPr bwMode="auto">
        <a:xfrm>
          <a:off x="123824" y="18440400"/>
          <a:ext cx="3220085" cy="12217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423170</xdr:colOff>
      <xdr:row>37</xdr:row>
      <xdr:rowOff>0</xdr:rowOff>
    </xdr:from>
    <xdr:to>
      <xdr:col>23</xdr:col>
      <xdr:colOff>208941</xdr:colOff>
      <xdr:row>68</xdr:row>
      <xdr:rowOff>146087</xdr:rowOff>
    </xdr:to>
    <xdr:grpSp>
      <xdr:nvGrpSpPr>
        <xdr:cNvPr id="31" name="Group 30"/>
        <xdr:cNvGrpSpPr/>
      </xdr:nvGrpSpPr>
      <xdr:grpSpPr>
        <a:xfrm>
          <a:off x="12447082" y="8393206"/>
          <a:ext cx="8750477" cy="6253293"/>
          <a:chOff x="12008788" y="15378545"/>
          <a:chExt cx="6678652" cy="5146712"/>
        </a:xfrm>
      </xdr:grpSpPr>
      <xdr:grpSp>
        <xdr:nvGrpSpPr>
          <xdr:cNvPr id="32" name="Group 31"/>
          <xdr:cNvGrpSpPr/>
        </xdr:nvGrpSpPr>
        <xdr:grpSpPr>
          <a:xfrm>
            <a:off x="13666522" y="16942454"/>
            <a:ext cx="3016411" cy="2595739"/>
            <a:chOff x="3088999" y="1671853"/>
            <a:chExt cx="3008112" cy="2595739"/>
          </a:xfrm>
        </xdr:grpSpPr>
        <xdr:sp macro="" textlink="">
          <xdr:nvSpPr>
            <xdr:cNvPr id="46" name="Oval 45"/>
            <xdr:cNvSpPr/>
          </xdr:nvSpPr>
          <xdr:spPr>
            <a:xfrm>
              <a:off x="3563888" y="2478757"/>
              <a:ext cx="933450" cy="981075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7" name="Oval 46"/>
            <xdr:cNvSpPr/>
          </xdr:nvSpPr>
          <xdr:spPr>
            <a:xfrm>
              <a:off x="3497213" y="2869282"/>
              <a:ext cx="209550" cy="30480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8" name="Oval 47"/>
            <xdr:cNvSpPr/>
          </xdr:nvSpPr>
          <xdr:spPr>
            <a:xfrm>
              <a:off x="4154438" y="3231232"/>
              <a:ext cx="209550" cy="295275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9" name="Oval 48"/>
            <xdr:cNvSpPr/>
          </xdr:nvSpPr>
          <xdr:spPr>
            <a:xfrm>
              <a:off x="4192538" y="2440657"/>
              <a:ext cx="209550" cy="295275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0" name="Oval 49"/>
            <xdr:cNvSpPr/>
          </xdr:nvSpPr>
          <xdr:spPr>
            <a:xfrm>
              <a:off x="3697238" y="3202657"/>
              <a:ext cx="209550" cy="295275"/>
            </a:xfrm>
            <a:prstGeom prst="ellipse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1" name="Oval 50"/>
            <xdr:cNvSpPr/>
          </xdr:nvSpPr>
          <xdr:spPr>
            <a:xfrm>
              <a:off x="3716288" y="2383507"/>
              <a:ext cx="209550" cy="304800"/>
            </a:xfrm>
            <a:prstGeom prst="ellipse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2" name="Oval 51"/>
            <xdr:cNvSpPr/>
          </xdr:nvSpPr>
          <xdr:spPr>
            <a:xfrm>
              <a:off x="4383038" y="2888332"/>
              <a:ext cx="209550" cy="304800"/>
            </a:xfrm>
            <a:prstGeom prst="ellipse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3" name="TextBox 3"/>
            <xdr:cNvSpPr txBox="1"/>
          </xdr:nvSpPr>
          <xdr:spPr>
            <a:xfrm>
              <a:off x="3523479" y="3439802"/>
              <a:ext cx="333375" cy="29527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rgbClr val="7030A0"/>
                  </a:solidFill>
                </a:rPr>
                <a:t>3</a:t>
              </a:r>
            </a:p>
          </xdr:txBody>
        </xdr:sp>
        <xdr:sp macro="" textlink="">
          <xdr:nvSpPr>
            <xdr:cNvPr id="54" name="TextBox 10"/>
            <xdr:cNvSpPr txBox="1"/>
          </xdr:nvSpPr>
          <xdr:spPr>
            <a:xfrm>
              <a:off x="3421013" y="2145382"/>
              <a:ext cx="333375" cy="30480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rgbClr val="7030A0"/>
                  </a:solidFill>
                </a:rPr>
                <a:t>2</a:t>
              </a:r>
            </a:p>
          </xdr:txBody>
        </xdr:sp>
        <xdr:sp macro="" textlink="">
          <xdr:nvSpPr>
            <xdr:cNvPr id="55" name="TextBox 11"/>
            <xdr:cNvSpPr txBox="1"/>
          </xdr:nvSpPr>
          <xdr:spPr>
            <a:xfrm>
              <a:off x="4706888" y="2926432"/>
              <a:ext cx="333375" cy="30480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rgbClr val="7030A0"/>
                  </a:solidFill>
                </a:rPr>
                <a:t>1</a:t>
              </a:r>
            </a:p>
          </xdr:txBody>
        </xdr:sp>
        <xdr:sp macro="" textlink="">
          <xdr:nvSpPr>
            <xdr:cNvPr id="56" name="Oval 55"/>
            <xdr:cNvSpPr/>
          </xdr:nvSpPr>
          <xdr:spPr>
            <a:xfrm>
              <a:off x="5191589" y="2926432"/>
              <a:ext cx="209550" cy="304800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7" name="TextBox 17"/>
            <xdr:cNvSpPr txBox="1"/>
          </xdr:nvSpPr>
          <xdr:spPr>
            <a:xfrm>
              <a:off x="5315127" y="2636600"/>
              <a:ext cx="781984" cy="308882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fr-FR" sz="800" b="1">
                  <a:solidFill>
                    <a:sysClr val="windowText" lastClr="000000"/>
                  </a:solidFill>
                </a:rPr>
                <a:t>Connect #1</a:t>
              </a:r>
              <a:endParaRPr lang="en-US" sz="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8" name="Oval 57"/>
            <xdr:cNvSpPr/>
          </xdr:nvSpPr>
          <xdr:spPr>
            <a:xfrm>
              <a:off x="3265892" y="1671853"/>
              <a:ext cx="209550" cy="308882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9" name="TextBox 20"/>
            <xdr:cNvSpPr txBox="1"/>
          </xdr:nvSpPr>
          <xdr:spPr>
            <a:xfrm>
              <a:off x="4410252" y="2281454"/>
              <a:ext cx="333375" cy="304799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8</a:t>
              </a:r>
            </a:p>
          </xdr:txBody>
        </xdr:sp>
        <xdr:sp macro="" textlink="">
          <xdr:nvSpPr>
            <xdr:cNvPr id="60" name="TextBox 21"/>
            <xdr:cNvSpPr txBox="1"/>
          </xdr:nvSpPr>
          <xdr:spPr>
            <a:xfrm>
              <a:off x="4331330" y="3282939"/>
              <a:ext cx="337457" cy="308882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7</a:t>
              </a:r>
            </a:p>
          </xdr:txBody>
        </xdr:sp>
        <xdr:sp macro="" textlink="">
          <xdr:nvSpPr>
            <xdr:cNvPr id="61" name="TextBox 22"/>
            <xdr:cNvSpPr txBox="1"/>
          </xdr:nvSpPr>
          <xdr:spPr>
            <a:xfrm>
              <a:off x="3118934" y="2636600"/>
              <a:ext cx="337457" cy="308882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9</a:t>
              </a:r>
            </a:p>
          </xdr:txBody>
        </xdr:sp>
        <xdr:sp macro="" textlink="">
          <xdr:nvSpPr>
            <xdr:cNvPr id="62" name="Oval 61"/>
            <xdr:cNvSpPr/>
          </xdr:nvSpPr>
          <xdr:spPr>
            <a:xfrm>
              <a:off x="3088999" y="3976904"/>
              <a:ext cx="206187" cy="290688"/>
            </a:xfrm>
            <a:prstGeom prst="ellipse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cxnSp macro="">
          <xdr:nvCxnSpPr>
            <xdr:cNvPr id="63" name="Straight Connector 62"/>
            <xdr:cNvCxnSpPr>
              <a:stCxn id="49" idx="1"/>
              <a:endCxn id="58" idx="5"/>
            </xdr:cNvCxnSpPr>
          </xdr:nvCxnSpPr>
          <xdr:spPr>
            <a:xfrm flipH="1" flipV="1">
              <a:off x="3444754" y="1935500"/>
              <a:ext cx="778472" cy="548399"/>
            </a:xfrm>
            <a:prstGeom prst="line">
              <a:avLst/>
            </a:prstGeom>
            <a:ln w="28575">
              <a:solidFill>
                <a:schemeClr val="bg1">
                  <a:lumMod val="50000"/>
                </a:schemeClr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Oval 32"/>
          <xdr:cNvSpPr/>
        </xdr:nvSpPr>
        <xdr:spPr>
          <a:xfrm>
            <a:off x="18000826" y="18194841"/>
            <a:ext cx="209550" cy="3048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34" name="TextBox 17"/>
          <xdr:cNvSpPr txBox="1"/>
        </xdr:nvSpPr>
        <xdr:spPr>
          <a:xfrm>
            <a:off x="17773518" y="17635509"/>
            <a:ext cx="913922" cy="308882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800" b="1">
                <a:solidFill>
                  <a:srgbClr val="7030A0"/>
                </a:solidFill>
              </a:rPr>
              <a:t>Anchor #1</a:t>
            </a:r>
            <a:endParaRPr lang="en-US" sz="800" b="1">
              <a:solidFill>
                <a:srgbClr val="7030A0"/>
              </a:solidFill>
            </a:endParaRPr>
          </a:p>
        </xdr:txBody>
      </xdr:sp>
      <xdr:sp macro="" textlink="">
        <xdr:nvSpPr>
          <xdr:cNvPr id="35" name="Oval 34"/>
          <xdr:cNvSpPr/>
        </xdr:nvSpPr>
        <xdr:spPr>
          <a:xfrm>
            <a:off x="12408024" y="15747273"/>
            <a:ext cx="209550" cy="3048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36" name="TextBox 17"/>
          <xdr:cNvSpPr txBox="1"/>
        </xdr:nvSpPr>
        <xdr:spPr>
          <a:xfrm>
            <a:off x="12192000" y="15378545"/>
            <a:ext cx="913057" cy="308882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800" b="1">
                <a:solidFill>
                  <a:srgbClr val="7030A0"/>
                </a:solidFill>
              </a:rPr>
              <a:t>Anchor #2</a:t>
            </a:r>
            <a:endParaRPr lang="en-US" sz="800" b="1">
              <a:solidFill>
                <a:srgbClr val="7030A0"/>
              </a:solidFill>
            </a:endParaRPr>
          </a:p>
        </xdr:txBody>
      </xdr:sp>
      <xdr:sp macro="" textlink="">
        <xdr:nvSpPr>
          <xdr:cNvPr id="37" name="Oval 36"/>
          <xdr:cNvSpPr/>
        </xdr:nvSpPr>
        <xdr:spPr>
          <a:xfrm>
            <a:off x="12552040" y="20220457"/>
            <a:ext cx="209550" cy="3048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38" name="TextBox 17"/>
          <xdr:cNvSpPr txBox="1"/>
        </xdr:nvSpPr>
        <xdr:spPr>
          <a:xfrm>
            <a:off x="12008788" y="19851729"/>
            <a:ext cx="668412" cy="280698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800" b="1">
                <a:solidFill>
                  <a:srgbClr val="7030A0"/>
                </a:solidFill>
              </a:rPr>
              <a:t>Anchor #3</a:t>
            </a:r>
            <a:endParaRPr lang="en-US" sz="800" b="1">
              <a:solidFill>
                <a:srgbClr val="7030A0"/>
              </a:solidFill>
            </a:endParaRPr>
          </a:p>
        </xdr:txBody>
      </xdr:sp>
      <xdr:sp macro="" textlink="">
        <xdr:nvSpPr>
          <xdr:cNvPr id="39" name="TextBox 17"/>
          <xdr:cNvSpPr txBox="1"/>
        </xdr:nvSpPr>
        <xdr:spPr>
          <a:xfrm>
            <a:off x="13995796" y="19425757"/>
            <a:ext cx="746331" cy="31425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800" b="1">
                <a:solidFill>
                  <a:sysClr val="windowText" lastClr="000000"/>
                </a:solidFill>
              </a:rPr>
              <a:t>Connect #3</a:t>
            </a:r>
            <a:endParaRPr lang="en-US" sz="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TextBox 17"/>
          <xdr:cNvSpPr txBox="1"/>
        </xdr:nvSpPr>
        <xdr:spPr>
          <a:xfrm>
            <a:off x="14566043" y="16915833"/>
            <a:ext cx="717706" cy="22299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800" b="1">
                <a:solidFill>
                  <a:sysClr val="windowText" lastClr="000000"/>
                </a:solidFill>
              </a:rPr>
              <a:t>Connect #2</a:t>
            </a:r>
            <a:endParaRPr lang="en-US" sz="800" b="1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41" name="Straight Connector 40"/>
          <xdr:cNvCxnSpPr>
            <a:stCxn id="47" idx="1"/>
            <a:endCxn id="58" idx="4"/>
          </xdr:cNvCxnSpPr>
        </xdr:nvCxnSpPr>
        <xdr:spPr>
          <a:xfrm flipH="1" flipV="1">
            <a:off x="13948190" y="17251336"/>
            <a:ext cx="157234" cy="933184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>
            <a:stCxn id="47" idx="3"/>
            <a:endCxn id="62" idx="7"/>
          </xdr:cNvCxnSpPr>
        </xdr:nvCxnSpPr>
        <xdr:spPr>
          <a:xfrm flipH="1">
            <a:off x="13842999" y="18400045"/>
            <a:ext cx="263636" cy="890029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>
            <a:stCxn id="48" idx="2"/>
            <a:endCxn id="62" idx="7"/>
          </xdr:cNvCxnSpPr>
        </xdr:nvCxnSpPr>
        <xdr:spPr>
          <a:xfrm flipH="1">
            <a:off x="13842999" y="18649470"/>
            <a:ext cx="891902" cy="640605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>
            <a:stCxn id="56" idx="2"/>
            <a:endCxn id="48" idx="7"/>
          </xdr:cNvCxnSpPr>
        </xdr:nvCxnSpPr>
        <xdr:spPr>
          <a:xfrm flipH="1">
            <a:off x="14918617" y="18349433"/>
            <a:ext cx="860886" cy="195642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>
            <a:stCxn id="56" idx="2"/>
            <a:endCxn id="46" idx="7"/>
          </xdr:cNvCxnSpPr>
        </xdr:nvCxnSpPr>
        <xdr:spPr>
          <a:xfrm flipH="1" flipV="1">
            <a:off x="14945954" y="17893033"/>
            <a:ext cx="833549" cy="456400"/>
          </a:xfrm>
          <a:prstGeom prst="line">
            <a:avLst/>
          </a:prstGeom>
          <a:ln w="28575">
            <a:solidFill>
              <a:schemeClr val="bg1">
                <a:lumMod val="50000"/>
              </a:schemeClr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226519</xdr:colOff>
      <xdr:row>53</xdr:row>
      <xdr:rowOff>16009</xdr:rowOff>
    </xdr:from>
    <xdr:to>
      <xdr:col>21</xdr:col>
      <xdr:colOff>190500</xdr:colOff>
      <xdr:row>54</xdr:row>
      <xdr:rowOff>67236</xdr:rowOff>
    </xdr:to>
    <xdr:sp macro="" textlink="">
      <xdr:nvSpPr>
        <xdr:cNvPr id="64" name="TextBox 17"/>
        <xdr:cNvSpPr txBox="1"/>
      </xdr:nvSpPr>
      <xdr:spPr>
        <a:xfrm>
          <a:off x="16900872" y="10549538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1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423422</xdr:colOff>
      <xdr:row>52</xdr:row>
      <xdr:rowOff>55229</xdr:rowOff>
    </xdr:from>
    <xdr:to>
      <xdr:col>23</xdr:col>
      <xdr:colOff>146796</xdr:colOff>
      <xdr:row>53</xdr:row>
      <xdr:rowOff>169931</xdr:rowOff>
    </xdr:to>
    <xdr:sp macro="" textlink="">
      <xdr:nvSpPr>
        <xdr:cNvPr id="65" name="TextBox 20"/>
        <xdr:cNvSpPr txBox="1"/>
      </xdr:nvSpPr>
      <xdr:spPr>
        <a:xfrm>
          <a:off x="18308010" y="10398258"/>
          <a:ext cx="328492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1</a:t>
          </a:r>
        </a:p>
      </xdr:txBody>
    </xdr:sp>
    <xdr:clientData/>
  </xdr:twoCellAnchor>
  <xdr:twoCellAnchor>
    <xdr:from>
      <xdr:col>13</xdr:col>
      <xdr:colOff>492579</xdr:colOff>
      <xdr:row>38</xdr:row>
      <xdr:rowOff>166007</xdr:rowOff>
    </xdr:from>
    <xdr:to>
      <xdr:col>14</xdr:col>
      <xdr:colOff>25452</xdr:colOff>
      <xdr:row>40</xdr:row>
      <xdr:rowOff>90209</xdr:rowOff>
    </xdr:to>
    <xdr:sp macro="" textlink="">
      <xdr:nvSpPr>
        <xdr:cNvPr id="66" name="TextBox 20"/>
        <xdr:cNvSpPr txBox="1"/>
      </xdr:nvSpPr>
      <xdr:spPr>
        <a:xfrm>
          <a:off x="12793436" y="7922078"/>
          <a:ext cx="335695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2</a:t>
          </a:r>
        </a:p>
      </xdr:txBody>
    </xdr:sp>
    <xdr:clientData/>
  </xdr:twoCellAnchor>
  <xdr:twoCellAnchor>
    <xdr:from>
      <xdr:col>13</xdr:col>
      <xdr:colOff>590550</xdr:colOff>
      <xdr:row>67</xdr:row>
      <xdr:rowOff>182336</xdr:rowOff>
    </xdr:from>
    <xdr:to>
      <xdr:col>14</xdr:col>
      <xdr:colOff>123423</xdr:colOff>
      <xdr:row>69</xdr:row>
      <xdr:rowOff>38502</xdr:rowOff>
    </xdr:to>
    <xdr:sp macro="" textlink="">
      <xdr:nvSpPr>
        <xdr:cNvPr id="67" name="TextBox 20"/>
        <xdr:cNvSpPr txBox="1"/>
      </xdr:nvSpPr>
      <xdr:spPr>
        <a:xfrm>
          <a:off x="12891407" y="12510407"/>
          <a:ext cx="335695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3</a:t>
          </a:r>
        </a:p>
      </xdr:txBody>
    </xdr:sp>
    <xdr:clientData/>
  </xdr:twoCellAnchor>
  <xdr:twoCellAnchor>
    <xdr:from>
      <xdr:col>19</xdr:col>
      <xdr:colOff>2721</xdr:colOff>
      <xdr:row>52</xdr:row>
      <xdr:rowOff>84364</xdr:rowOff>
    </xdr:from>
    <xdr:to>
      <xdr:col>19</xdr:col>
      <xdr:colOff>338416</xdr:colOff>
      <xdr:row>54</xdr:row>
      <xdr:rowOff>8566</xdr:rowOff>
    </xdr:to>
    <xdr:sp macro="" textlink="">
      <xdr:nvSpPr>
        <xdr:cNvPr id="68" name="TextBox 20"/>
        <xdr:cNvSpPr txBox="1"/>
      </xdr:nvSpPr>
      <xdr:spPr>
        <a:xfrm>
          <a:off x="16168007" y="10507435"/>
          <a:ext cx="335695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4</a:t>
          </a:r>
        </a:p>
      </xdr:txBody>
    </xdr:sp>
    <xdr:clientData/>
  </xdr:twoCellAnchor>
  <xdr:twoCellAnchor>
    <xdr:from>
      <xdr:col>15</xdr:col>
      <xdr:colOff>504264</xdr:colOff>
      <xdr:row>44</xdr:row>
      <xdr:rowOff>134471</xdr:rowOff>
    </xdr:from>
    <xdr:to>
      <xdr:col>16</xdr:col>
      <xdr:colOff>234842</xdr:colOff>
      <xdr:row>46</xdr:row>
      <xdr:rowOff>58673</xdr:rowOff>
    </xdr:to>
    <xdr:sp macro="" textlink="">
      <xdr:nvSpPr>
        <xdr:cNvPr id="69" name="TextBox 20"/>
        <xdr:cNvSpPr txBox="1"/>
      </xdr:nvSpPr>
      <xdr:spPr>
        <a:xfrm>
          <a:off x="14153029" y="8953500"/>
          <a:ext cx="335695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5</a:t>
          </a:r>
        </a:p>
      </xdr:txBody>
    </xdr:sp>
    <xdr:clientData/>
  </xdr:twoCellAnchor>
  <xdr:twoCellAnchor>
    <xdr:from>
      <xdr:col>14</xdr:col>
      <xdr:colOff>244929</xdr:colOff>
      <xdr:row>57</xdr:row>
      <xdr:rowOff>81642</xdr:rowOff>
    </xdr:from>
    <xdr:to>
      <xdr:col>14</xdr:col>
      <xdr:colOff>580624</xdr:colOff>
      <xdr:row>59</xdr:row>
      <xdr:rowOff>5844</xdr:rowOff>
    </xdr:to>
    <xdr:sp macro="" textlink="">
      <xdr:nvSpPr>
        <xdr:cNvPr id="70" name="TextBox 20"/>
        <xdr:cNvSpPr txBox="1"/>
      </xdr:nvSpPr>
      <xdr:spPr>
        <a:xfrm>
          <a:off x="13348608" y="11457213"/>
          <a:ext cx="335695" cy="305202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solidFill>
                <a:schemeClr val="tx1">
                  <a:lumMod val="95000"/>
                  <a:lumOff val="5000"/>
                </a:schemeClr>
              </a:solidFill>
            </a:rPr>
            <a:t>6</a:t>
          </a:r>
        </a:p>
      </xdr:txBody>
    </xdr:sp>
    <xdr:clientData/>
  </xdr:twoCellAnchor>
  <xdr:twoCellAnchor>
    <xdr:from>
      <xdr:col>18</xdr:col>
      <xdr:colOff>550778</xdr:colOff>
      <xdr:row>52</xdr:row>
      <xdr:rowOff>109580</xdr:rowOff>
    </xdr:from>
    <xdr:to>
      <xdr:col>22</xdr:col>
      <xdr:colOff>132182</xdr:colOff>
      <xdr:row>52</xdr:row>
      <xdr:rowOff>111771</xdr:rowOff>
    </xdr:to>
    <xdr:cxnSp macro="">
      <xdr:nvCxnSpPr>
        <xdr:cNvPr id="72" name="Straight Connector 71"/>
        <xdr:cNvCxnSpPr>
          <a:stCxn id="56" idx="6"/>
          <a:endCxn id="33" idx="2"/>
        </xdr:cNvCxnSpPr>
      </xdr:nvCxnSpPr>
      <xdr:spPr>
        <a:xfrm flipV="1">
          <a:off x="16014896" y="10452609"/>
          <a:ext cx="2001874" cy="2191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292064</xdr:colOff>
      <xdr:row>41</xdr:row>
      <xdr:rowOff>40899</xdr:rowOff>
    </xdr:from>
    <xdr:to>
      <xdr:col>15</xdr:col>
      <xdr:colOff>256045</xdr:colOff>
      <xdr:row>42</xdr:row>
      <xdr:rowOff>92126</xdr:rowOff>
    </xdr:to>
    <xdr:sp macro="" textlink="">
      <xdr:nvSpPr>
        <xdr:cNvPr id="74" name="TextBox 17"/>
        <xdr:cNvSpPr txBox="1"/>
      </xdr:nvSpPr>
      <xdr:spPr>
        <a:xfrm>
          <a:off x="13335711" y="8288428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2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392161</xdr:colOff>
      <xdr:row>40</xdr:row>
      <xdr:rowOff>57048</xdr:rowOff>
    </xdr:from>
    <xdr:to>
      <xdr:col>15</xdr:col>
      <xdr:colOff>270328</xdr:colOff>
      <xdr:row>45</xdr:row>
      <xdr:rowOff>84268</xdr:rowOff>
    </xdr:to>
    <xdr:cxnSp macro="">
      <xdr:nvCxnSpPr>
        <xdr:cNvPr id="75" name="Straight Connector 74"/>
        <xdr:cNvCxnSpPr>
          <a:stCxn id="58" idx="1"/>
          <a:endCxn id="35" idx="5"/>
        </xdr:cNvCxnSpPr>
      </xdr:nvCxnSpPr>
      <xdr:spPr>
        <a:xfrm flipH="1" flipV="1">
          <a:off x="12640190" y="8114077"/>
          <a:ext cx="1278903" cy="979720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535184</xdr:colOff>
      <xdr:row>58</xdr:row>
      <xdr:rowOff>11619</xdr:rowOff>
    </xdr:from>
    <xdr:to>
      <xdr:col>15</xdr:col>
      <xdr:colOff>63612</xdr:colOff>
      <xdr:row>67</xdr:row>
      <xdr:rowOff>121390</xdr:rowOff>
    </xdr:to>
    <xdr:cxnSp macro="">
      <xdr:nvCxnSpPr>
        <xdr:cNvPr id="78" name="Straight Connector 77"/>
        <xdr:cNvCxnSpPr>
          <a:stCxn id="37" idx="7"/>
          <a:endCxn id="62" idx="2"/>
        </xdr:cNvCxnSpPr>
      </xdr:nvCxnSpPr>
      <xdr:spPr>
        <a:xfrm flipV="1">
          <a:off x="12783213" y="11497648"/>
          <a:ext cx="929164" cy="871771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33617</xdr:colOff>
      <xdr:row>49</xdr:row>
      <xdr:rowOff>134471</xdr:rowOff>
    </xdr:from>
    <xdr:to>
      <xdr:col>18</xdr:col>
      <xdr:colOff>602716</xdr:colOff>
      <xdr:row>50</xdr:row>
      <xdr:rowOff>185698</xdr:rowOff>
    </xdr:to>
    <xdr:sp macro="" textlink="">
      <xdr:nvSpPr>
        <xdr:cNvPr id="82" name="TextBox 17"/>
        <xdr:cNvSpPr txBox="1"/>
      </xdr:nvSpPr>
      <xdr:spPr>
        <a:xfrm>
          <a:off x="15497735" y="9906000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5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414618</xdr:colOff>
      <xdr:row>53</xdr:row>
      <xdr:rowOff>123265</xdr:rowOff>
    </xdr:from>
    <xdr:to>
      <xdr:col>18</xdr:col>
      <xdr:colOff>378599</xdr:colOff>
      <xdr:row>54</xdr:row>
      <xdr:rowOff>174492</xdr:rowOff>
    </xdr:to>
    <xdr:sp macro="" textlink="">
      <xdr:nvSpPr>
        <xdr:cNvPr id="88" name="TextBox 17"/>
        <xdr:cNvSpPr txBox="1"/>
      </xdr:nvSpPr>
      <xdr:spPr>
        <a:xfrm>
          <a:off x="15273618" y="10656794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4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201706</xdr:colOff>
      <xdr:row>46</xdr:row>
      <xdr:rowOff>56029</xdr:rowOff>
    </xdr:from>
    <xdr:to>
      <xdr:col>17</xdr:col>
      <xdr:colOff>165687</xdr:colOff>
      <xdr:row>47</xdr:row>
      <xdr:rowOff>107256</xdr:rowOff>
    </xdr:to>
    <xdr:sp macro="" textlink="">
      <xdr:nvSpPr>
        <xdr:cNvPr id="89" name="TextBox 17"/>
        <xdr:cNvSpPr txBox="1"/>
      </xdr:nvSpPr>
      <xdr:spPr>
        <a:xfrm>
          <a:off x="14455588" y="9256058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6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324970</xdr:colOff>
      <xdr:row>48</xdr:row>
      <xdr:rowOff>0</xdr:rowOff>
    </xdr:from>
    <xdr:to>
      <xdr:col>15</xdr:col>
      <xdr:colOff>288951</xdr:colOff>
      <xdr:row>49</xdr:row>
      <xdr:rowOff>51227</xdr:rowOff>
    </xdr:to>
    <xdr:sp macro="" textlink="">
      <xdr:nvSpPr>
        <xdr:cNvPr id="90" name="TextBox 17"/>
        <xdr:cNvSpPr txBox="1"/>
      </xdr:nvSpPr>
      <xdr:spPr>
        <a:xfrm>
          <a:off x="13368617" y="9581029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7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358588</xdr:colOff>
      <xdr:row>53</xdr:row>
      <xdr:rowOff>156882</xdr:rowOff>
    </xdr:from>
    <xdr:to>
      <xdr:col>15</xdr:col>
      <xdr:colOff>322569</xdr:colOff>
      <xdr:row>55</xdr:row>
      <xdr:rowOff>17609</xdr:rowOff>
    </xdr:to>
    <xdr:sp macro="" textlink="">
      <xdr:nvSpPr>
        <xdr:cNvPr id="91" name="TextBox 17"/>
        <xdr:cNvSpPr txBox="1"/>
      </xdr:nvSpPr>
      <xdr:spPr>
        <a:xfrm>
          <a:off x="13402235" y="10690411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8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123265</xdr:colOff>
      <xdr:row>56</xdr:row>
      <xdr:rowOff>56029</xdr:rowOff>
    </xdr:from>
    <xdr:to>
      <xdr:col>17</xdr:col>
      <xdr:colOff>87246</xdr:colOff>
      <xdr:row>57</xdr:row>
      <xdr:rowOff>107256</xdr:rowOff>
    </xdr:to>
    <xdr:sp macro="" textlink="">
      <xdr:nvSpPr>
        <xdr:cNvPr id="92" name="TextBox 17"/>
        <xdr:cNvSpPr txBox="1"/>
      </xdr:nvSpPr>
      <xdr:spPr>
        <a:xfrm>
          <a:off x="14377147" y="11161058"/>
          <a:ext cx="569099" cy="2417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 sz="1000" b="1">
              <a:solidFill>
                <a:schemeClr val="accent1"/>
              </a:solidFill>
            </a:rPr>
            <a:t>Line 9</a:t>
          </a:r>
          <a:endParaRPr lang="en-US" sz="1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549088</xdr:colOff>
      <xdr:row>37</xdr:row>
      <xdr:rowOff>56031</xdr:rowOff>
    </xdr:from>
    <xdr:to>
      <xdr:col>15</xdr:col>
      <xdr:colOff>571500</xdr:colOff>
      <xdr:row>39</xdr:row>
      <xdr:rowOff>44825</xdr:rowOff>
    </xdr:to>
    <xdr:sp macro="" textlink="">
      <xdr:nvSpPr>
        <xdr:cNvPr id="2" name="TextBox 1"/>
        <xdr:cNvSpPr txBox="1"/>
      </xdr:nvSpPr>
      <xdr:spPr>
        <a:xfrm>
          <a:off x="13592735" y="7541560"/>
          <a:ext cx="627530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</a:t>
          </a:r>
          <a:r>
            <a:rPr lang="en-US" sz="1100" baseline="0"/>
            <a:t> </a:t>
          </a:r>
          <a:r>
            <a:rPr lang="en-US" sz="1100"/>
            <a:t>- D</a:t>
          </a:r>
        </a:p>
      </xdr:txBody>
    </xdr:sp>
    <xdr:clientData/>
  </xdr:twoCellAnchor>
  <xdr:twoCellAnchor>
    <xdr:from>
      <xdr:col>15</xdr:col>
      <xdr:colOff>0</xdr:colOff>
      <xdr:row>67</xdr:row>
      <xdr:rowOff>0</xdr:rowOff>
    </xdr:from>
    <xdr:to>
      <xdr:col>16</xdr:col>
      <xdr:colOff>22413</xdr:colOff>
      <xdr:row>68</xdr:row>
      <xdr:rowOff>134470</xdr:rowOff>
    </xdr:to>
    <xdr:sp macro="" textlink="">
      <xdr:nvSpPr>
        <xdr:cNvPr id="71" name="TextBox 70"/>
        <xdr:cNvSpPr txBox="1"/>
      </xdr:nvSpPr>
      <xdr:spPr>
        <a:xfrm>
          <a:off x="13648765" y="12270441"/>
          <a:ext cx="627530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</a:t>
          </a:r>
          <a:r>
            <a:rPr lang="en-US" sz="1100" baseline="0"/>
            <a:t> </a:t>
          </a:r>
          <a:r>
            <a:rPr lang="en-US" sz="1100"/>
            <a:t>- G</a:t>
          </a:r>
        </a:p>
      </xdr:txBody>
    </xdr:sp>
    <xdr:clientData/>
  </xdr:twoCellAnchor>
  <xdr:twoCellAnchor>
    <xdr:from>
      <xdr:col>21</xdr:col>
      <xdr:colOff>414617</xdr:colOff>
      <xdr:row>55</xdr:row>
      <xdr:rowOff>134470</xdr:rowOff>
    </xdr:from>
    <xdr:to>
      <xdr:col>22</xdr:col>
      <xdr:colOff>437030</xdr:colOff>
      <xdr:row>57</xdr:row>
      <xdr:rowOff>123264</xdr:rowOff>
    </xdr:to>
    <xdr:sp macro="" textlink="">
      <xdr:nvSpPr>
        <xdr:cNvPr id="73" name="TextBox 72"/>
        <xdr:cNvSpPr txBox="1"/>
      </xdr:nvSpPr>
      <xdr:spPr>
        <a:xfrm>
          <a:off x="17694088" y="11048999"/>
          <a:ext cx="627530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topLeftCell="A7" zoomScale="70" zoomScaleNormal="70" workbookViewId="0">
      <selection activeCell="G48" sqref="G48"/>
    </sheetView>
  </sheetViews>
  <sheetFormatPr defaultRowHeight="15" x14ac:dyDescent="0.25"/>
  <cols>
    <col min="2" max="2" width="46.7109375" customWidth="1"/>
    <col min="3" max="3" width="11.42578125" bestFit="1" customWidth="1"/>
    <col min="4" max="4" width="51.7109375" bestFit="1" customWidth="1"/>
    <col min="5" max="5" width="18" bestFit="1" customWidth="1"/>
    <col min="6" max="6" width="23.140625" bestFit="1" customWidth="1"/>
    <col min="7" max="7" width="25.42578125" bestFit="1" customWidth="1"/>
    <col min="8" max="8" width="25.42578125" customWidth="1"/>
    <col min="9" max="9" width="39" bestFit="1" customWidth="1"/>
    <col min="10" max="10" width="18.85546875" bestFit="1" customWidth="1"/>
    <col min="11" max="11" width="22" bestFit="1" customWidth="1"/>
    <col min="12" max="12" width="22.7109375" bestFit="1" customWidth="1"/>
    <col min="13" max="13" width="22.7109375" customWidth="1"/>
    <col min="14" max="14" width="15.140625" customWidth="1"/>
    <col min="15" max="15" width="15" customWidth="1"/>
  </cols>
  <sheetData>
    <row r="1" spans="2:17" ht="23.25" x14ac:dyDescent="0.25">
      <c r="B1" s="295" t="s">
        <v>145</v>
      </c>
      <c r="C1" s="295"/>
      <c r="D1" s="295"/>
      <c r="E1" s="295"/>
      <c r="F1" s="295"/>
      <c r="G1" s="295"/>
      <c r="H1" s="295"/>
      <c r="I1" s="295"/>
      <c r="J1" s="295"/>
      <c r="K1" s="295"/>
    </row>
    <row r="2" spans="2:17" ht="18.75" x14ac:dyDescent="0.3">
      <c r="B2" s="37" t="s">
        <v>80</v>
      </c>
      <c r="C2" s="296" t="s">
        <v>77</v>
      </c>
      <c r="D2" s="296"/>
      <c r="E2" s="38"/>
      <c r="F2" s="38"/>
      <c r="G2" s="38"/>
      <c r="H2" s="38"/>
      <c r="I2" s="38"/>
      <c r="J2" s="38"/>
      <c r="K2" s="38"/>
      <c r="P2" t="s">
        <v>186</v>
      </c>
    </row>
    <row r="3" spans="2:17" ht="18.75" x14ac:dyDescent="0.3">
      <c r="B3" s="37" t="s">
        <v>78</v>
      </c>
      <c r="C3" s="296" t="s">
        <v>79</v>
      </c>
      <c r="D3" s="296"/>
      <c r="E3" s="38"/>
      <c r="F3" s="38"/>
      <c r="G3" s="38"/>
      <c r="H3" s="38"/>
      <c r="I3" s="38"/>
      <c r="J3" s="38"/>
      <c r="K3" s="38"/>
      <c r="P3" t="s">
        <v>187</v>
      </c>
      <c r="Q3">
        <v>9.8059999999999992</v>
      </c>
    </row>
    <row r="4" spans="2:17" ht="18.75" x14ac:dyDescent="0.3">
      <c r="B4" s="37" t="s">
        <v>146</v>
      </c>
      <c r="C4" s="296" t="s">
        <v>150</v>
      </c>
      <c r="D4" s="296"/>
      <c r="E4" s="38"/>
      <c r="F4" s="38"/>
      <c r="G4" s="38"/>
      <c r="H4" s="38"/>
      <c r="I4" s="38"/>
      <c r="J4" s="38"/>
      <c r="K4" s="38"/>
    </row>
    <row r="6" spans="2:17" ht="18.75" x14ac:dyDescent="0.3">
      <c r="B6" s="302" t="s">
        <v>4</v>
      </c>
      <c r="C6" s="302"/>
      <c r="D6" s="302"/>
      <c r="E6" s="302"/>
      <c r="F6" s="30" t="s">
        <v>54</v>
      </c>
      <c r="G6" s="34">
        <f>1/40</f>
        <v>2.5000000000000001E-2</v>
      </c>
      <c r="H6" s="34"/>
      <c r="I6" s="299" t="s">
        <v>4</v>
      </c>
      <c r="J6" s="299"/>
      <c r="K6" s="299"/>
      <c r="L6" s="299"/>
      <c r="M6" s="102"/>
    </row>
    <row r="7" spans="2:17" ht="15.75" x14ac:dyDescent="0.25">
      <c r="B7" s="298" t="s">
        <v>52</v>
      </c>
      <c r="C7" s="298"/>
      <c r="D7" s="298"/>
      <c r="E7" s="298"/>
      <c r="F7" s="18"/>
      <c r="G7" s="18"/>
      <c r="H7" s="18"/>
      <c r="I7" s="298" t="s">
        <v>53</v>
      </c>
      <c r="J7" s="298"/>
      <c r="K7" s="298"/>
      <c r="L7" s="298"/>
      <c r="M7" s="170"/>
      <c r="N7" s="19"/>
    </row>
    <row r="8" spans="2:17" ht="15.75" x14ac:dyDescent="0.25">
      <c r="B8" s="298"/>
      <c r="C8" s="298"/>
      <c r="D8" s="298"/>
      <c r="E8" s="298"/>
      <c r="I8" s="298"/>
      <c r="J8" s="298"/>
      <c r="K8" s="298"/>
      <c r="L8" s="298"/>
      <c r="M8" s="170"/>
    </row>
    <row r="9" spans="2:17" ht="15.75" x14ac:dyDescent="0.25">
      <c r="B9" s="303" t="s">
        <v>177</v>
      </c>
      <c r="C9" s="303"/>
      <c r="D9" s="303"/>
      <c r="E9" s="303"/>
      <c r="I9" s="300" t="s">
        <v>65</v>
      </c>
      <c r="J9" s="300"/>
      <c r="K9" s="300"/>
      <c r="L9" s="301"/>
      <c r="M9" s="100"/>
      <c r="N9" s="297" t="s">
        <v>71</v>
      </c>
      <c r="O9" s="297"/>
    </row>
    <row r="10" spans="2:17" x14ac:dyDescent="0.25">
      <c r="B10" s="1"/>
      <c r="C10" s="1" t="s">
        <v>49</v>
      </c>
      <c r="D10" s="1" t="s">
        <v>0</v>
      </c>
      <c r="E10" s="1" t="s">
        <v>55</v>
      </c>
      <c r="F10" s="1" t="s">
        <v>64</v>
      </c>
      <c r="J10" s="1" t="s">
        <v>66</v>
      </c>
      <c r="K10" s="1" t="s">
        <v>67</v>
      </c>
      <c r="L10" s="35" t="s">
        <v>68</v>
      </c>
      <c r="M10" s="35"/>
      <c r="N10" s="17" t="s">
        <v>72</v>
      </c>
      <c r="O10" s="17" t="s">
        <v>73</v>
      </c>
    </row>
    <row r="11" spans="2:17" x14ac:dyDescent="0.25">
      <c r="B11" s="1" t="s">
        <v>59</v>
      </c>
      <c r="C11" s="2">
        <v>290.3</v>
      </c>
      <c r="D11" s="3">
        <v>0.39362956223578743</v>
      </c>
      <c r="F11" s="2"/>
      <c r="I11" s="35" t="s">
        <v>49</v>
      </c>
      <c r="J11" s="41">
        <f>C15/scale^3</f>
        <v>19436799.999999996</v>
      </c>
      <c r="K11" s="42">
        <f>0.2/(scale^3)</f>
        <v>12799.999999999998</v>
      </c>
      <c r="L11" s="35" t="s">
        <v>69</v>
      </c>
      <c r="M11" s="35"/>
      <c r="N11" s="1" t="s">
        <v>76</v>
      </c>
      <c r="O11" s="14" t="s">
        <v>92</v>
      </c>
    </row>
    <row r="12" spans="2:17" ht="15.75" customHeight="1" x14ac:dyDescent="0.25">
      <c r="B12" s="1" t="s">
        <v>61</v>
      </c>
      <c r="C12" s="2">
        <v>5.5679999999999996</v>
      </c>
      <c r="D12" s="3">
        <v>3.4641901340996171</v>
      </c>
      <c r="F12" s="2"/>
      <c r="I12" s="35" t="s">
        <v>55</v>
      </c>
      <c r="J12" s="43">
        <f>E15/scale</f>
        <v>-71.56</v>
      </c>
      <c r="K12" s="44">
        <f>0.01/scale</f>
        <v>0.39999999999999997</v>
      </c>
      <c r="L12" s="1" t="s">
        <v>70</v>
      </c>
      <c r="M12" s="1"/>
      <c r="N12" s="1" t="s">
        <v>76</v>
      </c>
      <c r="O12" s="14" t="s">
        <v>90</v>
      </c>
    </row>
    <row r="13" spans="2:17" ht="15" customHeight="1" x14ac:dyDescent="0.25">
      <c r="B13" s="1" t="s">
        <v>60</v>
      </c>
      <c r="C13" s="2">
        <v>7.8900000000000006</v>
      </c>
      <c r="D13" s="3">
        <v>2.2959689480354872</v>
      </c>
      <c r="F13" s="2"/>
      <c r="I13" s="35" t="s">
        <v>64</v>
      </c>
      <c r="J13" s="40">
        <f>F15/(scale^5)</f>
        <v>18431999999.999989</v>
      </c>
      <c r="K13" s="40">
        <f>20/(scale^5)</f>
        <v>2047999999.9999988</v>
      </c>
      <c r="L13" s="1" t="s">
        <v>70</v>
      </c>
      <c r="M13" s="1"/>
      <c r="N13" s="1" t="s">
        <v>76</v>
      </c>
      <c r="O13" s="14" t="s">
        <v>93</v>
      </c>
    </row>
    <row r="14" spans="2:17" ht="15.75" x14ac:dyDescent="0.25">
      <c r="B14" s="4" t="s">
        <v>62</v>
      </c>
      <c r="C14" s="5">
        <v>303.75799999999998</v>
      </c>
      <c r="D14" s="6">
        <v>0.49932665998497416</v>
      </c>
      <c r="F14" s="7">
        <v>186.63120098195179</v>
      </c>
    </row>
    <row r="15" spans="2:17" ht="15.75" x14ac:dyDescent="0.25">
      <c r="B15" s="8" t="s">
        <v>63</v>
      </c>
      <c r="C15" s="29">
        <v>303.7</v>
      </c>
      <c r="D15" s="31">
        <v>0.496</v>
      </c>
      <c r="E15" s="31">
        <f>D15+C35</f>
        <v>-1.7890000000000001</v>
      </c>
      <c r="F15" s="9">
        <v>180</v>
      </c>
    </row>
    <row r="16" spans="2:17" ht="15.75" customHeight="1" x14ac:dyDescent="0.25"/>
    <row r="17" spans="2:15" ht="15.75" x14ac:dyDescent="0.25">
      <c r="B17" s="305" t="s">
        <v>6</v>
      </c>
      <c r="C17" s="305"/>
      <c r="D17" s="305"/>
      <c r="E17" s="305"/>
      <c r="I17" s="305" t="s">
        <v>6</v>
      </c>
      <c r="J17" s="305"/>
      <c r="K17" s="305"/>
      <c r="L17" s="305"/>
      <c r="M17" s="103"/>
      <c r="N17" s="64"/>
      <c r="O17" s="64"/>
    </row>
    <row r="18" spans="2:15" x14ac:dyDescent="0.25">
      <c r="B18" s="1"/>
      <c r="C18" s="1" t="s">
        <v>5</v>
      </c>
      <c r="D18" s="1" t="s">
        <v>0</v>
      </c>
      <c r="E18" s="1" t="s">
        <v>55</v>
      </c>
      <c r="F18" s="1" t="s">
        <v>51</v>
      </c>
      <c r="I18" s="35" t="s">
        <v>49</v>
      </c>
      <c r="J18" s="41">
        <f>C23/scale^3</f>
        <v>21081599.999999993</v>
      </c>
      <c r="K18" s="64"/>
      <c r="L18" s="64"/>
      <c r="M18" s="64"/>
      <c r="N18" s="64"/>
      <c r="O18" s="64"/>
    </row>
    <row r="19" spans="2:15" x14ac:dyDescent="0.25">
      <c r="B19" s="1" t="s">
        <v>1</v>
      </c>
      <c r="C19" s="2">
        <v>25.690755196127011</v>
      </c>
      <c r="D19" s="3">
        <v>3.8711193508977413</v>
      </c>
      <c r="F19" s="10"/>
      <c r="I19" s="35" t="s">
        <v>55</v>
      </c>
      <c r="J19" s="43">
        <f>E23/scale</f>
        <v>-60.8</v>
      </c>
      <c r="K19" s="64"/>
      <c r="L19" s="64"/>
      <c r="M19" s="64"/>
      <c r="N19" s="64"/>
      <c r="O19" s="64"/>
    </row>
    <row r="20" spans="2:15" ht="15.75" x14ac:dyDescent="0.25">
      <c r="B20" s="4" t="s">
        <v>58</v>
      </c>
      <c r="C20" s="5">
        <v>329.44875519612697</v>
      </c>
      <c r="D20" s="6">
        <v>0.76226254675972138</v>
      </c>
      <c r="F20" s="7">
        <v>500.99277864702412</v>
      </c>
      <c r="I20" s="35" t="s">
        <v>64</v>
      </c>
      <c r="J20" s="40">
        <f>F23/(scale^5)</f>
        <v>51199999999.999969</v>
      </c>
      <c r="K20" s="64"/>
      <c r="L20" s="64"/>
      <c r="M20" s="64"/>
      <c r="N20" s="64"/>
      <c r="O20" s="64"/>
    </row>
    <row r="21" spans="2:15" ht="18.75" x14ac:dyDescent="0.3">
      <c r="B21" s="27" t="s">
        <v>7</v>
      </c>
      <c r="C21" s="27">
        <v>329.4</v>
      </c>
      <c r="D21" s="27">
        <v>0.74299999999999999</v>
      </c>
      <c r="F21" s="27">
        <v>402</v>
      </c>
      <c r="I21" s="64"/>
      <c r="J21" s="65"/>
      <c r="K21" s="64"/>
      <c r="L21" s="64"/>
      <c r="M21" s="64"/>
      <c r="N21" s="64"/>
      <c r="O21" s="64"/>
    </row>
    <row r="22" spans="2:15" x14ac:dyDescent="0.25">
      <c r="B22" s="28" t="s">
        <v>8</v>
      </c>
      <c r="C22" s="28">
        <v>0.2</v>
      </c>
      <c r="D22" s="28">
        <v>5.0000000000000001E-3</v>
      </c>
      <c r="F22" s="28">
        <v>35</v>
      </c>
      <c r="I22" s="64"/>
      <c r="J22" s="64"/>
      <c r="K22" s="64"/>
      <c r="L22" s="64"/>
      <c r="M22" s="64"/>
      <c r="N22" s="64"/>
      <c r="O22" s="64"/>
    </row>
    <row r="23" spans="2:15" ht="15.75" x14ac:dyDescent="0.25">
      <c r="B23" s="8" t="s">
        <v>9</v>
      </c>
      <c r="C23" s="8">
        <v>329.4</v>
      </c>
      <c r="D23" s="12">
        <v>0.76500000000000001</v>
      </c>
      <c r="E23" s="31">
        <f>D23+C35</f>
        <v>-1.52</v>
      </c>
      <c r="F23" s="8">
        <v>500</v>
      </c>
      <c r="G23" t="s">
        <v>493</v>
      </c>
      <c r="I23" s="61"/>
      <c r="J23" s="61"/>
      <c r="K23" s="61"/>
      <c r="L23" s="61"/>
      <c r="M23" s="61"/>
      <c r="N23" s="64"/>
      <c r="O23" s="64"/>
    </row>
    <row r="24" spans="2:15" ht="15.75" x14ac:dyDescent="0.25">
      <c r="I24" s="94"/>
      <c r="J24" s="95"/>
      <c r="K24" s="95"/>
      <c r="L24" s="95"/>
      <c r="M24" s="95"/>
      <c r="N24" s="95"/>
      <c r="O24" s="64"/>
    </row>
    <row r="25" spans="2:15" ht="15.75" x14ac:dyDescent="0.25">
      <c r="B25" s="303" t="s">
        <v>178</v>
      </c>
      <c r="C25" s="303"/>
      <c r="D25" s="303"/>
      <c r="E25" s="303"/>
      <c r="F25" s="303"/>
      <c r="H25" s="70"/>
      <c r="I25" s="306" t="s">
        <v>184</v>
      </c>
      <c r="J25" s="306"/>
      <c r="K25" s="306"/>
      <c r="L25" s="306"/>
      <c r="M25" s="307"/>
      <c r="N25" s="297" t="s">
        <v>71</v>
      </c>
      <c r="O25" s="297"/>
    </row>
    <row r="26" spans="2:15" x14ac:dyDescent="0.25">
      <c r="B26" s="1"/>
      <c r="C26" s="1" t="s">
        <v>5</v>
      </c>
      <c r="D26" s="1" t="s">
        <v>0</v>
      </c>
      <c r="E26" s="1" t="s">
        <v>55</v>
      </c>
      <c r="F26" s="1" t="s">
        <v>64</v>
      </c>
      <c r="G26" s="166" t="s">
        <v>325</v>
      </c>
      <c r="H26" s="168" t="s">
        <v>326</v>
      </c>
      <c r="J26" s="1" t="s">
        <v>328</v>
      </c>
      <c r="K26" s="1" t="s">
        <v>67</v>
      </c>
      <c r="L26" s="35" t="s">
        <v>68</v>
      </c>
      <c r="M26" s="35" t="s">
        <v>329</v>
      </c>
      <c r="N26" s="17" t="s">
        <v>72</v>
      </c>
      <c r="O26" s="17" t="s">
        <v>73</v>
      </c>
    </row>
    <row r="27" spans="2:15" x14ac:dyDescent="0.25">
      <c r="B27" s="1" t="s">
        <v>180</v>
      </c>
      <c r="C27" s="3">
        <v>291.25124480387296</v>
      </c>
      <c r="D27" s="3">
        <v>0.39740160065501146</v>
      </c>
      <c r="E27" s="3"/>
      <c r="F27" s="2"/>
      <c r="G27" s="35"/>
      <c r="H27" s="70"/>
      <c r="I27" s="164" t="s">
        <v>49</v>
      </c>
      <c r="J27" s="41">
        <f>C32/scale^3</f>
        <v>20121599.999999993</v>
      </c>
      <c r="K27" s="42">
        <f>0.2/(scale^3)</f>
        <v>12799.999999999998</v>
      </c>
      <c r="L27" s="35" t="s">
        <v>69</v>
      </c>
      <c r="M27" s="172">
        <f>J27</f>
        <v>20121599.999999993</v>
      </c>
      <c r="N27" s="1" t="s">
        <v>76</v>
      </c>
      <c r="O27" s="14" t="s">
        <v>92</v>
      </c>
    </row>
    <row r="28" spans="2:15" x14ac:dyDescent="0.25">
      <c r="B28" s="1" t="s">
        <v>181</v>
      </c>
      <c r="C28" s="3">
        <v>5.5679999999999996</v>
      </c>
      <c r="D28" s="3">
        <v>3.4641901340996171</v>
      </c>
      <c r="E28" s="3"/>
      <c r="F28" s="2"/>
      <c r="G28" s="35"/>
      <c r="H28" s="70"/>
      <c r="I28" s="164" t="s">
        <v>55</v>
      </c>
      <c r="J28" s="43">
        <f>E32/scale</f>
        <v>-68.8</v>
      </c>
      <c r="K28" s="44">
        <f>0.01/scale</f>
        <v>0.39999999999999997</v>
      </c>
      <c r="L28" s="1" t="s">
        <v>70</v>
      </c>
      <c r="M28" s="171">
        <f>J28</f>
        <v>-68.8</v>
      </c>
      <c r="N28" s="1" t="s">
        <v>76</v>
      </c>
      <c r="O28" s="14" t="s">
        <v>90</v>
      </c>
    </row>
    <row r="29" spans="2:15" x14ac:dyDescent="0.25">
      <c r="B29" s="1" t="s">
        <v>182</v>
      </c>
      <c r="C29" s="3">
        <v>6.89</v>
      </c>
      <c r="D29" s="3">
        <v>2.262510159651669</v>
      </c>
      <c r="E29" s="3"/>
      <c r="F29" s="2"/>
      <c r="G29" s="35"/>
      <c r="H29" s="70"/>
      <c r="I29" s="164" t="s">
        <v>64</v>
      </c>
      <c r="J29" s="104">
        <f>F32/(scale^5)</f>
        <v>23654399999.999985</v>
      </c>
      <c r="K29" s="40">
        <f>20/(scale^5)</f>
        <v>2047999999.9999988</v>
      </c>
      <c r="L29" s="1" t="s">
        <v>70</v>
      </c>
      <c r="M29" s="171">
        <f>J29</f>
        <v>23654399999.999985</v>
      </c>
      <c r="N29" s="1" t="s">
        <v>76</v>
      </c>
      <c r="O29" s="14" t="s">
        <v>93</v>
      </c>
    </row>
    <row r="30" spans="2:15" ht="15.75" x14ac:dyDescent="0.25">
      <c r="B30" s="1" t="s">
        <v>179</v>
      </c>
      <c r="C30" s="3">
        <v>10.981606668687714</v>
      </c>
      <c r="D30" s="3">
        <v>2.4287999999999998</v>
      </c>
      <c r="E30" s="3"/>
      <c r="F30" s="7"/>
      <c r="G30" s="35"/>
      <c r="H30" s="70"/>
      <c r="I30" s="166" t="s">
        <v>325</v>
      </c>
      <c r="J30" s="43">
        <f>G32/scale</f>
        <v>-9.5923123657234294E-2</v>
      </c>
      <c r="K30" s="45">
        <v>0.1</v>
      </c>
      <c r="L30" s="35"/>
      <c r="M30" s="169">
        <v>-0.05</v>
      </c>
      <c r="N30" s="1"/>
      <c r="O30" s="1"/>
    </row>
    <row r="31" spans="2:15" x14ac:dyDescent="0.25">
      <c r="B31" s="1" t="s">
        <v>183</v>
      </c>
      <c r="C31" s="3">
        <v>314.69085147256067</v>
      </c>
      <c r="D31" s="3">
        <v>0.56806923666721565</v>
      </c>
      <c r="E31" s="3">
        <v>-1.7169307633327846</v>
      </c>
      <c r="F31" s="9">
        <v>218</v>
      </c>
      <c r="G31" s="35"/>
      <c r="H31" s="70"/>
      <c r="I31" s="164" t="s">
        <v>327</v>
      </c>
      <c r="J31" s="104">
        <f>H32/(scale^5)</f>
        <v>614399999.99999964</v>
      </c>
      <c r="K31" s="1"/>
      <c r="L31" s="1"/>
      <c r="M31" s="171">
        <v>620000000</v>
      </c>
      <c r="N31" s="1"/>
      <c r="O31" s="1"/>
    </row>
    <row r="32" spans="2:15" ht="15.75" x14ac:dyDescent="0.25">
      <c r="B32" s="17" t="s">
        <v>63</v>
      </c>
      <c r="C32" s="162">
        <v>314.39999999999998</v>
      </c>
      <c r="D32" s="163">
        <v>0.56399999999999995</v>
      </c>
      <c r="E32" s="163">
        <v>-1.72</v>
      </c>
      <c r="F32" s="162">
        <v>231</v>
      </c>
      <c r="G32" s="167">
        <v>-2.3980780914308573E-3</v>
      </c>
      <c r="H32" s="165">
        <v>6</v>
      </c>
      <c r="I32" s="33"/>
      <c r="J32" s="33"/>
      <c r="K32" s="33"/>
      <c r="L32" s="33"/>
      <c r="M32" s="33"/>
      <c r="N32" s="49"/>
      <c r="O32" s="79"/>
    </row>
    <row r="33" spans="2:15" x14ac:dyDescent="0.25">
      <c r="B33" s="160"/>
      <c r="C33" s="161"/>
      <c r="H33" s="70"/>
    </row>
    <row r="34" spans="2:15" ht="15.75" x14ac:dyDescent="0.25">
      <c r="B34" s="304" t="s">
        <v>185</v>
      </c>
      <c r="C34" s="305"/>
      <c r="D34" s="305"/>
      <c r="E34" s="305"/>
      <c r="F34" s="305"/>
      <c r="I34" s="304" t="s">
        <v>185</v>
      </c>
      <c r="J34" s="305"/>
      <c r="K34" s="305"/>
      <c r="L34" s="305"/>
      <c r="M34" s="305"/>
      <c r="N34" s="305"/>
      <c r="O34" s="64"/>
    </row>
    <row r="35" spans="2:15" x14ac:dyDescent="0.25">
      <c r="B35" s="17" t="s">
        <v>56</v>
      </c>
      <c r="C35" s="32">
        <v>-2.2850000000000001</v>
      </c>
      <c r="D35" s="64"/>
      <c r="E35" s="64"/>
      <c r="I35" s="17" t="s">
        <v>56</v>
      </c>
      <c r="J35" s="43">
        <f>C35/scale</f>
        <v>-91.4</v>
      </c>
      <c r="K35" s="45">
        <f>0.005/scale</f>
        <v>0.19999999999999998</v>
      </c>
      <c r="L35" s="35" t="s">
        <v>69</v>
      </c>
      <c r="M35" s="35"/>
      <c r="N35" s="1" t="s">
        <v>109</v>
      </c>
      <c r="O35" s="1" t="s">
        <v>109</v>
      </c>
    </row>
    <row r="36" spans="2:15" x14ac:dyDescent="0.25">
      <c r="B36" s="17" t="s">
        <v>57</v>
      </c>
      <c r="C36" s="32">
        <v>1.0720000000000001</v>
      </c>
      <c r="D36" s="64"/>
      <c r="E36" s="64"/>
      <c r="I36" s="17" t="s">
        <v>74</v>
      </c>
      <c r="J36" s="39">
        <f>(C36+C35)/scale</f>
        <v>-48.52</v>
      </c>
      <c r="K36" s="1">
        <f>0.001/scale</f>
        <v>0.04</v>
      </c>
      <c r="L36" s="1" t="s">
        <v>84</v>
      </c>
      <c r="M36" s="1"/>
      <c r="N36" s="1" t="s">
        <v>109</v>
      </c>
      <c r="O36" s="1" t="s">
        <v>109</v>
      </c>
    </row>
    <row r="37" spans="2:15" ht="15.75" x14ac:dyDescent="0.25">
      <c r="B37" s="17" t="s">
        <v>106</v>
      </c>
      <c r="C37" s="1">
        <v>0.34</v>
      </c>
      <c r="D37" s="64"/>
      <c r="E37" s="64"/>
      <c r="I37" s="33" t="s">
        <v>106</v>
      </c>
      <c r="J37" s="33">
        <f>C37/(scale^3)</f>
        <v>21759.999999999996</v>
      </c>
      <c r="K37" s="33"/>
      <c r="L37" s="33"/>
      <c r="M37" s="33"/>
      <c r="N37" s="49" t="s">
        <v>108</v>
      </c>
      <c r="O37" s="79" t="s">
        <v>107</v>
      </c>
    </row>
    <row r="38" spans="2:15" x14ac:dyDescent="0.25">
      <c r="B38" s="49" t="s">
        <v>324</v>
      </c>
      <c r="C38" s="64">
        <f>C23/1000</f>
        <v>0.32939999999999997</v>
      </c>
      <c r="D38" s="64"/>
      <c r="E38" s="64"/>
    </row>
    <row r="39" spans="2:15" x14ac:dyDescent="0.25">
      <c r="B39" s="17" t="s">
        <v>188</v>
      </c>
      <c r="C39" s="10">
        <f>1000*g*C37*(-D23+C36)</f>
        <v>1023.5502800000003</v>
      </c>
      <c r="D39" t="s">
        <v>206</v>
      </c>
      <c r="E39" s="87">
        <f>C35+0.77</f>
        <v>-1.5150000000000001</v>
      </c>
      <c r="F39" s="87">
        <f>C35+0.76</f>
        <v>-1.5250000000000001</v>
      </c>
      <c r="I39" t="str">
        <f>B39</f>
        <v>KH 55  with gravity [F+WT] [Nm/rad]</v>
      </c>
      <c r="J39" s="83">
        <f>C39/(scale^4)</f>
        <v>2620288716.7999997</v>
      </c>
    </row>
    <row r="40" spans="2:15" x14ac:dyDescent="0.25">
      <c r="B40" s="17" t="s">
        <v>189</v>
      </c>
      <c r="C40" s="10">
        <f>1000*g*C37*(C35+C36)</f>
        <v>-4044.1905200000006</v>
      </c>
      <c r="D40" t="s">
        <v>205</v>
      </c>
      <c r="E40" s="99">
        <f>(-C23*g*E39)</f>
        <v>4893.5960459999997</v>
      </c>
      <c r="F40">
        <f>(-C23*g*F39)</f>
        <v>4925.8970099999997</v>
      </c>
      <c r="I40" t="str">
        <f t="shared" ref="I40:I41" si="0">B40</f>
        <v>KH 55 no gravity [Nm/rad]</v>
      </c>
      <c r="J40" s="83">
        <f>C40/(scale^4)</f>
        <v>-10353127731.199997</v>
      </c>
    </row>
    <row r="41" spans="2:15" x14ac:dyDescent="0.25">
      <c r="B41" s="17" t="s">
        <v>190</v>
      </c>
      <c r="C41" s="10">
        <f>1000*g*PI()*(0.28/2)^2</f>
        <v>603.80656819758963</v>
      </c>
      <c r="I41" t="str">
        <f t="shared" si="0"/>
        <v>KH 33  [N/m]</v>
      </c>
      <c r="J41" s="83">
        <f>C41/(scale^2)</f>
        <v>966090.50911614322</v>
      </c>
    </row>
    <row r="42" spans="2:15" ht="15.75" x14ac:dyDescent="0.25">
      <c r="B42" s="304" t="s">
        <v>194</v>
      </c>
      <c r="C42" s="305"/>
      <c r="D42" s="305"/>
      <c r="E42" s="305"/>
      <c r="F42" s="305"/>
      <c r="I42" s="304" t="s">
        <v>194</v>
      </c>
      <c r="J42" s="305"/>
      <c r="K42" s="305"/>
      <c r="L42" s="305"/>
      <c r="M42" s="305"/>
      <c r="N42" s="305"/>
    </row>
    <row r="43" spans="2:15" x14ac:dyDescent="0.25">
      <c r="B43" s="1" t="s">
        <v>200</v>
      </c>
      <c r="C43" s="1">
        <v>110</v>
      </c>
      <c r="D43" s="1" t="s">
        <v>191</v>
      </c>
      <c r="I43" s="1" t="s">
        <v>200</v>
      </c>
      <c r="J43" s="36">
        <f>C43/scale^4</f>
        <v>281599999.99999988</v>
      </c>
      <c r="K43" s="1" t="s">
        <v>191</v>
      </c>
    </row>
    <row r="44" spans="2:15" x14ac:dyDescent="0.25">
      <c r="B44" s="1" t="s">
        <v>192</v>
      </c>
      <c r="C44" s="1">
        <v>140</v>
      </c>
      <c r="D44" s="1" t="s">
        <v>191</v>
      </c>
      <c r="I44" s="1" t="s">
        <v>192</v>
      </c>
      <c r="J44" s="36">
        <f>C44/scale^5</f>
        <v>14335999999.999992</v>
      </c>
      <c r="K44" s="1" t="s">
        <v>191</v>
      </c>
    </row>
    <row r="45" spans="2:15" x14ac:dyDescent="0.25">
      <c r="B45" s="1" t="s">
        <v>193</v>
      </c>
      <c r="C45" s="1">
        <v>322</v>
      </c>
      <c r="D45" s="1" t="s">
        <v>191</v>
      </c>
      <c r="I45" s="1" t="s">
        <v>193</v>
      </c>
      <c r="J45" s="36">
        <f>C45/scale^3</f>
        <v>20607999.999999996</v>
      </c>
      <c r="K45" s="1" t="s">
        <v>191</v>
      </c>
    </row>
    <row r="46" spans="2:15" x14ac:dyDescent="0.25">
      <c r="B46" s="17" t="s">
        <v>195</v>
      </c>
      <c r="C46" s="1">
        <f>(2000000)/40^3</f>
        <v>31.25</v>
      </c>
      <c r="D46" s="1" t="s">
        <v>191</v>
      </c>
      <c r="I46" s="17" t="s">
        <v>195</v>
      </c>
      <c r="J46" s="36">
        <f>C46/scale^3</f>
        <v>1999999.9999999995</v>
      </c>
      <c r="K46" s="1" t="s">
        <v>191</v>
      </c>
    </row>
    <row r="47" spans="2:15" x14ac:dyDescent="0.25">
      <c r="J47" s="83"/>
    </row>
    <row r="48" spans="2:15" x14ac:dyDescent="0.25">
      <c r="B48" s="1" t="s">
        <v>201</v>
      </c>
      <c r="C48" s="1">
        <v>-375</v>
      </c>
      <c r="D48" s="1" t="s">
        <v>42</v>
      </c>
      <c r="I48" s="1" t="s">
        <v>201</v>
      </c>
      <c r="J48" s="36">
        <f>C48/scale^4</f>
        <v>-959999999.99999952</v>
      </c>
      <c r="K48" s="1" t="s">
        <v>42</v>
      </c>
    </row>
    <row r="49" spans="2:11" x14ac:dyDescent="0.25">
      <c r="B49" s="1" t="s">
        <v>202</v>
      </c>
      <c r="C49" s="1">
        <v>545</v>
      </c>
      <c r="D49" s="1" t="s">
        <v>42</v>
      </c>
      <c r="I49" s="1" t="s">
        <v>202</v>
      </c>
      <c r="J49" s="36">
        <f>C49/scale^5</f>
        <v>55807999999.999969</v>
      </c>
      <c r="K49" s="1" t="s">
        <v>42</v>
      </c>
    </row>
    <row r="50" spans="2:11" x14ac:dyDescent="0.25">
      <c r="B50" s="1" t="s">
        <v>193</v>
      </c>
      <c r="C50" s="1">
        <v>320</v>
      </c>
      <c r="D50" s="1" t="s">
        <v>42</v>
      </c>
      <c r="I50" s="1" t="s">
        <v>193</v>
      </c>
      <c r="J50" s="36">
        <f>C50/scale^3</f>
        <v>20479999.999999996</v>
      </c>
      <c r="K50" s="1" t="s">
        <v>42</v>
      </c>
    </row>
    <row r="53" spans="2:11" x14ac:dyDescent="0.25">
      <c r="B53" s="294" t="s">
        <v>496</v>
      </c>
      <c r="C53" s="294"/>
      <c r="D53" s="294"/>
      <c r="E53" s="294"/>
      <c r="F53" s="294"/>
      <c r="G53" s="294"/>
    </row>
    <row r="54" spans="2:11" x14ac:dyDescent="0.25">
      <c r="C54" t="s">
        <v>5</v>
      </c>
      <c r="D54" t="s">
        <v>0</v>
      </c>
      <c r="E54" t="s">
        <v>55</v>
      </c>
      <c r="F54" t="s">
        <v>208</v>
      </c>
      <c r="G54" t="s">
        <v>209</v>
      </c>
      <c r="H54" t="s">
        <v>465</v>
      </c>
    </row>
    <row r="55" spans="2:11" x14ac:dyDescent="0.25">
      <c r="B55" t="s">
        <v>345</v>
      </c>
      <c r="C55" s="290">
        <f>C32</f>
        <v>314.39999999999998</v>
      </c>
      <c r="D55" s="87">
        <f>D32</f>
        <v>0.56399999999999995</v>
      </c>
      <c r="E55" s="87">
        <f>E23</f>
        <v>-1.52</v>
      </c>
      <c r="F55" s="290">
        <f>F32</f>
        <v>231</v>
      </c>
      <c r="G55" s="290">
        <f>C55*(D55-D59)^2</f>
        <v>12.389621027578974</v>
      </c>
      <c r="H55">
        <f>C55*D55</f>
        <v>177.32159999999996</v>
      </c>
    </row>
    <row r="56" spans="2:11" x14ac:dyDescent="0.25">
      <c r="B56" t="s">
        <v>128</v>
      </c>
      <c r="C56">
        <v>2.5</v>
      </c>
      <c r="D56">
        <f>2.28+0.15+1.26</f>
        <v>3.6899999999999995</v>
      </c>
      <c r="F56">
        <v>0</v>
      </c>
      <c r="G56" s="290">
        <f>C56*(D56-$D$59)^2</f>
        <v>21.425458434282266</v>
      </c>
      <c r="H56">
        <f t="shared" ref="H56:H57" si="1">C56*D56</f>
        <v>9.2249999999999979</v>
      </c>
    </row>
    <row r="57" spans="2:11" x14ac:dyDescent="0.25">
      <c r="B57" t="s">
        <v>373</v>
      </c>
      <c r="C57">
        <v>12.5</v>
      </c>
      <c r="D57">
        <f>2.28+2.75+0.14</f>
        <v>5.169999999999999</v>
      </c>
      <c r="F57">
        <v>0</v>
      </c>
      <c r="G57" s="290">
        <f>C57*(D57-$D$59)^2</f>
        <v>242.8243316371065</v>
      </c>
      <c r="H57">
        <f t="shared" si="1"/>
        <v>64.624999999999986</v>
      </c>
    </row>
    <row r="58" spans="2:11" x14ac:dyDescent="0.25">
      <c r="B58" t="s">
        <v>498</v>
      </c>
      <c r="C58" s="290">
        <f>C55+C56+C57</f>
        <v>329.4</v>
      </c>
      <c r="D58" s="87">
        <f>SUM(H55:H57)/C58</f>
        <v>0.76251244687310249</v>
      </c>
      <c r="F58" s="290">
        <f>SUM(F55:F57)+SUM(G55:G57)</f>
        <v>507.63941109896774</v>
      </c>
    </row>
    <row r="59" spans="2:11" x14ac:dyDescent="0.25">
      <c r="B59" t="s">
        <v>497</v>
      </c>
      <c r="D59" s="87">
        <f>D58</f>
        <v>0.76251244687310249</v>
      </c>
    </row>
    <row r="62" spans="2:11" x14ac:dyDescent="0.25">
      <c r="H62">
        <f>2.55*40</f>
        <v>102</v>
      </c>
    </row>
  </sheetData>
  <mergeCells count="21">
    <mergeCell ref="B25:F25"/>
    <mergeCell ref="B17:E17"/>
    <mergeCell ref="N25:O25"/>
    <mergeCell ref="I42:N42"/>
    <mergeCell ref="I25:M25"/>
    <mergeCell ref="B53:G53"/>
    <mergeCell ref="B1:K1"/>
    <mergeCell ref="C2:D2"/>
    <mergeCell ref="C3:D3"/>
    <mergeCell ref="N9:O9"/>
    <mergeCell ref="C4:D4"/>
    <mergeCell ref="B7:E8"/>
    <mergeCell ref="I6:L6"/>
    <mergeCell ref="I7:L8"/>
    <mergeCell ref="I9:L9"/>
    <mergeCell ref="B6:E6"/>
    <mergeCell ref="B9:E9"/>
    <mergeCell ref="B34:F34"/>
    <mergeCell ref="I17:L17"/>
    <mergeCell ref="I34:N34"/>
    <mergeCell ref="B42:F42"/>
  </mergeCells>
  <conditionalFormatting sqref="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opLeftCell="A103" zoomScale="70" zoomScaleNormal="70" workbookViewId="0">
      <selection activeCell="M115" sqref="M115:O119"/>
    </sheetView>
  </sheetViews>
  <sheetFormatPr defaultRowHeight="15" x14ac:dyDescent="0.25"/>
  <cols>
    <col min="2" max="2" width="37.140625" bestFit="1" customWidth="1"/>
    <col min="3" max="3" width="23.28515625" bestFit="1" customWidth="1"/>
    <col min="4" max="4" width="26.85546875" customWidth="1"/>
    <col min="5" max="5" width="25.7109375" customWidth="1"/>
    <col min="6" max="6" width="14.85546875" customWidth="1"/>
    <col min="7" max="7" width="12" bestFit="1" customWidth="1"/>
    <col min="8" max="8" width="15.5703125" bestFit="1" customWidth="1"/>
    <col min="13" max="13" width="38.140625" bestFit="1" customWidth="1"/>
    <col min="14" max="14" width="22" bestFit="1" customWidth="1"/>
    <col min="15" max="15" width="16.42578125" bestFit="1" customWidth="1"/>
    <col min="16" max="16" width="10" bestFit="1" customWidth="1"/>
    <col min="17" max="17" width="15.85546875" customWidth="1"/>
    <col min="18" max="18" width="16.7109375" bestFit="1" customWidth="1"/>
  </cols>
  <sheetData>
    <row r="1" spans="2:18" ht="23.25" x14ac:dyDescent="0.25">
      <c r="B1" s="325" t="s">
        <v>144</v>
      </c>
      <c r="C1" s="325"/>
      <c r="D1" s="325"/>
      <c r="E1" s="325"/>
      <c r="F1" s="325"/>
      <c r="G1" s="325"/>
    </row>
    <row r="2" spans="2:18" ht="18.75" x14ac:dyDescent="0.3">
      <c r="B2" s="51" t="s">
        <v>80</v>
      </c>
      <c r="C2" s="326" t="s">
        <v>77</v>
      </c>
      <c r="D2" s="326"/>
      <c r="E2" s="38"/>
      <c r="F2" s="38"/>
      <c r="G2" s="38"/>
    </row>
    <row r="3" spans="2:18" ht="18.75" x14ac:dyDescent="0.3">
      <c r="B3" s="50" t="s">
        <v>78</v>
      </c>
      <c r="C3" s="327" t="s">
        <v>79</v>
      </c>
      <c r="D3" s="327"/>
      <c r="E3" s="30" t="s">
        <v>54</v>
      </c>
      <c r="F3" s="34">
        <f>1/40</f>
        <v>2.5000000000000001E-2</v>
      </c>
      <c r="G3" s="38"/>
    </row>
    <row r="4" spans="2:18" ht="18.75" x14ac:dyDescent="0.3">
      <c r="B4" s="37" t="s">
        <v>146</v>
      </c>
      <c r="C4" s="296" t="s">
        <v>148</v>
      </c>
      <c r="D4" s="296"/>
      <c r="F4" s="38"/>
      <c r="G4" s="38"/>
      <c r="H4" s="38"/>
      <c r="I4" s="38"/>
      <c r="J4" s="38"/>
      <c r="K4" s="38"/>
      <c r="L4" s="38"/>
      <c r="M4" s="38"/>
      <c r="N4" s="38"/>
    </row>
    <row r="6" spans="2:18" ht="18.75" x14ac:dyDescent="0.3">
      <c r="B6" s="329" t="s">
        <v>4</v>
      </c>
      <c r="C6" s="329"/>
      <c r="D6" s="329"/>
      <c r="E6" s="329"/>
      <c r="F6" s="329"/>
      <c r="G6" s="329"/>
      <c r="H6" s="329"/>
      <c r="M6" s="299" t="s">
        <v>4</v>
      </c>
      <c r="N6" s="299"/>
      <c r="O6" s="299"/>
      <c r="P6" s="299"/>
    </row>
    <row r="7" spans="2:18" ht="15.75" customHeight="1" x14ac:dyDescent="0.25">
      <c r="B7" s="330" t="s">
        <v>52</v>
      </c>
      <c r="C7" s="331"/>
      <c r="D7" s="331"/>
      <c r="E7" s="331"/>
      <c r="F7" s="331"/>
      <c r="G7" s="331"/>
      <c r="H7" s="331"/>
      <c r="M7" s="328" t="s">
        <v>53</v>
      </c>
      <c r="N7" s="328"/>
      <c r="O7" s="328"/>
      <c r="P7" s="328"/>
    </row>
    <row r="8" spans="2:18" ht="15" customHeight="1" x14ac:dyDescent="0.25">
      <c r="B8" s="330"/>
      <c r="C8" s="331"/>
      <c r="D8" s="331"/>
      <c r="E8" s="331"/>
      <c r="F8" s="331"/>
      <c r="G8" s="331"/>
      <c r="H8" s="331"/>
      <c r="M8" s="328"/>
      <c r="N8" s="328"/>
      <c r="O8" s="328"/>
      <c r="P8" s="328"/>
    </row>
    <row r="9" spans="2:18" ht="15.75" x14ac:dyDescent="0.25">
      <c r="B9" s="310" t="s">
        <v>75</v>
      </c>
      <c r="C9" s="311"/>
      <c r="D9" s="311"/>
      <c r="E9" s="312"/>
      <c r="M9" s="310" t="s">
        <v>83</v>
      </c>
      <c r="N9" s="311"/>
      <c r="O9" s="311"/>
      <c r="P9" s="312"/>
      <c r="Q9" s="308" t="s">
        <v>71</v>
      </c>
      <c r="R9" s="309"/>
    </row>
    <row r="10" spans="2:18" x14ac:dyDescent="0.25">
      <c r="B10" s="1" t="s">
        <v>10</v>
      </c>
      <c r="C10" s="1"/>
      <c r="D10" s="1" t="s">
        <v>11</v>
      </c>
      <c r="E10" s="1" t="s">
        <v>12</v>
      </c>
      <c r="N10" s="1" t="s">
        <v>66</v>
      </c>
      <c r="O10" s="1" t="s">
        <v>67</v>
      </c>
      <c r="P10" s="35" t="s">
        <v>68</v>
      </c>
      <c r="Q10" s="17" t="s">
        <v>72</v>
      </c>
      <c r="R10" s="17" t="s">
        <v>73</v>
      </c>
    </row>
    <row r="11" spans="2:18" x14ac:dyDescent="0.25">
      <c r="B11" s="1" t="s">
        <v>13</v>
      </c>
      <c r="C11" s="13">
        <v>2.3699999999999997</v>
      </c>
      <c r="D11" s="1">
        <v>1E-3</v>
      </c>
      <c r="E11" s="1" t="s">
        <v>14</v>
      </c>
      <c r="M11" s="1" t="str">
        <f>B13</f>
        <v>Tower Base height from MSL [m]</v>
      </c>
      <c r="N11" s="1">
        <f t="shared" ref="N11:O13" si="0">C13/scale</f>
        <v>3.3999999999999808</v>
      </c>
      <c r="O11" s="1">
        <f t="shared" si="0"/>
        <v>0.19999999999999998</v>
      </c>
      <c r="Q11" s="1" t="s">
        <v>76</v>
      </c>
      <c r="R11" s="14" t="s">
        <v>85</v>
      </c>
    </row>
    <row r="12" spans="2:18" x14ac:dyDescent="0.25">
      <c r="B12" s="1" t="s">
        <v>15</v>
      </c>
      <c r="C12" s="14">
        <v>2.2850000000000001</v>
      </c>
      <c r="D12" s="1">
        <v>5.0000000000000001E-3</v>
      </c>
      <c r="E12" s="1" t="s">
        <v>16</v>
      </c>
      <c r="M12" s="1" t="str">
        <f>B14</f>
        <v>Tower height (twr base to twr top)[m]</v>
      </c>
      <c r="N12" s="1">
        <f t="shared" si="0"/>
        <v>110.23999999999998</v>
      </c>
      <c r="O12" s="1">
        <f t="shared" si="0"/>
        <v>0.08</v>
      </c>
      <c r="Q12" s="1" t="s">
        <v>109</v>
      </c>
      <c r="R12" s="1" t="s">
        <v>109</v>
      </c>
    </row>
    <row r="13" spans="2:18" x14ac:dyDescent="0.25">
      <c r="B13" s="1" t="s">
        <v>17</v>
      </c>
      <c r="C13" s="13">
        <v>8.499999999999952E-2</v>
      </c>
      <c r="D13" s="1">
        <v>5.0000000000000001E-3</v>
      </c>
      <c r="E13" s="1"/>
      <c r="M13" s="1" t="str">
        <f>B15</f>
        <v>Tower top above MSL [m]</v>
      </c>
      <c r="N13" s="1">
        <f t="shared" si="0"/>
        <v>113.63999999999997</v>
      </c>
      <c r="O13" s="1">
        <f t="shared" si="0"/>
        <v>0</v>
      </c>
      <c r="Q13" s="1" t="s">
        <v>76</v>
      </c>
      <c r="R13" s="14" t="s">
        <v>86</v>
      </c>
    </row>
    <row r="14" spans="2:18" x14ac:dyDescent="0.25">
      <c r="B14" t="s">
        <v>18</v>
      </c>
      <c r="C14">
        <v>2.7559999999999998</v>
      </c>
      <c r="D14">
        <v>2E-3</v>
      </c>
      <c r="M14" s="1" t="str">
        <f>B16</f>
        <v>Tower top to Rotor Apex [m]</v>
      </c>
      <c r="N14" s="3">
        <f>C16/scale -7.1*SIN(5*PI()/180)</f>
        <v>6.9811942264916267</v>
      </c>
      <c r="O14" s="1">
        <f>D16/scale</f>
        <v>0.19999999999999998</v>
      </c>
      <c r="Q14" s="1" t="s">
        <v>76</v>
      </c>
      <c r="R14" s="14" t="s">
        <v>91</v>
      </c>
    </row>
    <row r="15" spans="2:18" x14ac:dyDescent="0.25">
      <c r="B15" s="1" t="s">
        <v>87</v>
      </c>
      <c r="C15" s="1">
        <v>2.8409999999999993</v>
      </c>
      <c r="D15" s="1"/>
      <c r="E15" s="1"/>
      <c r="M15" s="1" t="str">
        <f>B17</f>
        <v>Hub height above MSL [m]</v>
      </c>
      <c r="N15" s="1">
        <f>C17/scale</f>
        <v>121.23999999999997</v>
      </c>
      <c r="O15" s="1">
        <f>D17/scale</f>
        <v>0.39999999999999997</v>
      </c>
      <c r="Q15" s="1" t="s">
        <v>109</v>
      </c>
      <c r="R15" s="1" t="s">
        <v>109</v>
      </c>
    </row>
    <row r="16" spans="2:18" x14ac:dyDescent="0.25">
      <c r="B16" s="1" t="s">
        <v>105</v>
      </c>
      <c r="C16" s="14">
        <v>0.19</v>
      </c>
      <c r="D16" s="1">
        <v>5.0000000000000001E-3</v>
      </c>
      <c r="E16" s="1" t="s">
        <v>19</v>
      </c>
      <c r="M16" s="85" t="s">
        <v>82</v>
      </c>
      <c r="N16" s="85"/>
      <c r="O16" s="85"/>
      <c r="P16" s="85"/>
    </row>
    <row r="17" spans="2:18" x14ac:dyDescent="0.25">
      <c r="B17" s="1" t="s">
        <v>20</v>
      </c>
      <c r="C17" s="3">
        <v>3.0309999999999993</v>
      </c>
      <c r="D17" s="1">
        <v>0.01</v>
      </c>
      <c r="E17" s="1"/>
      <c r="M17" s="46" t="s">
        <v>94</v>
      </c>
      <c r="N17" s="46"/>
      <c r="O17" s="46"/>
    </row>
    <row r="18" spans="2:18" x14ac:dyDescent="0.25">
      <c r="B18" s="1" t="s">
        <v>21</v>
      </c>
      <c r="C18" s="15">
        <f>10.72 +0.2</f>
        <v>10.92</v>
      </c>
      <c r="D18" s="1">
        <v>0.2</v>
      </c>
      <c r="E18" s="1" t="s">
        <v>22</v>
      </c>
      <c r="M18" s="1" t="str">
        <f>B18</f>
        <v>Mass RNA above twr Top [kg]</v>
      </c>
      <c r="N18" s="40">
        <f>C18/(scale^3)</f>
        <v>698879.99999999988</v>
      </c>
      <c r="O18" s="40">
        <f>D18/(scale^3)</f>
        <v>12799.999999999998</v>
      </c>
    </row>
    <row r="19" spans="2:18" x14ac:dyDescent="0.25">
      <c r="B19" s="1" t="s">
        <v>23</v>
      </c>
      <c r="C19" s="16">
        <v>-1.72E-2</v>
      </c>
      <c r="D19" s="1">
        <v>2E-3</v>
      </c>
      <c r="E19" s="1" t="s">
        <v>3</v>
      </c>
      <c r="M19" s="1" t="str">
        <f>B19</f>
        <v>CoG X RNA above twr top [m]</v>
      </c>
      <c r="N19" s="1">
        <f t="shared" ref="N19:O21" si="1">C19/scale</f>
        <v>-0.68799999999999994</v>
      </c>
      <c r="O19" s="1">
        <f t="shared" si="1"/>
        <v>0.08</v>
      </c>
    </row>
    <row r="20" spans="2:18" x14ac:dyDescent="0.25">
      <c r="B20" s="1" t="s">
        <v>24</v>
      </c>
      <c r="C20" s="16">
        <v>-1.1000000000000001E-3</v>
      </c>
      <c r="D20" s="1">
        <v>2E-3</v>
      </c>
      <c r="E20" s="1" t="s">
        <v>3</v>
      </c>
      <c r="M20" s="1" t="str">
        <f>B20</f>
        <v>CoG Y RNA above twr top [m]</v>
      </c>
      <c r="N20" s="1">
        <f t="shared" si="1"/>
        <v>-4.3999999999999997E-2</v>
      </c>
      <c r="O20" s="1">
        <f t="shared" si="1"/>
        <v>0.08</v>
      </c>
    </row>
    <row r="21" spans="2:18" x14ac:dyDescent="0.25">
      <c r="B21" s="1" t="s">
        <v>25</v>
      </c>
      <c r="C21" s="14">
        <v>6.8000000000000005E-2</v>
      </c>
      <c r="D21" s="1">
        <v>5.0000000000000001E-3</v>
      </c>
      <c r="E21" s="1" t="s">
        <v>3</v>
      </c>
      <c r="M21" s="1" t="str">
        <f>B21</f>
        <v>CoG Z RNA above twr top [m]</v>
      </c>
      <c r="N21" s="1">
        <f t="shared" si="1"/>
        <v>2.72</v>
      </c>
      <c r="O21" s="1">
        <f t="shared" si="1"/>
        <v>0.19999999999999998</v>
      </c>
    </row>
    <row r="22" spans="2:18" x14ac:dyDescent="0.25">
      <c r="B22" s="17" t="s">
        <v>26</v>
      </c>
      <c r="C22" s="13">
        <v>7.1809999999999999E-2</v>
      </c>
      <c r="D22" s="1" t="s">
        <v>27</v>
      </c>
      <c r="E22" s="1" t="s">
        <v>28</v>
      </c>
      <c r="M22" s="47" t="s">
        <v>95</v>
      </c>
      <c r="N22" s="47"/>
      <c r="O22" s="47"/>
    </row>
    <row r="23" spans="2:18" x14ac:dyDescent="0.25">
      <c r="B23" s="1" t="s">
        <v>29</v>
      </c>
      <c r="C23" s="1">
        <v>0.24723200000000001</v>
      </c>
      <c r="D23" s="1" t="s">
        <v>27</v>
      </c>
      <c r="E23" s="1" t="s">
        <v>28</v>
      </c>
      <c r="M23" s="1" t="s">
        <v>81</v>
      </c>
      <c r="N23" s="40">
        <f>105520 + 3 *17740</f>
        <v>158740</v>
      </c>
      <c r="O23" s="1"/>
    </row>
    <row r="24" spans="2:18" x14ac:dyDescent="0.25">
      <c r="B24" s="1" t="s">
        <v>30</v>
      </c>
      <c r="C24" s="1">
        <v>0.23658399999999999</v>
      </c>
      <c r="D24" s="1" t="s">
        <v>27</v>
      </c>
      <c r="E24" s="1" t="s">
        <v>28</v>
      </c>
      <c r="M24" s="1" t="s">
        <v>88</v>
      </c>
      <c r="N24" s="3">
        <f>-7.1*COS(5*PI()/180)</f>
        <v>-7.0729823564513934</v>
      </c>
      <c r="O24" s="1"/>
    </row>
    <row r="25" spans="2:18" x14ac:dyDescent="0.25">
      <c r="M25" s="1" t="s">
        <v>89</v>
      </c>
      <c r="N25" s="3">
        <f>-7.1*SIN(-5*PI()/180)+N14</f>
        <v>7.6</v>
      </c>
      <c r="O25" s="1"/>
      <c r="Q25" s="308" t="s">
        <v>71</v>
      </c>
      <c r="R25" s="309"/>
    </row>
    <row r="26" spans="2:18" x14ac:dyDescent="0.25">
      <c r="M26" s="313" t="s">
        <v>96</v>
      </c>
      <c r="N26" s="314"/>
      <c r="O26" s="315"/>
      <c r="Q26" s="17" t="s">
        <v>72</v>
      </c>
      <c r="R26" s="17" t="s">
        <v>73</v>
      </c>
    </row>
    <row r="27" spans="2:18" x14ac:dyDescent="0.25">
      <c r="M27" s="1" t="s">
        <v>97</v>
      </c>
      <c r="N27" s="36">
        <f>N18-N23</f>
        <v>540139.99999999988</v>
      </c>
      <c r="O27" s="48">
        <f>O18</f>
        <v>12799.999999999998</v>
      </c>
      <c r="Q27" s="1" t="s">
        <v>76</v>
      </c>
      <c r="R27" s="14" t="s">
        <v>104</v>
      </c>
    </row>
    <row r="28" spans="2:18" x14ac:dyDescent="0.25">
      <c r="M28" s="1" t="s">
        <v>98</v>
      </c>
      <c r="N28" s="3">
        <f>(N19*N18-N24*N23)/N27</f>
        <v>1.188461841861544</v>
      </c>
      <c r="O28" s="48">
        <f t="shared" ref="O28:O30" si="2">O19</f>
        <v>0.08</v>
      </c>
      <c r="Q28" s="1" t="s">
        <v>76</v>
      </c>
      <c r="R28" s="14" t="s">
        <v>101</v>
      </c>
    </row>
    <row r="29" spans="2:18" x14ac:dyDescent="0.25">
      <c r="M29" s="1" t="s">
        <v>99</v>
      </c>
      <c r="N29" s="1">
        <v>0</v>
      </c>
      <c r="O29" s="48">
        <f t="shared" si="2"/>
        <v>0.08</v>
      </c>
      <c r="Q29" s="1" t="s">
        <v>76</v>
      </c>
      <c r="R29" s="14" t="s">
        <v>102</v>
      </c>
    </row>
    <row r="30" spans="2:18" x14ac:dyDescent="0.25">
      <c r="M30" s="1" t="s">
        <v>100</v>
      </c>
      <c r="N30" s="3">
        <f>(N21*N18-N25*N23)/N27</f>
        <v>1.285832561928389</v>
      </c>
      <c r="O30" s="48">
        <f t="shared" si="2"/>
        <v>0.19999999999999998</v>
      </c>
      <c r="Q30" s="1" t="s">
        <v>76</v>
      </c>
      <c r="R30" s="14" t="s">
        <v>103</v>
      </c>
    </row>
    <row r="32" spans="2:18" x14ac:dyDescent="0.25">
      <c r="M32" t="str">
        <f>B22</f>
        <v>Inertia RNA xx around CoG RNA [kg.m^-2]</v>
      </c>
    </row>
    <row r="33" spans="2:18" x14ac:dyDescent="0.25">
      <c r="M33" t="str">
        <f>B23</f>
        <v>Inertia RNA yy around CoG RNA [kg.m^-2]</v>
      </c>
      <c r="Q33" s="79" t="s">
        <v>163</v>
      </c>
    </row>
    <row r="34" spans="2:18" x14ac:dyDescent="0.25">
      <c r="M34" t="str">
        <f>B24</f>
        <v>Inertia RNA zz around CoG RNA [kg.m^-2]</v>
      </c>
    </row>
    <row r="35" spans="2:18" ht="15.75" x14ac:dyDescent="0.25">
      <c r="M35" s="303" t="s">
        <v>128</v>
      </c>
      <c r="N35" s="303"/>
      <c r="O35" s="303"/>
      <c r="P35" s="303"/>
    </row>
    <row r="36" spans="2:18" ht="21" x14ac:dyDescent="0.35">
      <c r="M36" s="67" t="s">
        <v>110</v>
      </c>
      <c r="N36" s="52" t="s">
        <v>111</v>
      </c>
    </row>
    <row r="37" spans="2:18" x14ac:dyDescent="0.25">
      <c r="M37" s="53" t="str">
        <f>B146</f>
        <v>Volumic mass Aluminium [kg.m^-3]</v>
      </c>
      <c r="N37" s="72">
        <f>C146</f>
        <v>2750</v>
      </c>
    </row>
    <row r="38" spans="2:18" x14ac:dyDescent="0.25">
      <c r="M38" s="68" t="str">
        <f>B147</f>
        <v>Shell width [mm]</v>
      </c>
      <c r="N38" s="72">
        <f>C147/scale</f>
        <v>80</v>
      </c>
    </row>
    <row r="39" spans="2:18" x14ac:dyDescent="0.25">
      <c r="M39" s="53" t="s">
        <v>143</v>
      </c>
      <c r="N39" s="72">
        <f>C148/1000/scale</f>
        <v>2.4</v>
      </c>
    </row>
    <row r="40" spans="2:18" x14ac:dyDescent="0.25">
      <c r="M40" s="53" t="str">
        <f>B149</f>
        <v>Young modulus E alu [Pa]</v>
      </c>
      <c r="N40" s="73">
        <f>C149/scale</f>
        <v>2760000000000</v>
      </c>
    </row>
    <row r="41" spans="2:18" x14ac:dyDescent="0.25">
      <c r="M41" s="53" t="str">
        <f>B150</f>
        <v>Length of the flexible mast [m]</v>
      </c>
      <c r="N41" s="72">
        <f>C150/scale</f>
        <v>100.75999999999998</v>
      </c>
    </row>
    <row r="42" spans="2:18" x14ac:dyDescent="0.25">
      <c r="M42" s="53" t="str">
        <f>B151</f>
        <v>lineic mass [kg.m^-1]</v>
      </c>
      <c r="N42" s="73">
        <f>C151/(scale^2)</f>
        <v>1603.4688903922283</v>
      </c>
    </row>
    <row r="43" spans="2:18" x14ac:dyDescent="0.25">
      <c r="M43" s="53" t="str">
        <f>B152</f>
        <v>Flapwise and Edgewise stiffness [Nm^2]</v>
      </c>
      <c r="N43" s="73">
        <f>C152/(scale^5)</f>
        <v>1084024268730.271</v>
      </c>
    </row>
    <row r="44" spans="2:18" x14ac:dyDescent="0.25">
      <c r="G44" s="64"/>
    </row>
    <row r="45" spans="2:18" ht="18.75" x14ac:dyDescent="0.3">
      <c r="B45" s="319" t="s">
        <v>138</v>
      </c>
      <c r="C45" s="320"/>
      <c r="D45" s="320"/>
      <c r="E45" s="320"/>
      <c r="F45" s="320"/>
      <c r="G45" s="320"/>
      <c r="H45" s="320"/>
      <c r="M45" s="321" t="s">
        <v>138</v>
      </c>
      <c r="N45" s="322"/>
      <c r="O45" s="322"/>
      <c r="P45" s="322"/>
      <c r="Q45" s="322"/>
    </row>
    <row r="46" spans="2:18" x14ac:dyDescent="0.25">
      <c r="B46" s="1" t="s">
        <v>129</v>
      </c>
      <c r="C46" s="1" t="s">
        <v>130</v>
      </c>
      <c r="D46" s="60" t="s">
        <v>135</v>
      </c>
      <c r="E46" s="1" t="s">
        <v>120</v>
      </c>
      <c r="F46" s="17" t="s">
        <v>147</v>
      </c>
      <c r="G46" s="17" t="s">
        <v>164</v>
      </c>
      <c r="H46" s="39" t="s">
        <v>142</v>
      </c>
      <c r="I46" s="65" t="s">
        <v>464</v>
      </c>
      <c r="J46" s="65" t="s">
        <v>465</v>
      </c>
      <c r="K46" s="65"/>
      <c r="L46" s="65"/>
      <c r="M46" s="1" t="str">
        <f>B46</f>
        <v>From Bottom to Top</v>
      </c>
      <c r="N46" s="1" t="str">
        <f>C46</f>
        <v>Mass WITH screws[kg]</v>
      </c>
      <c r="O46" s="1" t="str">
        <f>D46</f>
        <v>Stiffness</v>
      </c>
      <c r="P46" s="1" t="s">
        <v>139</v>
      </c>
      <c r="Q46" s="1" t="str">
        <f>G46</f>
        <v>Inertia [kg.m]</v>
      </c>
      <c r="R46" s="61" t="s">
        <v>135</v>
      </c>
    </row>
    <row r="47" spans="2:18" x14ac:dyDescent="0.25">
      <c r="B47" s="1" t="s">
        <v>123</v>
      </c>
      <c r="C47" s="39">
        <v>3.0646367874423248</v>
      </c>
      <c r="D47" s="60" t="s">
        <v>136</v>
      </c>
      <c r="E47" s="63">
        <v>26</v>
      </c>
      <c r="F47" s="3">
        <v>150</v>
      </c>
      <c r="G47" s="17"/>
      <c r="H47" s="77">
        <f>$H$51*100</f>
        <v>1058617.4499319058</v>
      </c>
      <c r="I47" s="65">
        <f>$C$13+E47/1000/2</f>
        <v>9.7999999999999518E-2</v>
      </c>
      <c r="J47" s="65">
        <f>C47*I47</f>
        <v>0.30033440516934634</v>
      </c>
      <c r="K47" s="65"/>
      <c r="L47" s="65"/>
      <c r="M47" s="1" t="str">
        <f t="shared" ref="M47:M53" si="3">B47</f>
        <v>BG3 / bride inf</v>
      </c>
      <c r="N47" s="74">
        <f t="shared" ref="N47:N53" si="4">C47/(scale^3)</f>
        <v>196136.75439630874</v>
      </c>
      <c r="O47" s="60" t="s">
        <v>136</v>
      </c>
      <c r="P47" s="63">
        <f t="shared" ref="P47:P53" si="5">E47/1000/scale</f>
        <v>1.0399999999999998</v>
      </c>
      <c r="Q47" s="78">
        <f t="shared" ref="Q47:Q53" si="6">G47/(scale^4)</f>
        <v>0</v>
      </c>
      <c r="R47" s="78">
        <f t="shared" ref="R47:R53" si="7">H47/(scale^5)</f>
        <v>108402426873027.09</v>
      </c>
    </row>
    <row r="48" spans="2:18" x14ac:dyDescent="0.25">
      <c r="B48" s="1" t="s">
        <v>122</v>
      </c>
      <c r="C48" s="39">
        <v>4.3628307537629674</v>
      </c>
      <c r="D48" s="60" t="s">
        <v>136</v>
      </c>
      <c r="E48" s="62">
        <v>77</v>
      </c>
      <c r="F48" s="3">
        <v>100</v>
      </c>
      <c r="G48" s="17"/>
      <c r="H48" s="77">
        <f>$H$51*100</f>
        <v>1058617.4499319058</v>
      </c>
      <c r="I48" s="65">
        <f>$I$47+SUM($E$47:E48)/1000 -E48/2/1000</f>
        <v>0.16249999999999951</v>
      </c>
      <c r="J48" s="65">
        <f t="shared" ref="J48:J53" si="8">C48*I48</f>
        <v>0.70895999748648009</v>
      </c>
      <c r="K48" s="65"/>
      <c r="L48" s="65"/>
      <c r="M48" s="1" t="str">
        <f t="shared" si="3"/>
        <v>BG3</v>
      </c>
      <c r="N48" s="74">
        <f t="shared" si="4"/>
        <v>279221.16824082984</v>
      </c>
      <c r="O48" s="60" t="s">
        <v>136</v>
      </c>
      <c r="P48" s="63">
        <f t="shared" si="5"/>
        <v>3.0799999999999996</v>
      </c>
      <c r="Q48" s="78">
        <f t="shared" si="6"/>
        <v>0</v>
      </c>
      <c r="R48" s="78">
        <f t="shared" si="7"/>
        <v>108402426873027.09</v>
      </c>
    </row>
    <row r="49" spans="1:22" x14ac:dyDescent="0.25">
      <c r="B49" s="1" t="s">
        <v>121</v>
      </c>
      <c r="C49" s="39">
        <v>2.6251576134453067</v>
      </c>
      <c r="D49" s="60" t="s">
        <v>136</v>
      </c>
      <c r="E49" s="62">
        <v>24</v>
      </c>
      <c r="F49" s="3">
        <v>150</v>
      </c>
      <c r="G49" s="17"/>
      <c r="H49" s="77">
        <f>$H$51*2</f>
        <v>21172.348998638117</v>
      </c>
      <c r="I49" s="65">
        <f>$I$47+SUM($E$47:E49)/1000 -E49/2/1000</f>
        <v>0.21299999999999952</v>
      </c>
      <c r="J49" s="65">
        <f t="shared" si="8"/>
        <v>0.55915857166384908</v>
      </c>
      <c r="K49" s="65"/>
      <c r="L49" s="65"/>
      <c r="M49" s="1" t="str">
        <f t="shared" si="3"/>
        <v>BG3 / bride sup</v>
      </c>
      <c r="N49" s="74">
        <f t="shared" si="4"/>
        <v>168010.0872604996</v>
      </c>
      <c r="O49" s="60" t="s">
        <v>136</v>
      </c>
      <c r="P49" s="63">
        <f t="shared" si="5"/>
        <v>0.96</v>
      </c>
      <c r="Q49" s="78">
        <f t="shared" si="6"/>
        <v>0</v>
      </c>
      <c r="R49" s="78">
        <f t="shared" si="7"/>
        <v>2168048537460.542</v>
      </c>
    </row>
    <row r="50" spans="1:22" x14ac:dyDescent="0.25">
      <c r="B50" s="1" t="s">
        <v>131</v>
      </c>
      <c r="C50" s="39">
        <v>0.92898151403711604</v>
      </c>
      <c r="D50" s="60" t="s">
        <v>136</v>
      </c>
      <c r="E50" s="63">
        <v>20</v>
      </c>
      <c r="F50" s="1">
        <v>148</v>
      </c>
      <c r="G50" s="17"/>
      <c r="H50" s="77">
        <f>$H$51*1.5</f>
        <v>15879.261748978588</v>
      </c>
      <c r="I50" s="65">
        <f>$I$47+SUM($E$47:E50)/1000 -E50/2/1000</f>
        <v>0.23499999999999949</v>
      </c>
      <c r="J50" s="65">
        <f t="shared" si="8"/>
        <v>0.2183106557987218</v>
      </c>
      <c r="K50" s="65"/>
      <c r="L50" s="65"/>
      <c r="M50" s="1" t="str">
        <f t="shared" si="3"/>
        <v>Mast / Bride inf</v>
      </c>
      <c r="N50" s="74">
        <f t="shared" si="4"/>
        <v>59454.816898375415</v>
      </c>
      <c r="O50" s="60" t="s">
        <v>136</v>
      </c>
      <c r="P50" s="63">
        <f t="shared" si="5"/>
        <v>0.79999999999999993</v>
      </c>
      <c r="Q50" s="78">
        <f t="shared" si="6"/>
        <v>0</v>
      </c>
      <c r="R50" s="78">
        <f t="shared" si="7"/>
        <v>1626036403095.4065</v>
      </c>
    </row>
    <row r="51" spans="1:22" x14ac:dyDescent="0.25">
      <c r="B51" s="1" t="s">
        <v>132</v>
      </c>
      <c r="C51" s="39">
        <v>2.5</v>
      </c>
      <c r="D51" s="76" t="s">
        <v>137</v>
      </c>
      <c r="E51" s="63">
        <f>2554-(E50+E52)</f>
        <v>2519</v>
      </c>
      <c r="F51" s="1">
        <v>60</v>
      </c>
      <c r="G51" s="59">
        <f>0.5*$C$151*((($C$148/2-C147)/1000)^2+(($C$148/2)/1000)^2)/2</f>
        <v>4.219127517844552E-4</v>
      </c>
      <c r="H51" s="59">
        <f>C152</f>
        <v>10586.174499319059</v>
      </c>
      <c r="I51" s="65">
        <f>$I$47+SUM($E$47:E51)/1000 -E51/2/1000</f>
        <v>1.5044999999999993</v>
      </c>
      <c r="J51" s="65">
        <f t="shared" si="8"/>
        <v>3.7612499999999982</v>
      </c>
      <c r="K51" s="65"/>
      <c r="L51" s="65"/>
      <c r="M51" s="1" t="str">
        <f t="shared" si="3"/>
        <v>Mast / Tube 60*2</v>
      </c>
      <c r="N51" s="74">
        <f t="shared" si="4"/>
        <v>159999.99999999997</v>
      </c>
      <c r="O51" s="60" t="s">
        <v>137</v>
      </c>
      <c r="P51" s="63">
        <f t="shared" si="5"/>
        <v>100.76</v>
      </c>
      <c r="Q51" s="78">
        <f t="shared" si="6"/>
        <v>1080.0966445682047</v>
      </c>
      <c r="R51" s="78">
        <f t="shared" si="7"/>
        <v>1084024268730.271</v>
      </c>
    </row>
    <row r="52" spans="1:22" x14ac:dyDescent="0.25">
      <c r="B52" s="1" t="s">
        <v>133</v>
      </c>
      <c r="C52" s="39">
        <v>0.51480776159551356</v>
      </c>
      <c r="D52" s="60" t="s">
        <v>136</v>
      </c>
      <c r="E52" s="63">
        <v>15</v>
      </c>
      <c r="F52" s="1">
        <v>108</v>
      </c>
      <c r="G52" s="17"/>
      <c r="H52" s="77">
        <f>$H$51*1.5</f>
        <v>15879.261748978588</v>
      </c>
      <c r="I52" s="65">
        <f>$I$47+SUM($E$47:E52)/1000 -E52/2/1000</f>
        <v>2.7714999999999996</v>
      </c>
      <c r="J52" s="65">
        <f t="shared" si="8"/>
        <v>1.4267897112619656</v>
      </c>
      <c r="K52" s="65"/>
      <c r="L52" s="65"/>
      <c r="M52" s="1" t="str">
        <f t="shared" si="3"/>
        <v>Mast / Bride sup</v>
      </c>
      <c r="N52" s="74">
        <f t="shared" si="4"/>
        <v>32947.696742112857</v>
      </c>
      <c r="O52" s="60" t="s">
        <v>136</v>
      </c>
      <c r="P52" s="63">
        <f t="shared" si="5"/>
        <v>0.6</v>
      </c>
      <c r="Q52" s="78">
        <f t="shared" si="6"/>
        <v>0</v>
      </c>
      <c r="R52" s="78">
        <f t="shared" si="7"/>
        <v>1626036403095.4065</v>
      </c>
    </row>
    <row r="53" spans="1:22" x14ac:dyDescent="0.25">
      <c r="B53" s="1" t="s">
        <v>134</v>
      </c>
      <c r="C53" s="39">
        <v>0.9755788067226534</v>
      </c>
      <c r="D53" s="60" t="s">
        <v>136</v>
      </c>
      <c r="E53" s="1">
        <v>75</v>
      </c>
      <c r="F53" s="3">
        <v>70</v>
      </c>
      <c r="G53" s="1"/>
      <c r="H53" s="77">
        <f>$H$51*10</f>
        <v>105861.74499319059</v>
      </c>
      <c r="I53" s="65">
        <f>$I$47+SUM($E$47:E53)/1000 -E53/2/1000</f>
        <v>2.8164999999999991</v>
      </c>
      <c r="J53" s="65">
        <f t="shared" si="8"/>
        <v>2.7477177091343523</v>
      </c>
      <c r="K53" s="65"/>
      <c r="L53" s="65"/>
      <c r="M53" s="1" t="str">
        <f t="shared" si="3"/>
        <v>Fake BG1</v>
      </c>
      <c r="N53" s="74">
        <f t="shared" si="4"/>
        <v>62437.043630249806</v>
      </c>
      <c r="O53" s="60" t="s">
        <v>136</v>
      </c>
      <c r="P53" s="63">
        <f t="shared" si="5"/>
        <v>2.9999999999999996</v>
      </c>
      <c r="Q53" s="78">
        <f t="shared" si="6"/>
        <v>0</v>
      </c>
      <c r="R53" s="78">
        <f t="shared" si="7"/>
        <v>10840242687302.709</v>
      </c>
    </row>
    <row r="54" spans="1:22" x14ac:dyDescent="0.25">
      <c r="B54" s="64"/>
      <c r="C54" s="65"/>
      <c r="D54" s="69"/>
      <c r="E54" s="71"/>
      <c r="F54" s="70"/>
      <c r="G54" s="70"/>
      <c r="H54" s="65"/>
      <c r="I54" s="65"/>
      <c r="J54" s="65"/>
      <c r="K54" s="65"/>
      <c r="L54" s="65"/>
      <c r="M54" s="1"/>
      <c r="N54" s="74"/>
      <c r="O54" s="60"/>
      <c r="P54" s="3"/>
      <c r="Q54" s="35"/>
    </row>
    <row r="55" spans="1:22" x14ac:dyDescent="0.25">
      <c r="C55" s="65"/>
      <c r="D55" s="75"/>
      <c r="E55" s="71"/>
      <c r="F55" s="70"/>
      <c r="H55" s="70"/>
      <c r="I55" s="70" t="s">
        <v>464</v>
      </c>
      <c r="J55" s="65">
        <f>SUM(J47:J51)/C58</f>
        <v>0.41152466219061068</v>
      </c>
      <c r="K55" s="70"/>
      <c r="L55" s="70"/>
      <c r="N55" s="64"/>
      <c r="O55" s="65"/>
    </row>
    <row r="56" spans="1:22" x14ac:dyDescent="0.25">
      <c r="B56" s="1" t="s">
        <v>140</v>
      </c>
      <c r="C56" s="39">
        <v>10.72</v>
      </c>
      <c r="D56" s="65"/>
      <c r="E56" s="70"/>
      <c r="F56" s="70"/>
      <c r="G56" s="70"/>
      <c r="H56" s="70"/>
      <c r="I56" s="70"/>
      <c r="J56" s="70"/>
      <c r="K56" s="70"/>
      <c r="L56" s="70"/>
      <c r="M56" s="1" t="str">
        <f>B56</f>
        <v>RNA Mass [kg]</v>
      </c>
      <c r="N56" s="74">
        <f>C56/(scale^3)</f>
        <v>686079.99999999988</v>
      </c>
      <c r="O56" s="65"/>
    </row>
    <row r="57" spans="1:22" x14ac:dyDescent="0.25">
      <c r="B57" s="1" t="s">
        <v>141</v>
      </c>
      <c r="C57" s="39">
        <f>0.068</f>
        <v>6.8000000000000005E-2</v>
      </c>
      <c r="D57" s="65"/>
      <c r="E57" s="70"/>
      <c r="F57" s="70"/>
      <c r="G57" s="70"/>
      <c r="H57" s="70"/>
      <c r="I57" s="70"/>
      <c r="J57" s="70"/>
      <c r="K57" s="70"/>
      <c r="L57" s="70"/>
      <c r="M57" s="1" t="str">
        <f>B57</f>
        <v>RNA CDG Z from Twr Top [m]</v>
      </c>
      <c r="N57" s="1">
        <f>C57/scale</f>
        <v>2.72</v>
      </c>
      <c r="O57" s="65"/>
    </row>
    <row r="58" spans="1:22" x14ac:dyDescent="0.25">
      <c r="B58" s="64" t="s">
        <v>467</v>
      </c>
      <c r="C58" s="71">
        <f>SUM(C47:C51)</f>
        <v>13.481606668687714</v>
      </c>
      <c r="D58" s="70"/>
      <c r="E58" s="70"/>
      <c r="F58" s="70"/>
    </row>
    <row r="59" spans="1:22" x14ac:dyDescent="0.25">
      <c r="B59" s="64" t="s">
        <v>468</v>
      </c>
      <c r="C59">
        <f>SUM(E47:E51)</f>
        <v>2666</v>
      </c>
    </row>
    <row r="60" spans="1:22" x14ac:dyDescent="0.25">
      <c r="B60" t="s">
        <v>151</v>
      </c>
      <c r="M60" s="336" t="s">
        <v>151</v>
      </c>
      <c r="N60" s="336"/>
      <c r="O60" s="336"/>
      <c r="P60" s="336"/>
    </row>
    <row r="61" spans="1:22" x14ac:dyDescent="0.25">
      <c r="B61" t="s">
        <v>152</v>
      </c>
      <c r="C61" t="s">
        <v>153</v>
      </c>
      <c r="D61" t="s">
        <v>154</v>
      </c>
      <c r="E61" t="s">
        <v>155</v>
      </c>
      <c r="F61" t="s">
        <v>156</v>
      </c>
      <c r="G61" t="s">
        <v>157</v>
      </c>
      <c r="H61" t="s">
        <v>158</v>
      </c>
      <c r="I61" t="s">
        <v>159</v>
      </c>
      <c r="J61" t="s">
        <v>160</v>
      </c>
      <c r="K61" t="s">
        <v>161</v>
      </c>
      <c r="M61" t="s">
        <v>152</v>
      </c>
      <c r="N61" t="s">
        <v>153</v>
      </c>
      <c r="O61" t="s">
        <v>154</v>
      </c>
      <c r="P61" t="s">
        <v>155</v>
      </c>
      <c r="Q61" t="s">
        <v>156</v>
      </c>
      <c r="R61" t="s">
        <v>157</v>
      </c>
      <c r="S61" t="s">
        <v>158</v>
      </c>
      <c r="T61" t="s">
        <v>159</v>
      </c>
      <c r="U61" t="s">
        <v>160</v>
      </c>
      <c r="V61" t="s">
        <v>161</v>
      </c>
    </row>
    <row r="62" spans="1:22" x14ac:dyDescent="0.25">
      <c r="A62" s="1" t="s">
        <v>123</v>
      </c>
      <c r="B62" s="81">
        <v>0</v>
      </c>
      <c r="C62" s="87">
        <f>C47/E47*1000</f>
        <v>117.87064567085864</v>
      </c>
      <c r="D62" s="82">
        <f>$H$47</f>
        <v>1058617.4499319058</v>
      </c>
      <c r="E62" s="82">
        <f>D62</f>
        <v>1058617.4499319058</v>
      </c>
      <c r="F62" s="83">
        <v>200000000</v>
      </c>
      <c r="G62" s="83">
        <f>F62</f>
        <v>200000000</v>
      </c>
      <c r="H62" s="80">
        <v>0</v>
      </c>
      <c r="I62" s="80">
        <v>0</v>
      </c>
      <c r="J62" s="80">
        <v>0</v>
      </c>
      <c r="K62" s="80">
        <v>0</v>
      </c>
      <c r="L62" s="80"/>
      <c r="M62" s="86">
        <f>B62</f>
        <v>0</v>
      </c>
      <c r="N62" s="83">
        <f t="shared" ref="N62:N75" si="9">C62/(scale^2)</f>
        <v>188593.03307337378</v>
      </c>
      <c r="O62" s="83">
        <f t="shared" ref="O62:O75" si="10">D62/(scale^5)</f>
        <v>108402426873027.09</v>
      </c>
      <c r="P62" s="82">
        <f>O62</f>
        <v>108402426873027.09</v>
      </c>
      <c r="Q62" s="83">
        <f t="shared" ref="Q62:Q75" si="11">F62/(scale^5)</f>
        <v>2.0479999999999988E+16</v>
      </c>
      <c r="R62" s="83">
        <f t="shared" ref="R62:R75" si="12">G62/(scale^3)</f>
        <v>12799999999999.996</v>
      </c>
      <c r="S62" s="80">
        <v>0</v>
      </c>
      <c r="T62" s="80">
        <f>S62</f>
        <v>0</v>
      </c>
      <c r="U62" s="80">
        <v>0</v>
      </c>
      <c r="V62" s="80">
        <v>0</v>
      </c>
    </row>
    <row r="63" spans="1:22" x14ac:dyDescent="0.25">
      <c r="A63" s="1" t="s">
        <v>123</v>
      </c>
      <c r="B63">
        <f>E47/$C$59</f>
        <v>9.7524381095273824E-3</v>
      </c>
      <c r="C63" s="87">
        <f>C62</f>
        <v>117.87064567085864</v>
      </c>
      <c r="D63" s="82">
        <f>$H$47</f>
        <v>1058617.4499319058</v>
      </c>
      <c r="E63" s="82">
        <f t="shared" ref="E63:E75" si="13">D63</f>
        <v>1058617.4499319058</v>
      </c>
      <c r="F63" s="83">
        <v>200000000</v>
      </c>
      <c r="G63" s="83">
        <f t="shared" ref="G63:G75" si="14">F63</f>
        <v>200000000</v>
      </c>
      <c r="H63" s="80">
        <v>0</v>
      </c>
      <c r="I63" s="80">
        <v>0</v>
      </c>
      <c r="J63" s="80">
        <v>0</v>
      </c>
      <c r="K63" s="80">
        <v>0</v>
      </c>
      <c r="L63" s="80"/>
      <c r="M63" s="86">
        <f t="shared" ref="M63:M75" si="15">B63</f>
        <v>9.7524381095273824E-3</v>
      </c>
      <c r="N63" s="83">
        <f t="shared" si="9"/>
        <v>188593.03307337378</v>
      </c>
      <c r="O63" s="83">
        <f t="shared" si="10"/>
        <v>108402426873027.09</v>
      </c>
      <c r="P63" s="82">
        <f t="shared" ref="P63:P75" si="16">O63</f>
        <v>108402426873027.09</v>
      </c>
      <c r="Q63" s="83">
        <f t="shared" si="11"/>
        <v>2.0479999999999988E+16</v>
      </c>
      <c r="R63" s="83">
        <f t="shared" si="12"/>
        <v>12799999999999.996</v>
      </c>
      <c r="S63" s="80">
        <v>0</v>
      </c>
      <c r="T63" s="80">
        <f t="shared" ref="T63:T75" si="17">S63</f>
        <v>0</v>
      </c>
      <c r="U63" s="80">
        <v>0</v>
      </c>
      <c r="V63" s="80">
        <v>0</v>
      </c>
    </row>
    <row r="64" spans="1:22" x14ac:dyDescent="0.25">
      <c r="A64" s="1" t="s">
        <v>122</v>
      </c>
      <c r="B64">
        <f>B63*1.001</f>
        <v>9.7621905476369085E-3</v>
      </c>
      <c r="C64" s="87">
        <f>C48/E48*1000</f>
        <v>56.660139659259322</v>
      </c>
      <c r="D64" s="82">
        <f>$H$47</f>
        <v>1058617.4499319058</v>
      </c>
      <c r="E64" s="82">
        <f t="shared" si="13"/>
        <v>1058617.4499319058</v>
      </c>
      <c r="F64" s="83">
        <v>200000000</v>
      </c>
      <c r="G64" s="83">
        <f t="shared" si="14"/>
        <v>200000000</v>
      </c>
      <c r="H64" s="80">
        <v>0</v>
      </c>
      <c r="I64" s="80">
        <v>0</v>
      </c>
      <c r="J64" s="80">
        <v>0</v>
      </c>
      <c r="K64" s="80">
        <v>0</v>
      </c>
      <c r="L64" s="80"/>
      <c r="M64" s="86">
        <f t="shared" si="15"/>
        <v>9.7621905476369085E-3</v>
      </c>
      <c r="N64" s="83">
        <f t="shared" si="9"/>
        <v>90656.223454814899</v>
      </c>
      <c r="O64" s="83">
        <f t="shared" si="10"/>
        <v>108402426873027.09</v>
      </c>
      <c r="P64" s="82">
        <f t="shared" si="16"/>
        <v>108402426873027.09</v>
      </c>
      <c r="Q64" s="83">
        <f t="shared" si="11"/>
        <v>2.0479999999999988E+16</v>
      </c>
      <c r="R64" s="83">
        <f t="shared" si="12"/>
        <v>12799999999999.996</v>
      </c>
      <c r="S64" s="80">
        <v>0</v>
      </c>
      <c r="T64" s="80">
        <f t="shared" si="17"/>
        <v>0</v>
      </c>
      <c r="U64" s="80">
        <v>0</v>
      </c>
      <c r="V64" s="80">
        <v>0</v>
      </c>
    </row>
    <row r="65" spans="1:23" x14ac:dyDescent="0.25">
      <c r="A65" s="1" t="s">
        <v>122</v>
      </c>
      <c r="B65">
        <f>E48/$C$59+B63</f>
        <v>3.8634658664666172E-2</v>
      </c>
      <c r="C65" s="87">
        <f>C64</f>
        <v>56.660139659259322</v>
      </c>
      <c r="D65" s="82">
        <f>$H$47</f>
        <v>1058617.4499319058</v>
      </c>
      <c r="E65" s="82">
        <f t="shared" si="13"/>
        <v>1058617.4499319058</v>
      </c>
      <c r="F65" s="83">
        <v>200000000</v>
      </c>
      <c r="G65" s="83">
        <f t="shared" si="14"/>
        <v>200000000</v>
      </c>
      <c r="H65" s="80">
        <v>0</v>
      </c>
      <c r="I65" s="80">
        <v>0</v>
      </c>
      <c r="J65" s="80">
        <v>0</v>
      </c>
      <c r="K65" s="80">
        <v>0</v>
      </c>
      <c r="L65" s="80"/>
      <c r="M65" s="86">
        <f t="shared" si="15"/>
        <v>3.8634658664666172E-2</v>
      </c>
      <c r="N65" s="83">
        <f t="shared" si="9"/>
        <v>90656.223454814899</v>
      </c>
      <c r="O65" s="83">
        <f t="shared" si="10"/>
        <v>108402426873027.09</v>
      </c>
      <c r="P65" s="82">
        <f t="shared" si="16"/>
        <v>108402426873027.09</v>
      </c>
      <c r="Q65" s="83">
        <f t="shared" si="11"/>
        <v>2.0479999999999988E+16</v>
      </c>
      <c r="R65" s="83">
        <f t="shared" si="12"/>
        <v>12799999999999.996</v>
      </c>
      <c r="S65" s="80">
        <v>0</v>
      </c>
      <c r="T65" s="80">
        <f t="shared" si="17"/>
        <v>0</v>
      </c>
      <c r="U65" s="80">
        <v>0</v>
      </c>
      <c r="V65" s="80">
        <v>0</v>
      </c>
    </row>
    <row r="66" spans="1:23" x14ac:dyDescent="0.25">
      <c r="A66" s="1" t="s">
        <v>121</v>
      </c>
      <c r="B66">
        <f>B65*1.001</f>
        <v>3.8673293323330832E-2</v>
      </c>
      <c r="C66" s="87">
        <f>C49/E49*1000</f>
        <v>109.38156722688778</v>
      </c>
      <c r="D66" s="82">
        <f>H49</f>
        <v>21172.348998638117</v>
      </c>
      <c r="E66" s="82">
        <f t="shared" si="13"/>
        <v>21172.348998638117</v>
      </c>
      <c r="F66" s="83">
        <v>200000000</v>
      </c>
      <c r="G66" s="83">
        <f t="shared" si="14"/>
        <v>200000000</v>
      </c>
      <c r="H66" s="80">
        <v>0</v>
      </c>
      <c r="I66" s="80">
        <v>0</v>
      </c>
      <c r="J66" s="80">
        <v>0</v>
      </c>
      <c r="K66" s="80">
        <v>0</v>
      </c>
      <c r="L66" s="80"/>
      <c r="M66" s="86">
        <f t="shared" si="15"/>
        <v>3.8673293323330832E-2</v>
      </c>
      <c r="N66" s="83">
        <f t="shared" si="9"/>
        <v>175010.50756302042</v>
      </c>
      <c r="O66" s="83">
        <f t="shared" si="10"/>
        <v>2168048537460.542</v>
      </c>
      <c r="P66" s="82">
        <f t="shared" si="16"/>
        <v>2168048537460.542</v>
      </c>
      <c r="Q66" s="83">
        <f t="shared" si="11"/>
        <v>2.0479999999999988E+16</v>
      </c>
      <c r="R66" s="83">
        <f t="shared" si="12"/>
        <v>12799999999999.996</v>
      </c>
      <c r="S66" s="80">
        <v>0</v>
      </c>
      <c r="T66" s="80">
        <f t="shared" si="17"/>
        <v>0</v>
      </c>
      <c r="U66" s="80">
        <v>0</v>
      </c>
      <c r="V66" s="80">
        <v>0</v>
      </c>
    </row>
    <row r="67" spans="1:23" x14ac:dyDescent="0.25">
      <c r="A67" s="1" t="s">
        <v>121</v>
      </c>
      <c r="B67">
        <f>E49/$C$59+B65</f>
        <v>4.7636909227306831E-2</v>
      </c>
      <c r="C67" s="87">
        <f>C66</f>
        <v>109.38156722688778</v>
      </c>
      <c r="D67" s="82">
        <f>D66</f>
        <v>21172.348998638117</v>
      </c>
      <c r="E67" s="82">
        <f t="shared" si="13"/>
        <v>21172.348998638117</v>
      </c>
      <c r="F67" s="83">
        <v>200000000</v>
      </c>
      <c r="G67" s="83">
        <f t="shared" si="14"/>
        <v>200000000</v>
      </c>
      <c r="H67" s="80">
        <v>0</v>
      </c>
      <c r="I67" s="80">
        <v>0</v>
      </c>
      <c r="J67" s="80">
        <v>0</v>
      </c>
      <c r="K67" s="80">
        <v>0</v>
      </c>
      <c r="L67" s="80"/>
      <c r="M67" s="86">
        <f t="shared" si="15"/>
        <v>4.7636909227306831E-2</v>
      </c>
      <c r="N67" s="83">
        <f t="shared" si="9"/>
        <v>175010.50756302042</v>
      </c>
      <c r="O67" s="83">
        <f t="shared" si="10"/>
        <v>2168048537460.542</v>
      </c>
      <c r="P67" s="82">
        <f t="shared" si="16"/>
        <v>2168048537460.542</v>
      </c>
      <c r="Q67" s="83">
        <f t="shared" si="11"/>
        <v>2.0479999999999988E+16</v>
      </c>
      <c r="R67" s="83">
        <f t="shared" si="12"/>
        <v>12799999999999.996</v>
      </c>
      <c r="S67" s="80">
        <v>0</v>
      </c>
      <c r="T67" s="80">
        <f t="shared" si="17"/>
        <v>0</v>
      </c>
      <c r="U67" s="80">
        <v>0</v>
      </c>
      <c r="V67" s="80">
        <v>0</v>
      </c>
    </row>
    <row r="68" spans="1:23" x14ac:dyDescent="0.25">
      <c r="A68" s="1" t="s">
        <v>131</v>
      </c>
      <c r="B68">
        <f>B67*1.001</f>
        <v>4.7684546136534132E-2</v>
      </c>
      <c r="C68" s="87">
        <f>C50/E50*1000</f>
        <v>46.449075701855804</v>
      </c>
      <c r="D68" s="82">
        <f>H50</f>
        <v>15879.261748978588</v>
      </c>
      <c r="E68" s="82">
        <f t="shared" si="13"/>
        <v>15879.261748978588</v>
      </c>
      <c r="F68" s="83">
        <v>200000000</v>
      </c>
      <c r="G68" s="83">
        <f t="shared" si="14"/>
        <v>200000000</v>
      </c>
      <c r="H68" s="80">
        <v>0</v>
      </c>
      <c r="I68" s="80">
        <v>0</v>
      </c>
      <c r="J68" s="80">
        <v>0</v>
      </c>
      <c r="K68" s="80">
        <v>0</v>
      </c>
      <c r="L68" s="80"/>
      <c r="M68" s="86">
        <f t="shared" si="15"/>
        <v>4.7684546136534132E-2</v>
      </c>
      <c r="N68" s="83">
        <f t="shared" si="9"/>
        <v>74318.52112296928</v>
      </c>
      <c r="O68" s="83">
        <f t="shared" si="10"/>
        <v>1626036403095.4065</v>
      </c>
      <c r="P68" s="82">
        <f t="shared" si="16"/>
        <v>1626036403095.4065</v>
      </c>
      <c r="Q68" s="83">
        <f t="shared" si="11"/>
        <v>2.0479999999999988E+16</v>
      </c>
      <c r="R68" s="83">
        <f t="shared" si="12"/>
        <v>12799999999999.996</v>
      </c>
      <c r="S68" s="80">
        <v>0</v>
      </c>
      <c r="T68" s="80">
        <f t="shared" si="17"/>
        <v>0</v>
      </c>
      <c r="U68" s="80">
        <v>0</v>
      </c>
      <c r="V68" s="80">
        <v>0</v>
      </c>
    </row>
    <row r="69" spans="1:23" x14ac:dyDescent="0.25">
      <c r="A69" s="1" t="s">
        <v>131</v>
      </c>
      <c r="B69">
        <f>E50/$C$59+B67</f>
        <v>5.5138784696174045E-2</v>
      </c>
      <c r="C69" s="87">
        <f>C68</f>
        <v>46.449075701855804</v>
      </c>
      <c r="D69" s="82">
        <f>D68</f>
        <v>15879.261748978588</v>
      </c>
      <c r="E69" s="82">
        <f t="shared" si="13"/>
        <v>15879.261748978588</v>
      </c>
      <c r="F69" s="83">
        <v>200000000</v>
      </c>
      <c r="G69" s="83">
        <f t="shared" si="14"/>
        <v>200000000</v>
      </c>
      <c r="H69" s="80">
        <v>0</v>
      </c>
      <c r="I69" s="80">
        <v>0</v>
      </c>
      <c r="J69" s="80">
        <v>0</v>
      </c>
      <c r="K69" s="80">
        <v>0</v>
      </c>
      <c r="L69" s="80"/>
      <c r="M69" s="86">
        <f t="shared" si="15"/>
        <v>5.5138784696174045E-2</v>
      </c>
      <c r="N69" s="83">
        <f t="shared" si="9"/>
        <v>74318.52112296928</v>
      </c>
      <c r="O69" s="83">
        <f t="shared" si="10"/>
        <v>1626036403095.4065</v>
      </c>
      <c r="P69" s="82">
        <f t="shared" si="16"/>
        <v>1626036403095.4065</v>
      </c>
      <c r="Q69" s="83">
        <f t="shared" si="11"/>
        <v>2.0479999999999988E+16</v>
      </c>
      <c r="R69" s="83">
        <f t="shared" si="12"/>
        <v>12799999999999.996</v>
      </c>
      <c r="S69" s="80">
        <v>0</v>
      </c>
      <c r="T69" s="80">
        <f t="shared" si="17"/>
        <v>0</v>
      </c>
      <c r="U69" s="80">
        <v>0</v>
      </c>
      <c r="V69" s="80">
        <v>0</v>
      </c>
    </row>
    <row r="70" spans="1:23" x14ac:dyDescent="0.25">
      <c r="B70">
        <f>B69*1.001</f>
        <v>5.5193923480870211E-2</v>
      </c>
      <c r="C70" s="87">
        <f>C51/E51*1000</f>
        <v>0.99245732433505363</v>
      </c>
      <c r="D70" s="83">
        <f>H51</f>
        <v>10586.174499319059</v>
      </c>
      <c r="E70" s="82">
        <f t="shared" si="13"/>
        <v>10586.174499319059</v>
      </c>
      <c r="F70" s="83">
        <v>200000000</v>
      </c>
      <c r="G70" s="83">
        <f t="shared" si="14"/>
        <v>200000000</v>
      </c>
      <c r="H70" s="80">
        <v>0</v>
      </c>
      <c r="I70" s="80">
        <v>0</v>
      </c>
      <c r="J70" s="80">
        <v>0</v>
      </c>
      <c r="K70" s="80">
        <v>0</v>
      </c>
      <c r="L70" s="80"/>
      <c r="M70" s="88">
        <f t="shared" si="15"/>
        <v>5.5193923480870211E-2</v>
      </c>
      <c r="N70" s="84">
        <f t="shared" si="9"/>
        <v>1587.9317189360854</v>
      </c>
      <c r="O70" s="83">
        <f t="shared" si="10"/>
        <v>1084024268730.271</v>
      </c>
      <c r="P70" s="82">
        <f t="shared" si="16"/>
        <v>1084024268730.271</v>
      </c>
      <c r="Q70" s="83">
        <f t="shared" si="11"/>
        <v>2.0479999999999988E+16</v>
      </c>
      <c r="R70" s="83">
        <f t="shared" si="12"/>
        <v>12799999999999.996</v>
      </c>
      <c r="S70" s="80">
        <f>$Q$51</f>
        <v>1080.0966445682047</v>
      </c>
      <c r="T70" s="80">
        <f t="shared" si="17"/>
        <v>1080.0966445682047</v>
      </c>
      <c r="U70" s="80">
        <v>0</v>
      </c>
      <c r="V70" s="80">
        <v>0</v>
      </c>
    </row>
    <row r="71" spans="1:23" x14ac:dyDescent="0.25">
      <c r="B71">
        <f>E51/$C$59+B69</f>
        <v>1</v>
      </c>
      <c r="C71" s="87">
        <f>C70</f>
        <v>0.99245732433505363</v>
      </c>
      <c r="D71" s="83">
        <f>H51</f>
        <v>10586.174499319059</v>
      </c>
      <c r="E71" s="82">
        <f t="shared" si="13"/>
        <v>10586.174499319059</v>
      </c>
      <c r="F71" s="83">
        <v>200000000</v>
      </c>
      <c r="G71" s="83">
        <f t="shared" si="14"/>
        <v>200000000</v>
      </c>
      <c r="H71" s="80">
        <v>0</v>
      </c>
      <c r="I71" s="80">
        <v>0</v>
      </c>
      <c r="J71" s="80">
        <v>0</v>
      </c>
      <c r="K71" s="80">
        <v>0</v>
      </c>
      <c r="L71" s="80"/>
      <c r="M71" s="88">
        <f t="shared" si="15"/>
        <v>1</v>
      </c>
      <c r="N71" s="84">
        <f t="shared" si="9"/>
        <v>1587.9317189360854</v>
      </c>
      <c r="O71" s="83">
        <f t="shared" si="10"/>
        <v>1084024268730.271</v>
      </c>
      <c r="P71" s="82">
        <f t="shared" si="16"/>
        <v>1084024268730.271</v>
      </c>
      <c r="Q71" s="83">
        <f t="shared" si="11"/>
        <v>2.0479999999999988E+16</v>
      </c>
      <c r="R71" s="83">
        <f t="shared" si="12"/>
        <v>12799999999999.996</v>
      </c>
      <c r="S71" s="80">
        <f>S70</f>
        <v>1080.0966445682047</v>
      </c>
      <c r="T71" s="80">
        <f t="shared" si="17"/>
        <v>1080.0966445682047</v>
      </c>
      <c r="U71" s="80">
        <v>0</v>
      </c>
      <c r="V71" s="80">
        <v>0</v>
      </c>
    </row>
    <row r="72" spans="1:23" x14ac:dyDescent="0.25">
      <c r="B72">
        <f>B71*1.001</f>
        <v>1.0009999999999999</v>
      </c>
      <c r="C72" s="87">
        <f>C52/E52*1000</f>
        <v>34.3205174397009</v>
      </c>
      <c r="D72" s="82">
        <f>$D$68</f>
        <v>15879.261748978588</v>
      </c>
      <c r="E72" s="82">
        <f t="shared" si="13"/>
        <v>15879.261748978588</v>
      </c>
      <c r="F72" s="83">
        <v>200000000</v>
      </c>
      <c r="G72" s="83">
        <f t="shared" si="14"/>
        <v>200000000</v>
      </c>
      <c r="H72" s="80">
        <v>0</v>
      </c>
      <c r="I72" s="80">
        <v>0</v>
      </c>
      <c r="J72" s="80">
        <v>0</v>
      </c>
      <c r="K72" s="80">
        <v>0</v>
      </c>
      <c r="L72" s="80"/>
      <c r="M72" s="86">
        <f t="shared" si="15"/>
        <v>1.0009999999999999</v>
      </c>
      <c r="N72" s="83">
        <f t="shared" si="9"/>
        <v>54912.827903521429</v>
      </c>
      <c r="O72" s="83">
        <f t="shared" si="10"/>
        <v>1626036403095.4065</v>
      </c>
      <c r="P72" s="82">
        <f t="shared" si="16"/>
        <v>1626036403095.4065</v>
      </c>
      <c r="Q72" s="83">
        <f t="shared" si="11"/>
        <v>2.0479999999999988E+16</v>
      </c>
      <c r="R72" s="83">
        <f t="shared" si="12"/>
        <v>12799999999999.996</v>
      </c>
      <c r="S72" s="80">
        <v>0</v>
      </c>
      <c r="T72" s="80">
        <f t="shared" si="17"/>
        <v>0</v>
      </c>
      <c r="U72" s="80">
        <v>0</v>
      </c>
      <c r="V72" s="80">
        <v>0</v>
      </c>
    </row>
    <row r="73" spans="1:23" x14ac:dyDescent="0.25">
      <c r="B73">
        <f>E52/$C$59+B71</f>
        <v>1.0056264066016505</v>
      </c>
      <c r="C73" s="87">
        <f>C72</f>
        <v>34.3205174397009</v>
      </c>
      <c r="D73" s="82">
        <f>$D$68</f>
        <v>15879.261748978588</v>
      </c>
      <c r="E73" s="82">
        <f t="shared" si="13"/>
        <v>15879.261748978588</v>
      </c>
      <c r="F73" s="83">
        <v>200000000</v>
      </c>
      <c r="G73" s="83">
        <f t="shared" si="14"/>
        <v>200000000</v>
      </c>
      <c r="H73" s="80">
        <v>0</v>
      </c>
      <c r="I73" s="80">
        <v>0</v>
      </c>
      <c r="J73" s="80">
        <v>0</v>
      </c>
      <c r="K73" s="80">
        <v>0</v>
      </c>
      <c r="L73" s="80"/>
      <c r="M73" s="86">
        <f t="shared" si="15"/>
        <v>1.0056264066016505</v>
      </c>
      <c r="N73" s="83">
        <f t="shared" si="9"/>
        <v>54912.827903521429</v>
      </c>
      <c r="O73" s="83">
        <f t="shared" si="10"/>
        <v>1626036403095.4065</v>
      </c>
      <c r="P73" s="82">
        <f t="shared" si="16"/>
        <v>1626036403095.4065</v>
      </c>
      <c r="Q73" s="83">
        <f t="shared" si="11"/>
        <v>2.0479999999999988E+16</v>
      </c>
      <c r="R73" s="83">
        <f t="shared" si="12"/>
        <v>12799999999999.996</v>
      </c>
      <c r="S73" s="80">
        <v>0</v>
      </c>
      <c r="T73" s="80">
        <f t="shared" si="17"/>
        <v>0</v>
      </c>
      <c r="U73" s="80">
        <v>0</v>
      </c>
      <c r="V73" s="80">
        <v>0</v>
      </c>
    </row>
    <row r="74" spans="1:23" x14ac:dyDescent="0.25">
      <c r="B74">
        <f>B73*1.001</f>
        <v>1.0066320330082521</v>
      </c>
      <c r="C74" s="87">
        <f>C53/E53*1000</f>
        <v>13.007717422968712</v>
      </c>
      <c r="D74" s="82">
        <f>$H$53</f>
        <v>105861.74499319059</v>
      </c>
      <c r="E74" s="82">
        <f t="shared" si="13"/>
        <v>105861.74499319059</v>
      </c>
      <c r="F74" s="83">
        <v>200000000</v>
      </c>
      <c r="G74" s="83">
        <f t="shared" si="14"/>
        <v>200000000</v>
      </c>
      <c r="H74" s="80">
        <v>0</v>
      </c>
      <c r="I74" s="80">
        <v>0</v>
      </c>
      <c r="J74" s="80">
        <v>0</v>
      </c>
      <c r="K74" s="80">
        <v>0</v>
      </c>
      <c r="L74" s="80"/>
      <c r="M74" s="86">
        <f t="shared" si="15"/>
        <v>1.0066320330082521</v>
      </c>
      <c r="N74" s="83">
        <f t="shared" si="9"/>
        <v>20812.347876749936</v>
      </c>
      <c r="O74" s="83">
        <f t="shared" si="10"/>
        <v>10840242687302.709</v>
      </c>
      <c r="P74" s="82">
        <f t="shared" si="16"/>
        <v>10840242687302.709</v>
      </c>
      <c r="Q74" s="83">
        <f t="shared" si="11"/>
        <v>2.0479999999999988E+16</v>
      </c>
      <c r="R74" s="83">
        <f t="shared" si="12"/>
        <v>12799999999999.996</v>
      </c>
      <c r="S74" s="80">
        <v>0</v>
      </c>
      <c r="T74" s="80">
        <f t="shared" si="17"/>
        <v>0</v>
      </c>
      <c r="U74" s="80">
        <v>0</v>
      </c>
      <c r="V74" s="80">
        <v>0</v>
      </c>
    </row>
    <row r="75" spans="1:23" x14ac:dyDescent="0.25">
      <c r="B75">
        <f>E53/$C$59+B73</f>
        <v>1.0337584396099024</v>
      </c>
      <c r="C75" s="87">
        <f>C74</f>
        <v>13.007717422968712</v>
      </c>
      <c r="D75" s="82">
        <f>D74</f>
        <v>105861.74499319059</v>
      </c>
      <c r="E75" s="82">
        <f t="shared" si="13"/>
        <v>105861.74499319059</v>
      </c>
      <c r="F75" s="83">
        <v>200000000</v>
      </c>
      <c r="G75" s="83">
        <f t="shared" si="14"/>
        <v>200000000</v>
      </c>
      <c r="H75" s="80">
        <v>0</v>
      </c>
      <c r="I75" s="80">
        <v>0</v>
      </c>
      <c r="J75" s="80">
        <v>0</v>
      </c>
      <c r="K75" s="80">
        <v>0</v>
      </c>
      <c r="L75" s="80"/>
      <c r="M75" s="86">
        <f t="shared" si="15"/>
        <v>1.0337584396099024</v>
      </c>
      <c r="N75" s="83">
        <f t="shared" si="9"/>
        <v>20812.347876749936</v>
      </c>
      <c r="O75" s="83">
        <f t="shared" si="10"/>
        <v>10840242687302.709</v>
      </c>
      <c r="P75" s="82">
        <f t="shared" si="16"/>
        <v>10840242687302.709</v>
      </c>
      <c r="Q75" s="83">
        <f t="shared" si="11"/>
        <v>2.0479999999999988E+16</v>
      </c>
      <c r="R75" s="83">
        <f t="shared" si="12"/>
        <v>12799999999999.996</v>
      </c>
      <c r="S75" s="80">
        <v>0</v>
      </c>
      <c r="T75" s="80">
        <f t="shared" si="17"/>
        <v>0</v>
      </c>
      <c r="U75" s="80">
        <v>0</v>
      </c>
      <c r="V75" s="80">
        <v>0</v>
      </c>
    </row>
    <row r="78" spans="1:23" ht="23.25" x14ac:dyDescent="0.35">
      <c r="A78" s="318" t="s">
        <v>330</v>
      </c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</row>
    <row r="79" spans="1:23" x14ac:dyDescent="0.25">
      <c r="A79" t="s">
        <v>165</v>
      </c>
    </row>
    <row r="80" spans="1:23" x14ac:dyDescent="0.25">
      <c r="A80" t="s">
        <v>166</v>
      </c>
    </row>
    <row r="81" spans="1:22" x14ac:dyDescent="0.25">
      <c r="A81" t="s">
        <v>167</v>
      </c>
    </row>
    <row r="82" spans="1:22" ht="18.75" x14ac:dyDescent="0.3">
      <c r="B82" s="319" t="s">
        <v>138</v>
      </c>
      <c r="C82" s="320"/>
      <c r="D82" s="320"/>
      <c r="E82" s="320"/>
      <c r="F82" s="320"/>
      <c r="G82" s="320"/>
      <c r="H82" s="320"/>
      <c r="M82" s="321" t="s">
        <v>138</v>
      </c>
      <c r="N82" s="322"/>
      <c r="O82" s="322"/>
      <c r="P82" s="322"/>
      <c r="Q82" s="322"/>
    </row>
    <row r="83" spans="1:22" x14ac:dyDescent="0.25">
      <c r="B83" s="1" t="s">
        <v>129</v>
      </c>
      <c r="C83" s="1" t="s">
        <v>130</v>
      </c>
      <c r="D83" s="60" t="s">
        <v>135</v>
      </c>
      <c r="E83" s="1" t="s">
        <v>120</v>
      </c>
      <c r="F83" s="17" t="s">
        <v>147</v>
      </c>
      <c r="G83" s="17" t="s">
        <v>164</v>
      </c>
      <c r="H83" s="39" t="s">
        <v>142</v>
      </c>
      <c r="I83" s="65"/>
      <c r="J83" s="65"/>
      <c r="K83" s="65"/>
      <c r="L83" s="65"/>
      <c r="M83" s="1" t="str">
        <f>B83</f>
        <v>From Bottom to Top</v>
      </c>
      <c r="N83" s="1" t="str">
        <f>C83</f>
        <v>Mass WITH screws[kg]</v>
      </c>
      <c r="O83" s="1" t="str">
        <f>D83</f>
        <v>Stiffness</v>
      </c>
      <c r="P83" s="1" t="s">
        <v>139</v>
      </c>
      <c r="Q83" s="1" t="str">
        <f>G83</f>
        <v>Inertia [kg.m]</v>
      </c>
      <c r="R83" s="61" t="s">
        <v>135</v>
      </c>
    </row>
    <row r="84" spans="1:22" x14ac:dyDescent="0.25">
      <c r="B84" s="1" t="s">
        <v>168</v>
      </c>
      <c r="C84" s="39">
        <f>SUM(C47:C50)</f>
        <v>10.981606668687714</v>
      </c>
      <c r="D84" s="60" t="s">
        <v>136</v>
      </c>
      <c r="E84" s="63">
        <f>SUM(E47:E50)</f>
        <v>147</v>
      </c>
      <c r="F84" s="3"/>
      <c r="G84" s="17"/>
      <c r="H84" s="77">
        <f>$H$51*10</f>
        <v>105861.74499319059</v>
      </c>
      <c r="I84" s="65"/>
      <c r="J84" s="65"/>
      <c r="K84" s="65"/>
      <c r="L84" s="65"/>
      <c r="M84" s="1" t="str">
        <f t="shared" ref="M84" si="18">B84</f>
        <v>BG3+ mast bride inf</v>
      </c>
      <c r="N84" s="74">
        <f t="shared" ref="N84" si="19">C84/(scale^3)</f>
        <v>702822.82679601351</v>
      </c>
      <c r="O84" s="60" t="s">
        <v>136</v>
      </c>
      <c r="P84" s="63">
        <f t="shared" ref="P84" si="20">E84/1000/scale</f>
        <v>5.879999999999999</v>
      </c>
      <c r="Q84" s="78">
        <f t="shared" ref="Q84" si="21">G84/(scale^4)</f>
        <v>0</v>
      </c>
      <c r="R84" s="78">
        <f t="shared" ref="R84" si="22">H84/(scale^5)</f>
        <v>10840242687302.709</v>
      </c>
    </row>
    <row r="85" spans="1:22" x14ac:dyDescent="0.25">
      <c r="B85" s="1" t="s">
        <v>132</v>
      </c>
      <c r="C85" s="39">
        <v>2.5</v>
      </c>
      <c r="D85" s="76" t="s">
        <v>137</v>
      </c>
      <c r="E85" s="63">
        <f>E51</f>
        <v>2519</v>
      </c>
      <c r="F85" s="1"/>
      <c r="G85" s="59">
        <f>0.5*$C$151*((($C$148/2-C75)/1000)^2+(($C$148/2)/1000)^2)/2</f>
        <v>2.9782872939950665E-4</v>
      </c>
      <c r="H85" s="59">
        <f>$C$152</f>
        <v>10586.174499319059</v>
      </c>
      <c r="I85" s="65"/>
      <c r="J85" s="65"/>
      <c r="K85" s="65"/>
      <c r="L85" s="65"/>
      <c r="M85" s="1" t="str">
        <f>B85</f>
        <v>Mast / Tube 60*2</v>
      </c>
      <c r="N85" s="74">
        <f>C85/(scale^3)</f>
        <v>159999.99999999997</v>
      </c>
      <c r="O85" s="60" t="s">
        <v>137</v>
      </c>
      <c r="P85" s="63">
        <f>E85/1000/scale</f>
        <v>100.76</v>
      </c>
      <c r="Q85" s="78">
        <f>G85/(scale^4)</f>
        <v>762.44154726273666</v>
      </c>
      <c r="R85" s="78">
        <f>H85/(scale^5)</f>
        <v>1084024268730.271</v>
      </c>
    </row>
    <row r="86" spans="1:22" x14ac:dyDescent="0.25">
      <c r="B86" s="1" t="s">
        <v>169</v>
      </c>
      <c r="C86" s="39">
        <f>SUM(C52:C53)</f>
        <v>1.490386568318167</v>
      </c>
      <c r="D86" s="60" t="s">
        <v>136</v>
      </c>
      <c r="E86" s="63">
        <f>SUM(E52:E53)</f>
        <v>90</v>
      </c>
      <c r="F86" s="1"/>
      <c r="G86" s="17"/>
      <c r="H86" s="77">
        <f>$H$51*10</f>
        <v>105861.74499319059</v>
      </c>
      <c r="I86" s="65"/>
      <c r="J86" s="65"/>
      <c r="K86" s="65"/>
      <c r="L86" s="65"/>
      <c r="M86" s="1" t="str">
        <f>B86</f>
        <v>Mast / Bride sup + Fake BG1</v>
      </c>
      <c r="N86" s="74">
        <f>C86/(scale^3)</f>
        <v>95384.740372362663</v>
      </c>
      <c r="O86" s="60" t="s">
        <v>136</v>
      </c>
      <c r="P86" s="63">
        <f>E86/1000/scale</f>
        <v>3.5999999999999996</v>
      </c>
      <c r="Q86" s="78">
        <f>G86/(scale^4)</f>
        <v>0</v>
      </c>
      <c r="R86" s="78">
        <f>H86/(scale^5)</f>
        <v>10840242687302.709</v>
      </c>
    </row>
    <row r="87" spans="1:22" x14ac:dyDescent="0.25">
      <c r="B87" s="1"/>
      <c r="C87" s="39"/>
      <c r="D87" s="60"/>
      <c r="E87" s="1"/>
      <c r="F87" s="3"/>
      <c r="G87" s="1"/>
      <c r="H87" s="77"/>
      <c r="I87" s="65"/>
      <c r="J87" s="65"/>
      <c r="K87" s="65"/>
      <c r="L87" s="65"/>
      <c r="M87" s="1"/>
      <c r="N87" s="74"/>
      <c r="O87" s="60"/>
      <c r="P87" s="63"/>
      <c r="Q87" s="78"/>
      <c r="R87" s="78"/>
    </row>
    <row r="88" spans="1:22" x14ac:dyDescent="0.25">
      <c r="B88" s="323" t="s">
        <v>170</v>
      </c>
      <c r="C88" s="323"/>
      <c r="D88" s="323"/>
      <c r="E88" s="323"/>
      <c r="F88" s="323"/>
      <c r="G88" s="323"/>
      <c r="H88" s="323"/>
      <c r="I88" s="65"/>
      <c r="J88" s="65"/>
      <c r="K88" s="65"/>
      <c r="L88" s="65"/>
      <c r="M88" s="70"/>
      <c r="N88" s="90"/>
      <c r="O88" s="69"/>
      <c r="P88" s="75"/>
      <c r="Q88" s="91"/>
      <c r="R88" s="91"/>
    </row>
    <row r="89" spans="1:22" x14ac:dyDescent="0.25">
      <c r="B89" s="1" t="s">
        <v>169</v>
      </c>
      <c r="C89" s="65">
        <f>SUM(C52:C53)</f>
        <v>1.490386568318167</v>
      </c>
      <c r="D89" s="69"/>
      <c r="E89" s="70"/>
      <c r="F89" s="71"/>
      <c r="G89" s="70"/>
      <c r="H89" s="89"/>
      <c r="I89" s="65"/>
      <c r="J89" s="65"/>
      <c r="K89" s="65"/>
      <c r="L89" s="65"/>
      <c r="M89" s="70"/>
      <c r="N89" s="90"/>
      <c r="O89" s="69"/>
      <c r="P89" s="75"/>
      <c r="Q89" s="91"/>
      <c r="R89" s="91"/>
    </row>
    <row r="90" spans="1:22" x14ac:dyDescent="0.25">
      <c r="B90" s="49" t="s">
        <v>171</v>
      </c>
      <c r="C90">
        <f>-90/1000/2</f>
        <v>-4.4999999999999998E-2</v>
      </c>
    </row>
    <row r="91" spans="1:22" x14ac:dyDescent="0.25">
      <c r="B91" s="1" t="s">
        <v>172</v>
      </c>
      <c r="C91" s="39">
        <v>10.72</v>
      </c>
      <c r="D91" s="65"/>
      <c r="E91" s="70"/>
      <c r="F91" s="70"/>
      <c r="G91" s="70"/>
      <c r="H91" s="70"/>
      <c r="I91" s="70"/>
      <c r="J91" s="70"/>
      <c r="K91" s="70"/>
      <c r="L91" s="70"/>
      <c r="M91" s="1" t="str">
        <f>B91</f>
        <v>"Nacelle" Mass [kg]</v>
      </c>
      <c r="N91" s="74">
        <f>C91/(scale^3)</f>
        <v>686079.99999999988</v>
      </c>
      <c r="O91" s="65"/>
    </row>
    <row r="92" spans="1:22" x14ac:dyDescent="0.25">
      <c r="B92" s="1" t="s">
        <v>173</v>
      </c>
      <c r="C92" s="39">
        <f>0.068</f>
        <v>6.8000000000000005E-2</v>
      </c>
      <c r="D92" s="65"/>
      <c r="E92" s="70"/>
      <c r="F92" s="70"/>
      <c r="G92" s="70"/>
      <c r="H92" s="70"/>
      <c r="I92" s="70"/>
      <c r="J92" s="70"/>
      <c r="K92" s="70"/>
      <c r="L92" s="70"/>
      <c r="M92" s="1" t="str">
        <f>B92</f>
        <v>"Nacelle" CDG Z from Twr Top [m]</v>
      </c>
      <c r="N92" s="1">
        <f>C92/scale</f>
        <v>2.72</v>
      </c>
      <c r="O92" s="65"/>
    </row>
    <row r="93" spans="1:22" x14ac:dyDescent="0.25">
      <c r="B93" s="70"/>
      <c r="C93" s="70"/>
      <c r="D93" s="70"/>
      <c r="E93" s="70"/>
      <c r="F93" s="70"/>
      <c r="P93" s="3"/>
      <c r="Q93" s="35"/>
    </row>
    <row r="94" spans="1:22" x14ac:dyDescent="0.25">
      <c r="B94" s="64" t="s">
        <v>162</v>
      </c>
      <c r="C94">
        <f>SUM(E84:E87)</f>
        <v>2756</v>
      </c>
    </row>
    <row r="96" spans="1:22" x14ac:dyDescent="0.25">
      <c r="B96" t="s">
        <v>152</v>
      </c>
      <c r="C96" t="s">
        <v>153</v>
      </c>
      <c r="D96" t="s">
        <v>154</v>
      </c>
      <c r="E96" t="s">
        <v>155</v>
      </c>
      <c r="F96" t="s">
        <v>156</v>
      </c>
      <c r="G96" t="s">
        <v>157</v>
      </c>
      <c r="H96" t="s">
        <v>158</v>
      </c>
      <c r="I96" t="s">
        <v>159</v>
      </c>
      <c r="J96" t="s">
        <v>160</v>
      </c>
      <c r="K96" t="s">
        <v>161</v>
      </c>
      <c r="M96" t="s">
        <v>152</v>
      </c>
      <c r="N96" t="s">
        <v>153</v>
      </c>
      <c r="O96" t="s">
        <v>154</v>
      </c>
      <c r="P96" t="s">
        <v>155</v>
      </c>
      <c r="Q96" t="s">
        <v>156</v>
      </c>
      <c r="R96" t="s">
        <v>157</v>
      </c>
      <c r="S96" t="s">
        <v>158</v>
      </c>
      <c r="T96" t="s">
        <v>159</v>
      </c>
      <c r="U96" t="s">
        <v>160</v>
      </c>
      <c r="V96" t="s">
        <v>161</v>
      </c>
    </row>
    <row r="97" spans="2:24" x14ac:dyDescent="0.25">
      <c r="B97" s="81">
        <v>0</v>
      </c>
      <c r="C97" s="87">
        <f>C84/E84*1000</f>
        <v>74.704807269984443</v>
      </c>
      <c r="D97" s="82">
        <f>$H$84</f>
        <v>105861.74499319059</v>
      </c>
      <c r="E97" s="82">
        <f>D97</f>
        <v>105861.74499319059</v>
      </c>
      <c r="F97" s="83">
        <v>200000000</v>
      </c>
      <c r="G97" s="83">
        <f>F97</f>
        <v>200000000</v>
      </c>
      <c r="H97" s="80">
        <v>0</v>
      </c>
      <c r="I97" s="80">
        <v>0</v>
      </c>
      <c r="J97" s="80">
        <v>0</v>
      </c>
      <c r="K97" s="80">
        <v>0</v>
      </c>
      <c r="M97" s="86">
        <f>B97</f>
        <v>0</v>
      </c>
      <c r="N97" s="83">
        <f t="shared" ref="N97:N102" si="23">C97/(scale^2)</f>
        <v>119527.69163197509</v>
      </c>
      <c r="O97" s="83">
        <f t="shared" ref="O97:O102" si="24">D97/(scale^5)</f>
        <v>10840242687302.709</v>
      </c>
      <c r="P97" s="82">
        <f>O97</f>
        <v>10840242687302.709</v>
      </c>
      <c r="Q97" s="83">
        <f t="shared" ref="Q97:Q102" si="25">F97/(scale^5)</f>
        <v>2.0479999999999988E+16</v>
      </c>
      <c r="R97" s="83">
        <f t="shared" ref="R97:R102" si="26">G97/(scale^3)</f>
        <v>12799999999999.996</v>
      </c>
      <c r="S97" s="80">
        <v>0</v>
      </c>
      <c r="T97" s="80">
        <f>S97</f>
        <v>0</v>
      </c>
      <c r="U97" s="80">
        <v>0</v>
      </c>
      <c r="V97" s="80">
        <v>0</v>
      </c>
    </row>
    <row r="98" spans="2:24" x14ac:dyDescent="0.25">
      <c r="B98">
        <f>E84/$C$59</f>
        <v>5.5138784696174045E-2</v>
      </c>
      <c r="C98" s="87">
        <f>C97</f>
        <v>74.704807269984443</v>
      </c>
      <c r="D98" s="82">
        <f>D97/5</f>
        <v>21172.348998638117</v>
      </c>
      <c r="E98" s="82">
        <f t="shared" ref="E98:E102" si="27">D98</f>
        <v>21172.348998638117</v>
      </c>
      <c r="F98" s="83">
        <v>200000000</v>
      </c>
      <c r="G98" s="83">
        <f t="shared" ref="G98:G102" si="28">F98</f>
        <v>200000000</v>
      </c>
      <c r="H98" s="80">
        <v>0</v>
      </c>
      <c r="I98" s="80">
        <v>0</v>
      </c>
      <c r="J98" s="80">
        <v>0</v>
      </c>
      <c r="K98" s="80">
        <v>0</v>
      </c>
      <c r="M98" s="86">
        <f t="shared" ref="M98:M102" si="29">B98</f>
        <v>5.5138784696174045E-2</v>
      </c>
      <c r="N98" s="83">
        <f t="shared" si="23"/>
        <v>119527.69163197509</v>
      </c>
      <c r="O98" s="83">
        <f t="shared" si="24"/>
        <v>2168048537460.542</v>
      </c>
      <c r="P98" s="82">
        <f t="shared" ref="P98:P102" si="30">O98</f>
        <v>2168048537460.542</v>
      </c>
      <c r="Q98" s="83">
        <f t="shared" si="25"/>
        <v>2.0479999999999988E+16</v>
      </c>
      <c r="R98" s="83">
        <f t="shared" si="26"/>
        <v>12799999999999.996</v>
      </c>
      <c r="S98" s="80">
        <v>0</v>
      </c>
      <c r="T98" s="80">
        <f t="shared" ref="T98:T102" si="31">S98</f>
        <v>0</v>
      </c>
      <c r="U98" s="80">
        <v>0</v>
      </c>
      <c r="V98" s="80">
        <v>0</v>
      </c>
    </row>
    <row r="99" spans="2:24" x14ac:dyDescent="0.25">
      <c r="B99">
        <f>B98*1.001</f>
        <v>5.5193923480870211E-2</v>
      </c>
      <c r="C99" s="87">
        <f>C85/E85*1000</f>
        <v>0.99245732433505363</v>
      </c>
      <c r="D99" s="82">
        <f>H85</f>
        <v>10586.174499319059</v>
      </c>
      <c r="E99" s="82">
        <f t="shared" si="27"/>
        <v>10586.174499319059</v>
      </c>
      <c r="F99" s="83">
        <v>200000000</v>
      </c>
      <c r="G99" s="83">
        <f t="shared" si="28"/>
        <v>200000000</v>
      </c>
      <c r="H99" s="80">
        <v>0</v>
      </c>
      <c r="I99" s="80">
        <v>0</v>
      </c>
      <c r="J99" s="80">
        <v>0</v>
      </c>
      <c r="K99" s="80">
        <v>0</v>
      </c>
      <c r="M99" s="86">
        <f t="shared" si="29"/>
        <v>5.5193923480870211E-2</v>
      </c>
      <c r="N99" s="83">
        <f t="shared" si="23"/>
        <v>1587.9317189360854</v>
      </c>
      <c r="O99" s="83">
        <f t="shared" si="24"/>
        <v>1084024268730.271</v>
      </c>
      <c r="P99" s="82">
        <f t="shared" si="30"/>
        <v>1084024268730.271</v>
      </c>
      <c r="Q99" s="83">
        <f t="shared" si="25"/>
        <v>2.0479999999999988E+16</v>
      </c>
      <c r="R99" s="83">
        <f t="shared" si="26"/>
        <v>12799999999999.996</v>
      </c>
      <c r="S99" s="80">
        <v>0</v>
      </c>
      <c r="T99" s="80">
        <f t="shared" si="31"/>
        <v>0</v>
      </c>
      <c r="U99" s="80">
        <v>0</v>
      </c>
      <c r="V99" s="80">
        <v>0</v>
      </c>
    </row>
    <row r="100" spans="2:24" x14ac:dyDescent="0.25">
      <c r="B100">
        <f>E85/$C$59+B98</f>
        <v>1</v>
      </c>
      <c r="C100" s="87">
        <f>C99</f>
        <v>0.99245732433505363</v>
      </c>
      <c r="D100" s="82">
        <f>D99</f>
        <v>10586.174499319059</v>
      </c>
      <c r="E100" s="82">
        <f t="shared" si="27"/>
        <v>10586.174499319059</v>
      </c>
      <c r="F100" s="83">
        <v>200000000</v>
      </c>
      <c r="G100" s="83">
        <f t="shared" si="28"/>
        <v>200000000</v>
      </c>
      <c r="H100" s="80">
        <v>0</v>
      </c>
      <c r="I100" s="80">
        <v>0</v>
      </c>
      <c r="J100" s="80">
        <v>0</v>
      </c>
      <c r="K100" s="80">
        <v>0</v>
      </c>
      <c r="M100" s="86">
        <f t="shared" si="29"/>
        <v>1</v>
      </c>
      <c r="N100" s="83">
        <f t="shared" si="23"/>
        <v>1587.9317189360854</v>
      </c>
      <c r="O100" s="83">
        <f t="shared" si="24"/>
        <v>1084024268730.271</v>
      </c>
      <c r="P100" s="82">
        <f t="shared" si="30"/>
        <v>1084024268730.271</v>
      </c>
      <c r="Q100" s="83">
        <f t="shared" si="25"/>
        <v>2.0479999999999988E+16</v>
      </c>
      <c r="R100" s="83">
        <f t="shared" si="26"/>
        <v>12799999999999.996</v>
      </c>
      <c r="S100" s="80">
        <v>0</v>
      </c>
      <c r="T100" s="80">
        <f t="shared" si="31"/>
        <v>0</v>
      </c>
      <c r="U100" s="80">
        <v>0</v>
      </c>
      <c r="V100" s="80">
        <v>0</v>
      </c>
    </row>
    <row r="101" spans="2:24" x14ac:dyDescent="0.25">
      <c r="B101">
        <f>B100*1.001</f>
        <v>1.0009999999999999</v>
      </c>
      <c r="C101" s="87">
        <f>C86/E86*1000</f>
        <v>16.559850759090743</v>
      </c>
      <c r="D101" s="82">
        <f>H86/5</f>
        <v>21172.348998638117</v>
      </c>
      <c r="E101" s="82">
        <f t="shared" si="27"/>
        <v>21172.348998638117</v>
      </c>
      <c r="F101" s="83">
        <v>200000000</v>
      </c>
      <c r="G101" s="83">
        <f t="shared" si="28"/>
        <v>200000000</v>
      </c>
      <c r="H101" s="80">
        <v>0</v>
      </c>
      <c r="I101" s="80">
        <v>0</v>
      </c>
      <c r="J101" s="80">
        <v>0</v>
      </c>
      <c r="K101" s="80">
        <v>0</v>
      </c>
      <c r="M101" s="86">
        <f t="shared" si="29"/>
        <v>1.0009999999999999</v>
      </c>
      <c r="N101" s="83">
        <f t="shared" si="23"/>
        <v>26495.761214545182</v>
      </c>
      <c r="O101" s="83">
        <f t="shared" si="24"/>
        <v>2168048537460.542</v>
      </c>
      <c r="P101" s="82">
        <f t="shared" si="30"/>
        <v>2168048537460.542</v>
      </c>
      <c r="Q101" s="83">
        <f t="shared" si="25"/>
        <v>2.0479999999999988E+16</v>
      </c>
      <c r="R101" s="83">
        <f t="shared" si="26"/>
        <v>12799999999999.996</v>
      </c>
      <c r="S101" s="80">
        <v>0</v>
      </c>
      <c r="T101" s="80">
        <f t="shared" si="31"/>
        <v>0</v>
      </c>
      <c r="U101" s="80">
        <v>0</v>
      </c>
      <c r="V101" s="80">
        <v>0</v>
      </c>
    </row>
    <row r="102" spans="2:24" x14ac:dyDescent="0.25">
      <c r="B102">
        <f>E86/$C$59+B100</f>
        <v>1.0337584396099024</v>
      </c>
      <c r="C102" s="87">
        <f>C101</f>
        <v>16.559850759090743</v>
      </c>
      <c r="D102" s="82">
        <f>D101*5</f>
        <v>105861.74499319059</v>
      </c>
      <c r="E102" s="82">
        <f t="shared" si="27"/>
        <v>105861.74499319059</v>
      </c>
      <c r="F102" s="83">
        <v>200000000</v>
      </c>
      <c r="G102" s="83">
        <f t="shared" si="28"/>
        <v>200000000</v>
      </c>
      <c r="H102" s="80">
        <v>0</v>
      </c>
      <c r="I102" s="80">
        <v>0</v>
      </c>
      <c r="J102" s="80">
        <v>0</v>
      </c>
      <c r="K102" s="80">
        <v>0</v>
      </c>
      <c r="M102" s="86">
        <f t="shared" si="29"/>
        <v>1.0337584396099024</v>
      </c>
      <c r="N102" s="83">
        <f t="shared" si="23"/>
        <v>26495.761214545182</v>
      </c>
      <c r="O102" s="83">
        <f t="shared" si="24"/>
        <v>10840242687302.709</v>
      </c>
      <c r="P102" s="82">
        <f t="shared" si="30"/>
        <v>10840242687302.709</v>
      </c>
      <c r="Q102" s="83">
        <f t="shared" si="25"/>
        <v>2.0479999999999988E+16</v>
      </c>
      <c r="R102" s="83">
        <f t="shared" si="26"/>
        <v>12799999999999.996</v>
      </c>
      <c r="S102" s="80">
        <v>0</v>
      </c>
      <c r="T102" s="80">
        <f t="shared" si="31"/>
        <v>0</v>
      </c>
      <c r="U102" s="80">
        <v>0</v>
      </c>
      <c r="V102" s="80">
        <v>0</v>
      </c>
    </row>
    <row r="103" spans="2:24" x14ac:dyDescent="0.25">
      <c r="M103" s="86"/>
      <c r="N103" s="83"/>
      <c r="O103" s="83"/>
      <c r="P103" s="82"/>
      <c r="Q103" s="83"/>
      <c r="R103" s="83"/>
      <c r="S103" s="80"/>
      <c r="T103" s="80"/>
      <c r="U103" s="80"/>
      <c r="V103" s="80"/>
    </row>
    <row r="104" spans="2:24" ht="23.25" x14ac:dyDescent="0.35">
      <c r="B104" s="318" t="s">
        <v>331</v>
      </c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18"/>
    </row>
    <row r="105" spans="2:24" ht="23.25" x14ac:dyDescent="0.35">
      <c r="B105" s="324" t="s">
        <v>342</v>
      </c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</row>
    <row r="106" spans="2:24" x14ac:dyDescent="0.25">
      <c r="B106" t="s">
        <v>174</v>
      </c>
    </row>
    <row r="108" spans="2:24" ht="18.75" x14ac:dyDescent="0.3">
      <c r="B108" s="321" t="s">
        <v>138</v>
      </c>
      <c r="C108" s="322"/>
      <c r="D108" s="322"/>
      <c r="E108" s="322"/>
      <c r="F108" s="322"/>
      <c r="G108" s="322"/>
      <c r="H108" s="322"/>
      <c r="M108" s="321" t="s">
        <v>138</v>
      </c>
      <c r="N108" s="322"/>
      <c r="O108" s="322"/>
      <c r="P108" s="322"/>
      <c r="Q108" s="322"/>
    </row>
    <row r="109" spans="2:24" x14ac:dyDescent="0.25">
      <c r="B109" s="1" t="s">
        <v>129</v>
      </c>
      <c r="C109" s="1" t="s">
        <v>130</v>
      </c>
      <c r="D109" s="60" t="s">
        <v>135</v>
      </c>
      <c r="E109" s="1" t="s">
        <v>120</v>
      </c>
      <c r="F109" s="17" t="s">
        <v>147</v>
      </c>
      <c r="G109" s="17" t="s">
        <v>164</v>
      </c>
      <c r="H109" s="39" t="s">
        <v>142</v>
      </c>
      <c r="J109" s="65"/>
      <c r="K109" s="65"/>
      <c r="L109" s="65"/>
      <c r="M109" s="1" t="str">
        <f>B109</f>
        <v>From Bottom to Top</v>
      </c>
      <c r="N109" s="1" t="str">
        <f>C109</f>
        <v>Mass WITH screws[kg]</v>
      </c>
      <c r="O109" s="1" t="str">
        <f>D109</f>
        <v>Stiffness</v>
      </c>
      <c r="P109" s="1" t="s">
        <v>139</v>
      </c>
      <c r="Q109" s="1" t="str">
        <f>G109</f>
        <v>Inertia [kg.m]</v>
      </c>
      <c r="R109" s="61" t="s">
        <v>135</v>
      </c>
    </row>
    <row r="110" spans="2:24" x14ac:dyDescent="0.25">
      <c r="B110" s="1" t="s">
        <v>132</v>
      </c>
      <c r="C110" s="39">
        <v>2.5</v>
      </c>
      <c r="D110" s="76" t="s">
        <v>137</v>
      </c>
      <c r="E110" s="63">
        <f>E85</f>
        <v>2519</v>
      </c>
      <c r="F110" s="1"/>
      <c r="G110" s="59">
        <f>0.5*$C$151*((($C$148/2-C147)/1000)^2+(($C$148/2)/1000)^2)/2</f>
        <v>4.219127517844552E-4</v>
      </c>
      <c r="H110" s="59">
        <f>$C$152</f>
        <v>10586.174499319059</v>
      </c>
      <c r="J110" s="65"/>
      <c r="K110" s="65"/>
      <c r="L110" s="65"/>
      <c r="M110" s="1" t="str">
        <f>B110</f>
        <v>Mast / Tube 60*2</v>
      </c>
      <c r="N110" s="74">
        <f>C110/(scale^3)</f>
        <v>159999.99999999997</v>
      </c>
      <c r="O110" s="60" t="s">
        <v>137</v>
      </c>
      <c r="P110" s="63">
        <f>E110/1000/scale</f>
        <v>100.76</v>
      </c>
      <c r="Q110" s="78">
        <f>G110/(scale^4)</f>
        <v>1080.0966445682047</v>
      </c>
      <c r="R110" s="78">
        <f>H110/(scale^5)</f>
        <v>1084024268730.271</v>
      </c>
    </row>
    <row r="111" spans="2:24" x14ac:dyDescent="0.25">
      <c r="B111" s="1"/>
      <c r="C111" s="39"/>
      <c r="D111" s="60"/>
      <c r="E111" s="1"/>
      <c r="F111" s="3"/>
      <c r="G111" s="1"/>
      <c r="H111" s="77"/>
      <c r="J111" s="65"/>
      <c r="K111" s="65"/>
      <c r="L111" s="65"/>
      <c r="M111" s="1"/>
      <c r="N111" s="74"/>
      <c r="O111" s="60"/>
      <c r="P111" s="63"/>
      <c r="Q111" s="78"/>
      <c r="R111" s="78"/>
    </row>
    <row r="112" spans="2:24" x14ac:dyDescent="0.25">
      <c r="B112" s="64" t="s">
        <v>162</v>
      </c>
      <c r="C112">
        <f>SUM(E110:E111)</f>
        <v>2519</v>
      </c>
    </row>
    <row r="114" spans="2:18" x14ac:dyDescent="0.25">
      <c r="B114" s="1" t="s">
        <v>10</v>
      </c>
      <c r="C114" s="1"/>
      <c r="D114" s="1" t="s">
        <v>11</v>
      </c>
      <c r="E114" s="1" t="s">
        <v>12</v>
      </c>
      <c r="N114" s="30" t="s">
        <v>66</v>
      </c>
      <c r="O114" s="30" t="s">
        <v>67</v>
      </c>
      <c r="P114" s="35" t="s">
        <v>68</v>
      </c>
      <c r="Q114" s="17" t="s">
        <v>72</v>
      </c>
      <c r="R114" s="17" t="s">
        <v>73</v>
      </c>
    </row>
    <row r="115" spans="2:18" x14ac:dyDescent="0.25">
      <c r="B115" s="1" t="s">
        <v>17</v>
      </c>
      <c r="C115" s="13">
        <v>0.23199999999999951</v>
      </c>
      <c r="D115" s="1">
        <v>5.0000000000000001E-3</v>
      </c>
      <c r="E115" s="1"/>
      <c r="M115" s="1" t="str">
        <f>B115</f>
        <v>Tower Base height from MSL [m]</v>
      </c>
      <c r="N115" s="105">
        <f t="shared" ref="N115:O117" si="32">C115/scale</f>
        <v>9.2799999999999798</v>
      </c>
      <c r="O115" s="1">
        <f t="shared" si="32"/>
        <v>0.19999999999999998</v>
      </c>
      <c r="Q115" s="1" t="s">
        <v>76</v>
      </c>
      <c r="R115" s="14" t="s">
        <v>85</v>
      </c>
    </row>
    <row r="116" spans="2:18" x14ac:dyDescent="0.25">
      <c r="B116" t="s">
        <v>18</v>
      </c>
      <c r="C116">
        <v>2.5190000000000001</v>
      </c>
      <c r="D116">
        <v>2E-3</v>
      </c>
      <c r="M116" s="1" t="str">
        <f>B116</f>
        <v>Tower height (twr base to twr top)[m]</v>
      </c>
      <c r="N116" s="1">
        <f t="shared" si="32"/>
        <v>100.76</v>
      </c>
      <c r="O116" s="1">
        <f t="shared" si="32"/>
        <v>0.08</v>
      </c>
      <c r="Q116" s="1" t="s">
        <v>109</v>
      </c>
      <c r="R116" s="1" t="s">
        <v>109</v>
      </c>
    </row>
    <row r="117" spans="2:18" x14ac:dyDescent="0.25">
      <c r="B117" s="1" t="s">
        <v>87</v>
      </c>
      <c r="C117" s="13">
        <f>C116+C115</f>
        <v>2.7509999999999994</v>
      </c>
      <c r="D117" s="1"/>
      <c r="E117" s="1"/>
      <c r="M117" s="1" t="str">
        <f>B117</f>
        <v>Tower top above MSL [m]</v>
      </c>
      <c r="N117" s="105">
        <f t="shared" si="32"/>
        <v>110.03999999999998</v>
      </c>
      <c r="O117" s="1">
        <f t="shared" si="32"/>
        <v>0</v>
      </c>
      <c r="Q117" s="1" t="s">
        <v>76</v>
      </c>
      <c r="R117" s="14" t="s">
        <v>86</v>
      </c>
    </row>
    <row r="118" spans="2:18" x14ac:dyDescent="0.25">
      <c r="B118" s="1" t="s">
        <v>175</v>
      </c>
      <c r="C118" s="14">
        <v>0.28000000000000003</v>
      </c>
      <c r="D118" s="1">
        <v>5.0000000000000001E-3</v>
      </c>
      <c r="E118" s="1" t="s">
        <v>19</v>
      </c>
      <c r="M118" s="1" t="str">
        <f>B118</f>
        <v>Tower top to Hub thrust application [m]</v>
      </c>
      <c r="N118" s="106">
        <f>C118/scale -7.1*SIN(5*PI()/180)</f>
        <v>10.581194226491629</v>
      </c>
      <c r="O118" s="1">
        <f>D118/scale</f>
        <v>0.19999999999999998</v>
      </c>
      <c r="Q118" s="1" t="s">
        <v>76</v>
      </c>
      <c r="R118" s="14" t="s">
        <v>91</v>
      </c>
    </row>
    <row r="119" spans="2:18" x14ac:dyDescent="0.25">
      <c r="B119" s="1" t="s">
        <v>20</v>
      </c>
      <c r="C119" s="3">
        <v>3.0309999999999997</v>
      </c>
      <c r="D119" s="1">
        <v>0.01</v>
      </c>
      <c r="E119" s="1"/>
      <c r="M119" s="1" t="str">
        <f>B119</f>
        <v>Hub height above MSL [m]</v>
      </c>
      <c r="N119" s="1">
        <f>C119/scale</f>
        <v>121.23999999999998</v>
      </c>
      <c r="O119" s="1">
        <f>D119/scale</f>
        <v>0.39999999999999997</v>
      </c>
      <c r="Q119" s="1" t="s">
        <v>109</v>
      </c>
      <c r="R119" s="1" t="s">
        <v>109</v>
      </c>
    </row>
    <row r="120" spans="2:18" x14ac:dyDescent="0.25">
      <c r="B120" s="1" t="s">
        <v>176</v>
      </c>
      <c r="C120" s="15">
        <v>12.450412325802287</v>
      </c>
      <c r="D120" s="1">
        <v>0.1</v>
      </c>
      <c r="E120" s="1" t="s">
        <v>22</v>
      </c>
      <c r="M120" s="85" t="s">
        <v>82</v>
      </c>
      <c r="N120" s="85"/>
      <c r="O120" s="85"/>
      <c r="P120" s="85"/>
    </row>
    <row r="121" spans="2:18" x14ac:dyDescent="0.25">
      <c r="B121" s="1" t="s">
        <v>23</v>
      </c>
      <c r="C121" s="16">
        <v>-1.4804832083866548E-2</v>
      </c>
      <c r="D121" s="1">
        <v>2E-3</v>
      </c>
      <c r="E121" s="1" t="s">
        <v>3</v>
      </c>
      <c r="M121" s="332" t="s">
        <v>94</v>
      </c>
      <c r="N121" s="332"/>
      <c r="O121" s="332"/>
    </row>
    <row r="122" spans="2:18" x14ac:dyDescent="0.25">
      <c r="B122" s="1" t="s">
        <v>24</v>
      </c>
      <c r="C122" s="16">
        <v>-9.4682065652634904E-4</v>
      </c>
      <c r="D122" s="1">
        <v>2E-3</v>
      </c>
      <c r="E122" s="1" t="s">
        <v>3</v>
      </c>
      <c r="M122" s="1" t="str">
        <f>B120</f>
        <v>Mass RNA [kg]</v>
      </c>
      <c r="N122" s="40">
        <f>C120/(scale^3)</f>
        <v>796826.3888513461</v>
      </c>
      <c r="O122" s="40">
        <f>D120/(scale^3)</f>
        <v>6399.9999999999991</v>
      </c>
    </row>
    <row r="123" spans="2:18" x14ac:dyDescent="0.25">
      <c r="B123" s="1" t="s">
        <v>25</v>
      </c>
      <c r="C123" s="92">
        <v>0.14226430380679767</v>
      </c>
      <c r="D123" s="1">
        <v>5.0000000000000001E-3</v>
      </c>
      <c r="E123" s="1" t="s">
        <v>3</v>
      </c>
      <c r="M123" s="1" t="str">
        <f>B121</f>
        <v>CoG X RNA above twr top [m]</v>
      </c>
      <c r="N123" s="93">
        <f t="shared" ref="N123:O125" si="33">C121/scale</f>
        <v>-0.59219328335466193</v>
      </c>
      <c r="O123" s="1">
        <f t="shared" si="33"/>
        <v>0.08</v>
      </c>
    </row>
    <row r="124" spans="2:18" x14ac:dyDescent="0.25">
      <c r="M124" s="1" t="str">
        <f>B122</f>
        <v>CoG Y RNA above twr top [m]</v>
      </c>
      <c r="N124" s="93">
        <f t="shared" si="33"/>
        <v>-3.7872826261053961E-2</v>
      </c>
      <c r="O124" s="1">
        <f t="shared" si="33"/>
        <v>0.08</v>
      </c>
    </row>
    <row r="125" spans="2:18" x14ac:dyDescent="0.25">
      <c r="B125" s="17" t="s">
        <v>26</v>
      </c>
      <c r="C125" s="13">
        <v>7.1809999999999999E-2</v>
      </c>
      <c r="D125" s="1" t="s">
        <v>27</v>
      </c>
      <c r="E125" s="1" t="s">
        <v>28</v>
      </c>
      <c r="M125" s="1" t="str">
        <f>B123</f>
        <v>CoG Z RNA above twr top [m]</v>
      </c>
      <c r="N125" s="93">
        <f t="shared" si="33"/>
        <v>5.6905721522719066</v>
      </c>
      <c r="O125" s="1">
        <f t="shared" si="33"/>
        <v>0.19999999999999998</v>
      </c>
    </row>
    <row r="126" spans="2:18" x14ac:dyDescent="0.25">
      <c r="B126" s="1" t="s">
        <v>29</v>
      </c>
      <c r="C126" s="1">
        <v>0.26600000000000001</v>
      </c>
      <c r="D126" s="1" t="s">
        <v>27</v>
      </c>
      <c r="E126" s="1" t="s">
        <v>28</v>
      </c>
      <c r="M126" s="333" t="s">
        <v>95</v>
      </c>
      <c r="N126" s="334"/>
      <c r="O126" s="335"/>
    </row>
    <row r="127" spans="2:18" x14ac:dyDescent="0.25">
      <c r="B127" s="1" t="s">
        <v>30</v>
      </c>
      <c r="C127" s="1">
        <v>0.23658399999999999</v>
      </c>
      <c r="D127" s="1" t="s">
        <v>27</v>
      </c>
      <c r="E127" s="1" t="s">
        <v>28</v>
      </c>
      <c r="M127" s="1" t="s">
        <v>81</v>
      </c>
      <c r="N127" s="104">
        <f>105520 + 3 *17740</f>
        <v>158740</v>
      </c>
      <c r="O127" s="1"/>
    </row>
    <row r="128" spans="2:18" x14ac:dyDescent="0.25">
      <c r="B128" s="1"/>
      <c r="C128" s="1"/>
      <c r="D128" s="1"/>
      <c r="E128" s="1"/>
      <c r="M128" s="1" t="s">
        <v>88</v>
      </c>
      <c r="N128" s="3">
        <f>-7.1*COS(5*PI()/180)</f>
        <v>-7.0729823564513934</v>
      </c>
      <c r="O128" s="1"/>
    </row>
    <row r="129" spans="2:22" x14ac:dyDescent="0.25">
      <c r="M129" s="1" t="s">
        <v>89</v>
      </c>
      <c r="N129" s="3">
        <f>-7.1*SIN(-5*PI()/180)+N118</f>
        <v>11.200000000000003</v>
      </c>
      <c r="O129" s="1"/>
      <c r="Q129" s="308" t="s">
        <v>71</v>
      </c>
      <c r="R129" s="309"/>
    </row>
    <row r="130" spans="2:22" x14ac:dyDescent="0.25">
      <c r="M130" s="313" t="s">
        <v>96</v>
      </c>
      <c r="N130" s="314"/>
      <c r="O130" s="315"/>
      <c r="Q130" s="17" t="s">
        <v>72</v>
      </c>
      <c r="R130" s="17" t="s">
        <v>73</v>
      </c>
    </row>
    <row r="131" spans="2:22" x14ac:dyDescent="0.25">
      <c r="M131" s="1" t="s">
        <v>97</v>
      </c>
      <c r="N131" s="107">
        <f>N122-N127</f>
        <v>638086.3888513461</v>
      </c>
      <c r="O131" s="36">
        <f>O122</f>
        <v>6399.9999999999991</v>
      </c>
      <c r="Q131" s="1" t="s">
        <v>76</v>
      </c>
      <c r="R131" s="14" t="s">
        <v>104</v>
      </c>
    </row>
    <row r="132" spans="2:22" x14ac:dyDescent="0.25">
      <c r="C132">
        <v>314.39999999999998</v>
      </c>
      <c r="D132">
        <v>0.56699999999999995</v>
      </c>
      <c r="E132">
        <v>-1.718</v>
      </c>
      <c r="F132">
        <v>230</v>
      </c>
      <c r="M132" s="1" t="s">
        <v>98</v>
      </c>
      <c r="N132" s="106">
        <f>(N123*N122-N128*N127)/N131</f>
        <v>1.0200656136189949</v>
      </c>
      <c r="O132" s="48">
        <f t="shared" ref="O132:O134" si="34">O123</f>
        <v>0.08</v>
      </c>
      <c r="Q132" s="1" t="s">
        <v>76</v>
      </c>
      <c r="R132" s="14" t="s">
        <v>101</v>
      </c>
    </row>
    <row r="133" spans="2:22" x14ac:dyDescent="0.25">
      <c r="M133" s="1" t="s">
        <v>99</v>
      </c>
      <c r="N133" s="105">
        <v>0</v>
      </c>
      <c r="O133" s="48">
        <f t="shared" si="34"/>
        <v>0.08</v>
      </c>
      <c r="Q133" s="1" t="s">
        <v>76</v>
      </c>
      <c r="R133" s="14" t="s">
        <v>102</v>
      </c>
    </row>
    <row r="134" spans="2:22" x14ac:dyDescent="0.25">
      <c r="M134" s="1" t="s">
        <v>100</v>
      </c>
      <c r="N134" s="106">
        <f>(N125*N122-N129*N127)/N131</f>
        <v>4.3199637333668859</v>
      </c>
      <c r="O134" s="48">
        <f t="shared" si="34"/>
        <v>0.19999999999999998</v>
      </c>
      <c r="Q134" s="1" t="s">
        <v>76</v>
      </c>
      <c r="R134" s="14" t="s">
        <v>103</v>
      </c>
    </row>
    <row r="138" spans="2:22" x14ac:dyDescent="0.25">
      <c r="B138" t="s">
        <v>152</v>
      </c>
      <c r="C138" t="s">
        <v>153</v>
      </c>
      <c r="D138" t="s">
        <v>154</v>
      </c>
      <c r="E138" t="s">
        <v>155</v>
      </c>
      <c r="F138" t="s">
        <v>156</v>
      </c>
      <c r="G138" t="s">
        <v>157</v>
      </c>
      <c r="H138" t="s">
        <v>158</v>
      </c>
      <c r="I138" t="s">
        <v>159</v>
      </c>
      <c r="J138" t="s">
        <v>160</v>
      </c>
      <c r="K138" t="s">
        <v>161</v>
      </c>
      <c r="M138" s="70" t="str">
        <f>B125</f>
        <v>Inertia RNA xx around CoG RNA [kg.m^-2]</v>
      </c>
      <c r="N138" s="36">
        <f>C125/(scale^5)</f>
        <v>7353343.9999999953</v>
      </c>
      <c r="O138" s="96"/>
      <c r="Q138" s="70"/>
      <c r="R138" s="97"/>
      <c r="V138" t="s">
        <v>161</v>
      </c>
    </row>
    <row r="139" spans="2:22" x14ac:dyDescent="0.25">
      <c r="B139" s="81">
        <v>0</v>
      </c>
      <c r="C139" s="87">
        <f>C110/E110*1000</f>
        <v>0.99245732433505363</v>
      </c>
      <c r="D139" s="83">
        <f>$H$110</f>
        <v>10586.174499319059</v>
      </c>
      <c r="E139" s="82">
        <f>D139</f>
        <v>10586.174499319059</v>
      </c>
      <c r="F139" s="83">
        <v>200000000</v>
      </c>
      <c r="G139" s="83">
        <f>F139</f>
        <v>200000000</v>
      </c>
      <c r="H139" s="83">
        <f>G110</f>
        <v>4.219127517844552E-4</v>
      </c>
      <c r="I139" s="80">
        <v>0</v>
      </c>
      <c r="J139" s="80">
        <v>0</v>
      </c>
      <c r="K139" s="80">
        <v>0</v>
      </c>
      <c r="M139" s="70" t="str">
        <f>B126</f>
        <v>Inertia RNA yy around CoG RNA [kg.m^-2]</v>
      </c>
      <c r="N139" s="36">
        <f>C126/(scale^5)</f>
        <v>27238399.999999985</v>
      </c>
      <c r="O139" s="96"/>
      <c r="Q139" s="70"/>
      <c r="R139" s="97"/>
      <c r="V139" s="80">
        <v>0</v>
      </c>
    </row>
    <row r="140" spans="2:22" x14ac:dyDescent="0.25">
      <c r="B140">
        <v>1</v>
      </c>
      <c r="C140" s="87">
        <f>C139</f>
        <v>0.99245732433505363</v>
      </c>
      <c r="D140" s="83">
        <f>$H$110</f>
        <v>10586.174499319059</v>
      </c>
      <c r="E140" s="82">
        <f t="shared" ref="E140" si="35">D140</f>
        <v>10586.174499319059</v>
      </c>
      <c r="F140" s="83">
        <v>200000000</v>
      </c>
      <c r="G140" s="83">
        <f t="shared" ref="G140" si="36">F140</f>
        <v>200000000</v>
      </c>
      <c r="H140" s="83">
        <f>H139</f>
        <v>4.219127517844552E-4</v>
      </c>
      <c r="I140" s="80">
        <v>0</v>
      </c>
      <c r="J140" s="80">
        <v>0</v>
      </c>
      <c r="K140" s="80">
        <v>0</v>
      </c>
      <c r="M140" s="70" t="str">
        <f>B127</f>
        <v>Inertia RNA zz around CoG RNA [kg.m^-2]</v>
      </c>
      <c r="N140" s="36">
        <f>C127/(scale^5)</f>
        <v>24226201.599999983</v>
      </c>
      <c r="V140" s="80">
        <v>0</v>
      </c>
    </row>
    <row r="141" spans="2:22" x14ac:dyDescent="0.25">
      <c r="M141" t="s">
        <v>152</v>
      </c>
      <c r="N141" t="s">
        <v>153</v>
      </c>
      <c r="O141" t="s">
        <v>154</v>
      </c>
      <c r="P141" t="s">
        <v>155</v>
      </c>
      <c r="Q141" t="s">
        <v>156</v>
      </c>
      <c r="R141" t="s">
        <v>157</v>
      </c>
      <c r="S141" t="s">
        <v>158</v>
      </c>
      <c r="T141" t="s">
        <v>159</v>
      </c>
      <c r="U141" t="s">
        <v>160</v>
      </c>
    </row>
    <row r="142" spans="2:22" x14ac:dyDescent="0.25">
      <c r="M142" s="86">
        <f>B139</f>
        <v>0</v>
      </c>
      <c r="N142" s="83">
        <f>C139/(scale^2)</f>
        <v>1587.9317189360854</v>
      </c>
      <c r="O142" s="83">
        <f>D139/(scale^5)</f>
        <v>1084024268730.271</v>
      </c>
      <c r="P142" s="82">
        <f>O142</f>
        <v>1084024268730.271</v>
      </c>
      <c r="Q142" s="83">
        <f>F139/(scale^5)</f>
        <v>2.0479999999999988E+16</v>
      </c>
      <c r="R142" s="83">
        <f>G139/(scale^3)</f>
        <v>12799999999999.996</v>
      </c>
      <c r="S142" s="80">
        <f>H139/(scale^4)</f>
        <v>1080.0966445682047</v>
      </c>
      <c r="T142" s="80">
        <f>S142</f>
        <v>1080.0966445682047</v>
      </c>
      <c r="U142" s="80">
        <v>0</v>
      </c>
    </row>
    <row r="143" spans="2:22" x14ac:dyDescent="0.25">
      <c r="B143" s="1"/>
      <c r="C143" s="1"/>
      <c r="D143" s="1"/>
      <c r="E143" s="1"/>
      <c r="M143" s="86">
        <f>B140</f>
        <v>1</v>
      </c>
      <c r="N143" s="83">
        <f>C140/(scale^2)</f>
        <v>1587.9317189360854</v>
      </c>
      <c r="O143" s="83">
        <f>D140/(scale^5)</f>
        <v>1084024268730.271</v>
      </c>
      <c r="P143" s="82">
        <f t="shared" ref="P143" si="37">O143</f>
        <v>1084024268730.271</v>
      </c>
      <c r="Q143" s="83">
        <f>F140/(scale^5)</f>
        <v>2.0479999999999988E+16</v>
      </c>
      <c r="R143" s="83">
        <f>G140/(scale^3)</f>
        <v>12799999999999.996</v>
      </c>
      <c r="S143" s="80">
        <f>S142</f>
        <v>1080.0966445682047</v>
      </c>
      <c r="T143" s="80">
        <f t="shared" ref="T143" si="38">S143</f>
        <v>1080.0966445682047</v>
      </c>
      <c r="U143" s="80">
        <v>0</v>
      </c>
    </row>
    <row r="144" spans="2:22" ht="15.75" x14ac:dyDescent="0.25">
      <c r="B144" s="316" t="s">
        <v>128</v>
      </c>
      <c r="C144" s="317"/>
      <c r="D144" s="317"/>
      <c r="E144" s="317"/>
      <c r="F144" s="317"/>
      <c r="G144" s="317"/>
      <c r="H144" s="317"/>
    </row>
    <row r="145" spans="2:13" ht="21" x14ac:dyDescent="0.35">
      <c r="B145" s="67" t="s">
        <v>110</v>
      </c>
      <c r="C145" s="52" t="s">
        <v>111</v>
      </c>
      <c r="D145" s="52" t="s">
        <v>124</v>
      </c>
      <c r="E145" s="1" t="s">
        <v>119</v>
      </c>
      <c r="F145" s="1" t="s">
        <v>126</v>
      </c>
      <c r="M145" t="s">
        <v>207</v>
      </c>
    </row>
    <row r="146" spans="2:13" x14ac:dyDescent="0.25">
      <c r="B146" s="68" t="s">
        <v>112</v>
      </c>
      <c r="C146" s="54">
        <v>2750</v>
      </c>
      <c r="D146" s="55" t="s">
        <v>27</v>
      </c>
      <c r="E146" t="s">
        <v>125</v>
      </c>
      <c r="F146" s="66" t="s">
        <v>127</v>
      </c>
      <c r="M146">
        <v>1.47163</v>
      </c>
    </row>
    <row r="147" spans="2:13" x14ac:dyDescent="0.25">
      <c r="B147" s="68" t="s">
        <v>113</v>
      </c>
      <c r="C147" s="55">
        <v>2</v>
      </c>
      <c r="D147" s="55" t="s">
        <v>114</v>
      </c>
      <c r="E147" t="s">
        <v>125</v>
      </c>
      <c r="M147">
        <v>-0.47289700000000001</v>
      </c>
    </row>
    <row r="148" spans="2:13" x14ac:dyDescent="0.25">
      <c r="B148" s="53" t="s">
        <v>115</v>
      </c>
      <c r="C148" s="55">
        <v>60</v>
      </c>
      <c r="D148" s="55" t="s">
        <v>114</v>
      </c>
      <c r="E148" t="s">
        <v>125</v>
      </c>
      <c r="M148">
        <v>-1.8842399999999999E-3</v>
      </c>
    </row>
    <row r="149" spans="2:13" x14ac:dyDescent="0.25">
      <c r="B149" s="53" t="s">
        <v>116</v>
      </c>
      <c r="C149" s="56">
        <v>69000000000</v>
      </c>
      <c r="D149" s="55" t="s">
        <v>109</v>
      </c>
      <c r="M149">
        <v>2.7388099999999999E-3</v>
      </c>
    </row>
    <row r="150" spans="2:13" x14ac:dyDescent="0.25">
      <c r="B150" s="53" t="s">
        <v>117</v>
      </c>
      <c r="C150" s="57">
        <f>2.554-0.02-0.015</f>
        <v>2.5189999999999997</v>
      </c>
      <c r="D150" s="55" t="s">
        <v>114</v>
      </c>
      <c r="E150" t="s">
        <v>125</v>
      </c>
      <c r="M150">
        <v>4.1629900000000002E-4</v>
      </c>
    </row>
    <row r="151" spans="2:13" x14ac:dyDescent="0.25">
      <c r="B151" s="53" t="s">
        <v>118</v>
      </c>
      <c r="C151" s="55">
        <f>$C$146*PI()*(($C$148/1000/2)^2-(($C$148/2-$C$147)/1000)^2)</f>
        <v>1.002168056495143</v>
      </c>
      <c r="D151" s="55" t="s">
        <v>27</v>
      </c>
    </row>
    <row r="152" spans="2:13" x14ac:dyDescent="0.25">
      <c r="B152" s="58" t="s">
        <v>149</v>
      </c>
      <c r="C152" s="98">
        <f>C149*PI()/64*(((C148)/1000)^4 -((C148-2*C147)/1000)^4 )</f>
        <v>10586.174499319059</v>
      </c>
      <c r="D152" s="60" t="s">
        <v>27</v>
      </c>
      <c r="G152" s="64"/>
    </row>
  </sheetData>
  <mergeCells count="30">
    <mergeCell ref="M121:O121"/>
    <mergeCell ref="M108:Q108"/>
    <mergeCell ref="M126:O126"/>
    <mergeCell ref="M60:P60"/>
    <mergeCell ref="M35:P35"/>
    <mergeCell ref="M45:Q45"/>
    <mergeCell ref="B1:G1"/>
    <mergeCell ref="C2:D2"/>
    <mergeCell ref="C3:D3"/>
    <mergeCell ref="M6:P6"/>
    <mergeCell ref="M7:P8"/>
    <mergeCell ref="C4:D4"/>
    <mergeCell ref="B6:H6"/>
    <mergeCell ref="B7:H8"/>
    <mergeCell ref="Q9:R9"/>
    <mergeCell ref="B9:E9"/>
    <mergeCell ref="M9:P9"/>
    <mergeCell ref="M26:O26"/>
    <mergeCell ref="B144:H144"/>
    <mergeCell ref="B104:X104"/>
    <mergeCell ref="B82:H82"/>
    <mergeCell ref="M82:Q82"/>
    <mergeCell ref="A78:W78"/>
    <mergeCell ref="B88:H88"/>
    <mergeCell ref="B105:X105"/>
    <mergeCell ref="B108:H108"/>
    <mergeCell ref="B45:H45"/>
    <mergeCell ref="Q25:R25"/>
    <mergeCell ref="Q129:R129"/>
    <mergeCell ref="M130:O1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F24" sqref="F24"/>
    </sheetView>
  </sheetViews>
  <sheetFormatPr defaultRowHeight="15" x14ac:dyDescent="0.25"/>
  <cols>
    <col min="2" max="2" width="16.85546875" bestFit="1" customWidth="1"/>
    <col min="3" max="3" width="11" bestFit="1" customWidth="1"/>
    <col min="4" max="4" width="23.5703125" bestFit="1" customWidth="1"/>
    <col min="6" max="6" width="18.85546875" bestFit="1" customWidth="1"/>
    <col min="8" max="8" width="14.85546875" bestFit="1" customWidth="1"/>
  </cols>
  <sheetData>
    <row r="2" spans="2:8" x14ac:dyDescent="0.25">
      <c r="B2" s="338" t="s">
        <v>31</v>
      </c>
      <c r="C2" s="338"/>
      <c r="D2" s="338"/>
      <c r="E2" s="338"/>
      <c r="F2" s="338"/>
      <c r="G2" s="338"/>
      <c r="H2" s="338"/>
    </row>
    <row r="3" spans="2:8" x14ac:dyDescent="0.25">
      <c r="B3" s="20"/>
      <c r="C3" s="20"/>
      <c r="D3" s="21" t="s">
        <v>2</v>
      </c>
      <c r="E3" s="22"/>
      <c r="F3" s="337" t="s">
        <v>32</v>
      </c>
      <c r="G3" s="337"/>
      <c r="H3" s="337"/>
    </row>
    <row r="4" spans="2:8" x14ac:dyDescent="0.25">
      <c r="B4" s="20" t="s">
        <v>33</v>
      </c>
      <c r="C4" s="23">
        <f>2*PI()*SQRT((C6+C8-C7^2/(C9+C12))/(C10+C11))</f>
        <v>5.1327498812290555</v>
      </c>
      <c r="D4" s="1"/>
      <c r="F4" s="1" t="s">
        <v>34</v>
      </c>
      <c r="G4" s="1"/>
      <c r="H4" s="2">
        <f>1000*9.81*((0.28/2)^4)/4*PI()</f>
        <v>2.9598590584019928</v>
      </c>
    </row>
    <row r="5" spans="2:8" x14ac:dyDescent="0.25">
      <c r="B5" s="20" t="s">
        <v>35</v>
      </c>
      <c r="C5" s="20">
        <v>5.13</v>
      </c>
      <c r="D5" s="24" t="s">
        <v>36</v>
      </c>
      <c r="F5" s="11" t="s">
        <v>37</v>
      </c>
      <c r="G5" s="11"/>
      <c r="H5" s="1">
        <v>1.0720000000000001</v>
      </c>
    </row>
    <row r="6" spans="2:8" x14ac:dyDescent="0.25">
      <c r="B6" s="1" t="s">
        <v>38</v>
      </c>
      <c r="C6" s="25">
        <v>450</v>
      </c>
      <c r="D6" s="1" t="s">
        <v>39</v>
      </c>
      <c r="F6" s="11" t="s">
        <v>0</v>
      </c>
      <c r="G6" s="11"/>
      <c r="H6" s="1" t="s">
        <v>40</v>
      </c>
    </row>
    <row r="7" spans="2:8" x14ac:dyDescent="0.25">
      <c r="B7" s="1" t="s">
        <v>41</v>
      </c>
      <c r="C7" s="1">
        <v>-375</v>
      </c>
      <c r="D7" s="1" t="s">
        <v>42</v>
      </c>
      <c r="F7" s="11">
        <v>0.74299999999999999</v>
      </c>
      <c r="G7" s="11"/>
      <c r="H7" s="10">
        <f>1000*9.806*0.34*-(F7-$H$5)+$H$4</f>
        <v>1099.8590190584023</v>
      </c>
    </row>
    <row r="8" spans="2:8" x14ac:dyDescent="0.25">
      <c r="B8" s="1" t="s">
        <v>43</v>
      </c>
      <c r="C8" s="1">
        <v>545</v>
      </c>
      <c r="D8" s="1" t="s">
        <v>42</v>
      </c>
      <c r="F8" s="11">
        <v>0.77500000000000002</v>
      </c>
      <c r="G8" s="11"/>
      <c r="H8" s="10">
        <f>1000*9.806*0.34*-(F8-$H$5)+$H$4</f>
        <v>993.16973905840223</v>
      </c>
    </row>
    <row r="9" spans="2:8" x14ac:dyDescent="0.25">
      <c r="B9" s="1" t="s">
        <v>44</v>
      </c>
      <c r="C9" s="1">
        <v>320</v>
      </c>
      <c r="D9" s="1" t="s">
        <v>42</v>
      </c>
      <c r="F9" s="26">
        <v>0.75</v>
      </c>
      <c r="G9" s="26"/>
      <c r="H9" s="10">
        <f>1000*9.806*0.34*-(F9-$H$5)+$H$4</f>
        <v>1076.5207390584023</v>
      </c>
    </row>
    <row r="10" spans="2:8" x14ac:dyDescent="0.25">
      <c r="B10" s="1" t="s">
        <v>45</v>
      </c>
      <c r="C10" s="10">
        <f>H9</f>
        <v>1076.5207390584023</v>
      </c>
      <c r="D10" s="24" t="s">
        <v>46</v>
      </c>
      <c r="F10" s="173">
        <v>0.76</v>
      </c>
      <c r="H10" s="10">
        <f>1000*9.806*0.34*-(F10-$H$5)+$H$4</f>
        <v>1043.1803390584023</v>
      </c>
    </row>
    <row r="11" spans="2:8" x14ac:dyDescent="0.25">
      <c r="B11" s="17" t="s">
        <v>47</v>
      </c>
      <c r="C11" s="17">
        <v>90</v>
      </c>
      <c r="D11" s="1" t="s">
        <v>48</v>
      </c>
      <c r="F11" s="173">
        <v>0.77</v>
      </c>
      <c r="H11" s="174">
        <f>1000*9.806*0.34*-(F11-$H$5)+$H$4</f>
        <v>1009.8399390584023</v>
      </c>
    </row>
    <row r="12" spans="2:8" x14ac:dyDescent="0.25">
      <c r="B12" s="1" t="s">
        <v>49</v>
      </c>
      <c r="C12" s="1">
        <v>329.4</v>
      </c>
      <c r="D12" s="1" t="s">
        <v>50</v>
      </c>
    </row>
    <row r="14" spans="2:8" x14ac:dyDescent="0.25">
      <c r="C14">
        <f>1030*40^4</f>
        <v>2636800000</v>
      </c>
    </row>
    <row r="15" spans="2:8" x14ac:dyDescent="0.25">
      <c r="D15" t="s">
        <v>203</v>
      </c>
    </row>
    <row r="16" spans="2:8" x14ac:dyDescent="0.25">
      <c r="B16" t="s">
        <v>196</v>
      </c>
      <c r="D16" t="s">
        <v>204</v>
      </c>
    </row>
    <row r="17" spans="2:4" x14ac:dyDescent="0.25">
      <c r="B17" t="s">
        <v>197</v>
      </c>
      <c r="C17" t="s">
        <v>198</v>
      </c>
      <c r="D17" t="s">
        <v>199</v>
      </c>
    </row>
    <row r="18" spans="2:4" x14ac:dyDescent="0.25">
      <c r="B18">
        <v>5.7000000000000002E-2</v>
      </c>
      <c r="C18" s="80">
        <f>1/B18</f>
        <v>17.543859649122805</v>
      </c>
    </row>
    <row r="19" spans="2:4" x14ac:dyDescent="0.25">
      <c r="B19">
        <v>0.19800000000000001</v>
      </c>
      <c r="C19" s="80">
        <f t="shared" ref="C19:C27" si="0">1/B19</f>
        <v>5.0505050505050502</v>
      </c>
    </row>
    <row r="20" spans="2:4" x14ac:dyDescent="0.25">
      <c r="B20">
        <v>0.20300000000000001</v>
      </c>
      <c r="C20" s="80">
        <f t="shared" si="0"/>
        <v>4.9261083743842358</v>
      </c>
    </row>
    <row r="21" spans="2:4" x14ac:dyDescent="0.25">
      <c r="B21">
        <v>0.20399999999999999</v>
      </c>
      <c r="C21" s="80">
        <f t="shared" si="0"/>
        <v>4.9019607843137258</v>
      </c>
    </row>
    <row r="22" spans="2:4" x14ac:dyDescent="0.25">
      <c r="B22">
        <v>0.70699999999999996</v>
      </c>
      <c r="C22" s="80">
        <f t="shared" si="0"/>
        <v>1.4144271570014144</v>
      </c>
    </row>
    <row r="23" spans="2:4" x14ac:dyDescent="0.25">
      <c r="B23">
        <v>2.37</v>
      </c>
      <c r="C23" s="80">
        <f t="shared" si="0"/>
        <v>0.42194092827004215</v>
      </c>
    </row>
    <row r="24" spans="2:4" x14ac:dyDescent="0.25">
      <c r="B24">
        <v>2.31</v>
      </c>
      <c r="C24" s="80">
        <f t="shared" si="0"/>
        <v>0.4329004329004329</v>
      </c>
    </row>
    <row r="25" spans="2:4" x14ac:dyDescent="0.25">
      <c r="B25">
        <v>3.2000000000000001E-2</v>
      </c>
      <c r="C25" s="80">
        <f t="shared" si="0"/>
        <v>31.25</v>
      </c>
    </row>
    <row r="26" spans="2:4" x14ac:dyDescent="0.25">
      <c r="B26">
        <v>3.9E-2</v>
      </c>
      <c r="C26" s="80">
        <f t="shared" si="0"/>
        <v>25.641025641025642</v>
      </c>
    </row>
    <row r="27" spans="2:4" x14ac:dyDescent="0.25">
      <c r="B27">
        <v>6.7000000000000004E-2</v>
      </c>
      <c r="C27" s="80">
        <f t="shared" si="0"/>
        <v>14.925373134328357</v>
      </c>
    </row>
  </sheetData>
  <mergeCells count="2">
    <mergeCell ref="F3:H3"/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5"/>
  <sheetViews>
    <sheetView zoomScale="85" zoomScaleNormal="85" workbookViewId="0">
      <selection activeCell="C4" sqref="C4:D4"/>
    </sheetView>
  </sheetViews>
  <sheetFormatPr defaultRowHeight="15" x14ac:dyDescent="0.25"/>
  <cols>
    <col min="1" max="1" width="2.85546875" customWidth="1"/>
    <col min="2" max="2" width="35.7109375" bestFit="1" customWidth="1"/>
    <col min="4" max="4" width="14.85546875" customWidth="1"/>
    <col min="5" max="5" width="14.85546875" bestFit="1" customWidth="1"/>
    <col min="8" max="8" width="35.7109375" bestFit="1" customWidth="1"/>
    <col min="10" max="10" width="11" bestFit="1" customWidth="1"/>
    <col min="12" max="12" width="20" customWidth="1"/>
    <col min="14" max="14" width="12" bestFit="1" customWidth="1"/>
    <col min="17" max="17" width="32.28515625" bestFit="1" customWidth="1"/>
    <col min="18" max="18" width="12.85546875" bestFit="1" customWidth="1"/>
    <col min="19" max="19" width="13.7109375" bestFit="1" customWidth="1"/>
  </cols>
  <sheetData>
    <row r="1" spans="2:23" ht="23.25" x14ac:dyDescent="0.25">
      <c r="B1" s="325" t="s">
        <v>312</v>
      </c>
      <c r="C1" s="325"/>
      <c r="D1" s="325"/>
      <c r="E1" s="325"/>
      <c r="F1" s="325"/>
      <c r="G1" s="325"/>
    </row>
    <row r="2" spans="2:23" ht="18.75" x14ac:dyDescent="0.3">
      <c r="B2" s="101" t="s">
        <v>80</v>
      </c>
      <c r="C2" s="327" t="s">
        <v>77</v>
      </c>
      <c r="D2" s="327"/>
      <c r="E2" s="327"/>
      <c r="F2" s="327"/>
      <c r="G2" s="38"/>
      <c r="L2" t="s">
        <v>338</v>
      </c>
    </row>
    <row r="3" spans="2:23" ht="18.75" x14ac:dyDescent="0.3">
      <c r="B3" s="101" t="s">
        <v>78</v>
      </c>
      <c r="C3" s="327" t="s">
        <v>79</v>
      </c>
      <c r="D3" s="327"/>
      <c r="E3" s="327"/>
      <c r="F3" s="327"/>
      <c r="G3" s="38"/>
      <c r="H3" s="30" t="s">
        <v>54</v>
      </c>
      <c r="I3" s="34">
        <f>1/40</f>
        <v>2.5000000000000001E-2</v>
      </c>
      <c r="L3" t="s">
        <v>340</v>
      </c>
      <c r="M3" t="s">
        <v>339</v>
      </c>
    </row>
    <row r="4" spans="2:23" ht="18.75" x14ac:dyDescent="0.3">
      <c r="B4" s="101" t="s">
        <v>146</v>
      </c>
      <c r="C4" s="327">
        <v>0.8</v>
      </c>
      <c r="D4" s="327"/>
      <c r="E4" s="1"/>
      <c r="F4" s="138"/>
      <c r="G4" s="38"/>
      <c r="L4" t="s">
        <v>341</v>
      </c>
    </row>
    <row r="5" spans="2:23" ht="18.75" x14ac:dyDescent="0.3">
      <c r="B5" s="38"/>
      <c r="C5" s="38"/>
      <c r="D5" s="38"/>
      <c r="F5" s="38"/>
      <c r="G5" s="38"/>
      <c r="O5" s="348" t="s">
        <v>430</v>
      </c>
      <c r="P5" s="348"/>
      <c r="Q5" s="348"/>
      <c r="R5" s="348"/>
      <c r="S5" s="348"/>
      <c r="T5" s="348"/>
      <c r="U5" s="348"/>
      <c r="V5" s="348"/>
      <c r="W5" s="348"/>
    </row>
    <row r="6" spans="2:23" ht="18.75" x14ac:dyDescent="0.25">
      <c r="B6" s="348" t="s">
        <v>242</v>
      </c>
      <c r="C6" s="348"/>
      <c r="D6" s="348"/>
      <c r="E6" s="348"/>
      <c r="F6" s="348"/>
      <c r="G6" s="348"/>
      <c r="H6" s="348"/>
      <c r="I6" s="348"/>
      <c r="J6" s="348"/>
    </row>
    <row r="7" spans="2:23" ht="15.75" x14ac:dyDescent="0.25">
      <c r="B7" s="347" t="s">
        <v>243</v>
      </c>
      <c r="C7" s="347"/>
      <c r="D7" s="347"/>
      <c r="E7" s="347"/>
      <c r="F7" s="347"/>
      <c r="G7" s="347"/>
      <c r="H7" s="347"/>
      <c r="I7" s="347"/>
      <c r="J7" s="347"/>
      <c r="Q7" s="20"/>
      <c r="R7" s="20"/>
    </row>
    <row r="8" spans="2:23" ht="15" customHeight="1" x14ac:dyDescent="0.25">
      <c r="B8" s="1"/>
      <c r="C8" s="349" t="s">
        <v>227</v>
      </c>
      <c r="D8" s="349"/>
      <c r="E8" s="349" t="s">
        <v>228</v>
      </c>
      <c r="F8" s="349"/>
      <c r="G8" s="349" t="s">
        <v>229</v>
      </c>
      <c r="H8" s="349"/>
      <c r="I8" s="350" t="s">
        <v>230</v>
      </c>
      <c r="J8" s="350"/>
      <c r="L8" s="355" t="s">
        <v>249</v>
      </c>
      <c r="M8" s="355"/>
      <c r="Q8" s="1"/>
      <c r="R8" s="1"/>
    </row>
    <row r="9" spans="2:23" ht="30" x14ac:dyDescent="0.25">
      <c r="B9" s="1" t="s">
        <v>231</v>
      </c>
      <c r="C9" s="1" t="s">
        <v>214</v>
      </c>
      <c r="D9" s="1" t="s">
        <v>215</v>
      </c>
      <c r="E9" s="1" t="s">
        <v>214</v>
      </c>
      <c r="F9" s="1" t="s">
        <v>215</v>
      </c>
      <c r="G9" s="1" t="s">
        <v>214</v>
      </c>
      <c r="H9" s="1" t="s">
        <v>215</v>
      </c>
      <c r="I9" s="132" t="s">
        <v>214</v>
      </c>
      <c r="J9" s="132" t="s">
        <v>215</v>
      </c>
      <c r="L9" s="129" t="s">
        <v>232</v>
      </c>
      <c r="M9" s="1">
        <v>46.4</v>
      </c>
      <c r="Q9" s="1"/>
      <c r="R9" s="1"/>
    </row>
    <row r="10" spans="2:23" x14ac:dyDescent="0.25">
      <c r="B10" s="1" t="s">
        <v>437</v>
      </c>
      <c r="C10" s="133">
        <f>8.99-M12</f>
        <v>-8.01</v>
      </c>
      <c r="D10" s="1">
        <f>-14.87+1.01</f>
        <v>-13.86</v>
      </c>
      <c r="E10" s="1"/>
      <c r="F10" s="1">
        <f>-14.87+1.01</f>
        <v>-13.86</v>
      </c>
      <c r="G10" s="133">
        <f>9.04-M12</f>
        <v>-7.9600000000000009</v>
      </c>
      <c r="H10" s="1">
        <f>-14.87+1</f>
        <v>-13.87</v>
      </c>
      <c r="I10" s="132">
        <v>-8.01</v>
      </c>
      <c r="J10" s="132">
        <v>-13.86</v>
      </c>
      <c r="L10" s="1" t="s">
        <v>233</v>
      </c>
      <c r="M10" s="1">
        <v>29.74</v>
      </c>
      <c r="R10" s="1"/>
    </row>
    <row r="11" spans="2:23" x14ac:dyDescent="0.25">
      <c r="B11" s="1" t="s">
        <v>436</v>
      </c>
      <c r="C11" s="1">
        <f>32.97-M12</f>
        <v>15.969999999999999</v>
      </c>
      <c r="D11" s="1">
        <f>14.84-M13</f>
        <v>-2.9999999999999361E-2</v>
      </c>
      <c r="E11" s="1">
        <f>32.96-M12</f>
        <v>15.96</v>
      </c>
      <c r="F11" s="133">
        <f>14.95-M13</f>
        <v>8.0000000000000071E-2</v>
      </c>
      <c r="G11" s="1">
        <f>32.95-M12</f>
        <v>15.950000000000003</v>
      </c>
      <c r="H11" s="1">
        <f>14.84-M13</f>
        <v>-2.9999999999999361E-2</v>
      </c>
      <c r="I11" s="132">
        <v>15.96</v>
      </c>
      <c r="J11" s="132">
        <v>-0.03</v>
      </c>
      <c r="L11" s="1" t="s">
        <v>241</v>
      </c>
      <c r="M11" s="1" t="s">
        <v>234</v>
      </c>
      <c r="Q11" s="1"/>
      <c r="R11" s="1"/>
    </row>
    <row r="12" spans="2:23" x14ac:dyDescent="0.25">
      <c r="B12" s="1" t="s">
        <v>438</v>
      </c>
      <c r="C12" s="133">
        <f>9.03 -M12</f>
        <v>-7.9700000000000006</v>
      </c>
      <c r="D12" s="1">
        <f>(14.87-1.01)</f>
        <v>13.86</v>
      </c>
      <c r="E12" s="133">
        <f>9 -M12</f>
        <v>-8</v>
      </c>
      <c r="F12" s="1">
        <f>(14.87-1.02)</f>
        <v>13.85</v>
      </c>
      <c r="G12" s="133">
        <f>8.98 -M12</f>
        <v>-8.02</v>
      </c>
      <c r="H12" s="1">
        <f>(14.87-1.02)</f>
        <v>13.85</v>
      </c>
      <c r="I12" s="132">
        <v>-7.97</v>
      </c>
      <c r="J12" s="132">
        <v>13.85</v>
      </c>
      <c r="L12" s="1" t="s">
        <v>235</v>
      </c>
      <c r="M12" s="1">
        <v>17</v>
      </c>
      <c r="Q12" s="1"/>
      <c r="R12" s="1"/>
    </row>
    <row r="13" spans="2:23" x14ac:dyDescent="0.25">
      <c r="L13" s="1" t="s">
        <v>236</v>
      </c>
      <c r="M13" s="1">
        <v>14.87</v>
      </c>
      <c r="Q13" s="1"/>
      <c r="R13" s="1"/>
    </row>
    <row r="14" spans="2:23" ht="15.75" x14ac:dyDescent="0.25">
      <c r="B14" s="347" t="s">
        <v>244</v>
      </c>
      <c r="C14" s="347"/>
      <c r="D14" s="347"/>
      <c r="E14" s="347"/>
      <c r="F14" s="347"/>
      <c r="G14" s="347"/>
      <c r="H14" s="347"/>
      <c r="I14" s="347"/>
      <c r="J14" s="347"/>
      <c r="Q14" s="1"/>
      <c r="R14" s="1"/>
    </row>
    <row r="15" spans="2:23" x14ac:dyDescent="0.25">
      <c r="B15" s="1" t="s">
        <v>231</v>
      </c>
      <c r="C15" s="1" t="s">
        <v>214</v>
      </c>
      <c r="D15" s="1" t="s">
        <v>215</v>
      </c>
      <c r="E15" s="135" t="s">
        <v>246</v>
      </c>
      <c r="F15" s="131"/>
      <c r="G15" s="130"/>
      <c r="H15" s="131"/>
      <c r="I15" s="136"/>
      <c r="J15" s="137"/>
      <c r="Q15" s="1"/>
      <c r="R15" s="36"/>
    </row>
    <row r="16" spans="2:23" x14ac:dyDescent="0.25">
      <c r="B16" s="1" t="s">
        <v>237</v>
      </c>
      <c r="C16" s="133">
        <f>16.93-M12</f>
        <v>-7.0000000000000284E-2</v>
      </c>
      <c r="D16" s="1">
        <v>-0.01</v>
      </c>
      <c r="E16" s="1">
        <v>2.2799999999999998</v>
      </c>
      <c r="F16" s="134"/>
      <c r="G16" s="127"/>
      <c r="H16" s="127"/>
      <c r="I16" s="128"/>
      <c r="J16" s="128"/>
      <c r="Q16" s="1"/>
      <c r="R16" s="1"/>
    </row>
    <row r="17" spans="2:23" x14ac:dyDescent="0.25">
      <c r="B17" s="1" t="s">
        <v>238</v>
      </c>
      <c r="C17" s="133">
        <f>16.95-M12</f>
        <v>-5.0000000000000711E-2</v>
      </c>
      <c r="D17" s="1">
        <v>-0.02</v>
      </c>
      <c r="E17" s="1"/>
      <c r="F17" s="134"/>
      <c r="G17" s="127"/>
      <c r="H17" s="127"/>
      <c r="I17" s="128"/>
      <c r="J17" s="128"/>
    </row>
    <row r="18" spans="2:23" x14ac:dyDescent="0.25">
      <c r="B18" s="1" t="s">
        <v>239</v>
      </c>
      <c r="C18" s="133">
        <f>16.95-M12</f>
        <v>-5.0000000000000711E-2</v>
      </c>
      <c r="D18" s="1">
        <v>-0.03</v>
      </c>
      <c r="E18" s="1">
        <f>2.285</f>
        <v>2.2850000000000001</v>
      </c>
      <c r="F18" s="134"/>
      <c r="G18" s="127"/>
      <c r="H18" s="127"/>
      <c r="I18" s="128"/>
      <c r="J18" s="128"/>
      <c r="L18">
        <v>13.86</v>
      </c>
      <c r="M18">
        <f>L18*40</f>
        <v>554.4</v>
      </c>
    </row>
    <row r="19" spans="2:23" x14ac:dyDescent="0.25">
      <c r="B19" s="132" t="s">
        <v>240</v>
      </c>
      <c r="C19" s="132">
        <v>-0.05</v>
      </c>
      <c r="D19" s="132">
        <v>-0.02</v>
      </c>
      <c r="E19" s="30">
        <f>2.285</f>
        <v>2.2850000000000001</v>
      </c>
      <c r="F19" s="134"/>
      <c r="G19" s="127"/>
      <c r="H19" s="127"/>
      <c r="I19" s="128"/>
      <c r="J19" s="128"/>
      <c r="L19">
        <v>8.01</v>
      </c>
      <c r="M19">
        <f>L19*40</f>
        <v>320.39999999999998</v>
      </c>
    </row>
    <row r="20" spans="2:23" ht="19.5" thickBot="1" x14ac:dyDescent="0.3">
      <c r="B20" s="64"/>
      <c r="M20">
        <f>7.97*40</f>
        <v>318.8</v>
      </c>
      <c r="O20" s="348" t="s">
        <v>431</v>
      </c>
      <c r="P20" s="348"/>
      <c r="Q20" s="348"/>
      <c r="R20" s="348"/>
      <c r="S20" s="348"/>
      <c r="T20" s="348"/>
      <c r="U20" s="348"/>
      <c r="V20" s="348"/>
      <c r="W20" s="348"/>
    </row>
    <row r="21" spans="2:23" ht="19.5" thickBot="1" x14ac:dyDescent="0.3">
      <c r="B21" s="348" t="s">
        <v>247</v>
      </c>
      <c r="C21" s="348"/>
      <c r="D21" s="348"/>
      <c r="E21" s="348"/>
      <c r="F21" s="348"/>
      <c r="G21" s="348"/>
      <c r="H21" s="348"/>
      <c r="I21" s="348"/>
      <c r="J21" s="348"/>
      <c r="M21">
        <f>-0.03*40</f>
        <v>-1.2</v>
      </c>
      <c r="R21" s="353" t="s">
        <v>357</v>
      </c>
      <c r="S21" s="354"/>
      <c r="T21" s="353" t="s">
        <v>358</v>
      </c>
      <c r="U21" s="354"/>
    </row>
    <row r="22" spans="2:23" ht="18.75" x14ac:dyDescent="0.3">
      <c r="B22" s="356" t="s">
        <v>272</v>
      </c>
      <c r="C22" s="357"/>
      <c r="D22" s="357"/>
      <c r="E22" s="357"/>
      <c r="F22" s="357"/>
      <c r="G22" s="357"/>
      <c r="H22" s="357"/>
      <c r="I22" s="357"/>
      <c r="J22" s="357"/>
      <c r="K22" s="358"/>
      <c r="Q22" s="216"/>
      <c r="R22" s="217" t="s">
        <v>343</v>
      </c>
      <c r="S22" s="218" t="s">
        <v>344</v>
      </c>
      <c r="T22" s="218" t="s">
        <v>343</v>
      </c>
      <c r="U22" s="218" t="s">
        <v>344</v>
      </c>
    </row>
    <row r="23" spans="2:23" ht="18.75" thickBot="1" x14ac:dyDescent="0.3">
      <c r="B23" s="341" t="s">
        <v>273</v>
      </c>
      <c r="C23" s="341"/>
      <c r="D23" s="341"/>
      <c r="E23" s="341"/>
      <c r="F23" s="141"/>
      <c r="G23" s="142"/>
      <c r="H23" s="341" t="s">
        <v>274</v>
      </c>
      <c r="I23" s="341"/>
      <c r="J23" s="341"/>
      <c r="K23" s="341"/>
      <c r="Q23" s="225" t="s">
        <v>439</v>
      </c>
      <c r="R23" s="226" t="s">
        <v>443</v>
      </c>
      <c r="S23" s="226" t="s">
        <v>478</v>
      </c>
      <c r="T23" s="232">
        <v>1.4999999999999999E-2</v>
      </c>
      <c r="U23" s="226">
        <f t="shared" ref="U23:U25" si="0">T23/$I$3</f>
        <v>0.6</v>
      </c>
    </row>
    <row r="24" spans="2:23" ht="18.75" thickBot="1" x14ac:dyDescent="0.3">
      <c r="B24" s="20" t="s">
        <v>275</v>
      </c>
      <c r="C24" s="20"/>
      <c r="D24" s="1" t="s">
        <v>2</v>
      </c>
      <c r="G24" s="143"/>
      <c r="H24" s="20" t="str">
        <f>B24</f>
        <v>Dimensions</v>
      </c>
      <c r="I24" s="20"/>
      <c r="Q24" s="225" t="s">
        <v>440</v>
      </c>
      <c r="R24" s="226" t="s">
        <v>444</v>
      </c>
      <c r="S24" s="226" t="s">
        <v>479</v>
      </c>
      <c r="T24" s="232">
        <v>1.4999999999999999E-2</v>
      </c>
      <c r="U24" s="226">
        <f t="shared" si="0"/>
        <v>0.6</v>
      </c>
    </row>
    <row r="25" spans="2:23" ht="18.75" thickBot="1" x14ac:dyDescent="0.3">
      <c r="B25" s="1" t="s">
        <v>276</v>
      </c>
      <c r="C25" s="1">
        <v>1.2</v>
      </c>
      <c r="D25" s="32" t="s">
        <v>277</v>
      </c>
      <c r="G25" s="143"/>
      <c r="H25" s="63" t="str">
        <f>B25</f>
        <v>Bridle length [m]</v>
      </c>
      <c r="I25" s="1">
        <f>C25*40</f>
        <v>48</v>
      </c>
      <c r="Q25" s="225" t="s">
        <v>441</v>
      </c>
      <c r="R25" s="226" t="s">
        <v>445</v>
      </c>
      <c r="S25" s="226" t="s">
        <v>480</v>
      </c>
      <c r="T25" s="232">
        <v>1.4999999999999999E-2</v>
      </c>
      <c r="U25" s="226">
        <f t="shared" si="0"/>
        <v>0.6</v>
      </c>
    </row>
    <row r="26" spans="2:23" ht="18.75" thickBot="1" x14ac:dyDescent="0.3">
      <c r="B26" s="1" t="s">
        <v>332</v>
      </c>
      <c r="C26" s="1">
        <f>15.72+0.24</f>
        <v>15.96</v>
      </c>
      <c r="D26" s="32" t="s">
        <v>277</v>
      </c>
      <c r="G26" s="143"/>
      <c r="H26" s="63" t="str">
        <f>B26</f>
        <v>Mean bottom chain length [m]</v>
      </c>
      <c r="I26" s="1">
        <f>C26*40</f>
        <v>638.40000000000009</v>
      </c>
      <c r="M26" t="s">
        <v>308</v>
      </c>
      <c r="Q26" s="228" t="s">
        <v>442</v>
      </c>
      <c r="R26" s="231">
        <v>5</v>
      </c>
      <c r="S26" s="226">
        <f t="shared" ref="S26:S29" si="1">R26/$I$3</f>
        <v>200</v>
      </c>
      <c r="T26" s="232">
        <v>0.01</v>
      </c>
      <c r="U26" s="226">
        <f t="shared" ref="U26:U30" si="2">T26/$I$3</f>
        <v>0.39999999999999997</v>
      </c>
    </row>
    <row r="27" spans="2:23" ht="18.75" thickBot="1" x14ac:dyDescent="0.3">
      <c r="C27" s="1" t="s">
        <v>336</v>
      </c>
      <c r="D27" s="1" t="s">
        <v>335</v>
      </c>
      <c r="E27" s="32" t="s">
        <v>337</v>
      </c>
      <c r="G27" s="143"/>
      <c r="H27" s="63"/>
      <c r="I27" s="63" t="str">
        <f t="shared" ref="H27:K28" si="3">C27</f>
        <v>Line 1 - AV G</v>
      </c>
      <c r="J27" s="63" t="str">
        <f t="shared" si="3"/>
        <v>Line 2 -AR</v>
      </c>
      <c r="K27" s="63" t="str">
        <f t="shared" si="3"/>
        <v>Line 3 - AV D</v>
      </c>
      <c r="M27" t="s">
        <v>309</v>
      </c>
      <c r="N27" s="82">
        <f>150000000000</f>
        <v>150000000000</v>
      </c>
      <c r="O27" s="82">
        <f>150000000000</f>
        <v>150000000000</v>
      </c>
      <c r="Q27" s="228" t="s">
        <v>433</v>
      </c>
      <c r="R27" s="226">
        <v>15.69</v>
      </c>
      <c r="S27" s="226">
        <f t="shared" si="1"/>
        <v>627.59999999999991</v>
      </c>
      <c r="T27" s="233">
        <v>0.01</v>
      </c>
      <c r="U27" s="226">
        <f t="shared" si="2"/>
        <v>0.39999999999999997</v>
      </c>
    </row>
    <row r="28" spans="2:23" ht="18.75" thickBot="1" x14ac:dyDescent="0.3">
      <c r="B28" s="1" t="s">
        <v>278</v>
      </c>
      <c r="C28" s="1">
        <f>15.72+0.24</f>
        <v>15.96</v>
      </c>
      <c r="D28" s="1">
        <f>15.69+0.24</f>
        <v>15.93</v>
      </c>
      <c r="E28" s="1">
        <f>15.74+0.24</f>
        <v>15.98</v>
      </c>
      <c r="G28" s="143"/>
      <c r="H28" s="63" t="str">
        <f t="shared" si="3"/>
        <v>Bottom chain length [m]</v>
      </c>
      <c r="I28" s="1">
        <f>C28/scale</f>
        <v>638.4</v>
      </c>
      <c r="J28" s="1">
        <f>D28/scale</f>
        <v>637.19999999999993</v>
      </c>
      <c r="K28" s="1">
        <f>E28/scale</f>
        <v>639.19999999999993</v>
      </c>
      <c r="M28" t="s">
        <v>310</v>
      </c>
      <c r="N28" s="82">
        <v>3.7</v>
      </c>
      <c r="O28">
        <v>148</v>
      </c>
      <c r="Q28" s="228" t="s">
        <v>434</v>
      </c>
      <c r="R28" s="226">
        <v>15.74</v>
      </c>
      <c r="S28" s="226">
        <f t="shared" si="1"/>
        <v>629.6</v>
      </c>
      <c r="T28" s="233">
        <v>0.01</v>
      </c>
      <c r="U28" s="226">
        <f t="shared" si="2"/>
        <v>0.39999999999999997</v>
      </c>
    </row>
    <row r="29" spans="2:23" ht="18.75" thickBot="1" x14ac:dyDescent="0.3">
      <c r="B29" s="1" t="s">
        <v>279</v>
      </c>
      <c r="C29" s="1">
        <v>3.7000000000000002E-3</v>
      </c>
      <c r="D29" s="32" t="s">
        <v>277</v>
      </c>
      <c r="G29" s="143"/>
      <c r="H29" s="1" t="str">
        <f>B29</f>
        <v>Diam Bar [m]</v>
      </c>
      <c r="I29" s="1">
        <f>C29*40</f>
        <v>0.14800000000000002</v>
      </c>
      <c r="J29" s="145"/>
      <c r="M29" t="s">
        <v>311</v>
      </c>
      <c r="N29" s="82">
        <f>2*PI()*(N28/2/1000)^2</f>
        <v>2.1504201713822135E-5</v>
      </c>
      <c r="O29" s="82">
        <f>2*PI()*(O28/2/1000)^2</f>
        <v>3.4406722742115411E-2</v>
      </c>
      <c r="Q29" s="228" t="s">
        <v>435</v>
      </c>
      <c r="R29" s="226">
        <v>15.72</v>
      </c>
      <c r="S29" s="226">
        <f t="shared" si="1"/>
        <v>628.79999999999995</v>
      </c>
      <c r="T29" s="233">
        <v>0.01</v>
      </c>
      <c r="U29" s="226">
        <f t="shared" si="2"/>
        <v>0.39999999999999997</v>
      </c>
    </row>
    <row r="30" spans="2:23" ht="18.75" thickBot="1" x14ac:dyDescent="0.3">
      <c r="B30" s="1" t="s">
        <v>280</v>
      </c>
      <c r="C30" s="1">
        <f>C29*1.8</f>
        <v>6.6600000000000001E-3</v>
      </c>
      <c r="D30" s="1" t="s">
        <v>277</v>
      </c>
      <c r="G30" s="143"/>
      <c r="H30" s="1" t="str">
        <f>B30</f>
        <v>Diam equivalent [m]</v>
      </c>
      <c r="I30" s="1">
        <f>C30*40</f>
        <v>0.26640000000000003</v>
      </c>
      <c r="M30" t="s">
        <v>282</v>
      </c>
      <c r="N30" s="36">
        <f>N27*N29</f>
        <v>3225630.2570733204</v>
      </c>
      <c r="O30" s="36">
        <f>O27*O29</f>
        <v>5161008411.3173113</v>
      </c>
      <c r="Q30" s="225" t="s">
        <v>455</v>
      </c>
      <c r="R30" s="226">
        <v>3.7</v>
      </c>
      <c r="S30" s="226">
        <f>R30/$I$3</f>
        <v>148</v>
      </c>
      <c r="T30" s="226">
        <v>0.05</v>
      </c>
      <c r="U30" s="226">
        <f t="shared" si="2"/>
        <v>2</v>
      </c>
    </row>
    <row r="31" spans="2:23" ht="18.75" thickBot="1" x14ac:dyDescent="0.3">
      <c r="B31" s="1" t="s">
        <v>281</v>
      </c>
      <c r="C31" s="1">
        <v>0.27400000000000002</v>
      </c>
      <c r="D31" s="32" t="s">
        <v>277</v>
      </c>
      <c r="G31" s="143"/>
      <c r="H31" s="1" t="str">
        <f>B31</f>
        <v>Mass lin air [kg/m]</v>
      </c>
      <c r="I31" s="2">
        <f>C31/(scale^2)</f>
        <v>438.4</v>
      </c>
      <c r="Q31" s="237" t="s">
        <v>456</v>
      </c>
      <c r="R31" s="235">
        <v>0.23699999999999999</v>
      </c>
      <c r="S31" s="235">
        <f>R31/$I$3^2</f>
        <v>379.19999999999993</v>
      </c>
      <c r="T31" s="239">
        <v>1E-3</v>
      </c>
      <c r="U31" s="235">
        <f>T31/$I$3^2</f>
        <v>1.5999999999999996</v>
      </c>
    </row>
    <row r="32" spans="2:23" ht="16.5" customHeight="1" x14ac:dyDescent="0.25">
      <c r="B32" s="1" t="s">
        <v>282</v>
      </c>
      <c r="C32" s="36">
        <f>87500000000*C29^2</f>
        <v>1197875</v>
      </c>
      <c r="D32" s="1" t="s">
        <v>307</v>
      </c>
      <c r="G32" s="143"/>
      <c r="H32" s="1" t="str">
        <f>B32</f>
        <v>EA [N]</v>
      </c>
      <c r="I32" s="36">
        <f>C32/(scale^3)</f>
        <v>76663999999.999985</v>
      </c>
      <c r="J32" s="36">
        <f>87500000000*I29^2</f>
        <v>1916600000.0000005</v>
      </c>
      <c r="K32" t="s">
        <v>333</v>
      </c>
      <c r="Q32" s="238" t="s">
        <v>457</v>
      </c>
      <c r="R32" s="235">
        <v>0.27500000000000002</v>
      </c>
      <c r="S32" s="235">
        <f>R32/$I$3^2</f>
        <v>439.99999999999994</v>
      </c>
      <c r="T32" s="239">
        <v>1E-3</v>
      </c>
      <c r="U32" s="235">
        <f>T32/$I$3^2</f>
        <v>1.5999999999999996</v>
      </c>
    </row>
    <row r="33" spans="2:21" ht="18.75" thickBot="1" x14ac:dyDescent="0.3">
      <c r="B33" s="1" t="s">
        <v>283</v>
      </c>
      <c r="C33" s="1">
        <v>0.23699999999999999</v>
      </c>
      <c r="G33" s="143"/>
      <c r="H33" s="1" t="str">
        <f>B33</f>
        <v>Mass lin water [kg/m]</v>
      </c>
      <c r="I33" s="2">
        <f>C33/(scale^2)</f>
        <v>379.19999999999993</v>
      </c>
      <c r="Q33" s="228" t="s">
        <v>453</v>
      </c>
      <c r="R33" s="212">
        <v>0.43</v>
      </c>
      <c r="S33" s="236">
        <f>R33/$I$3^3</f>
        <v>27519.999999999993</v>
      </c>
      <c r="T33" s="226">
        <v>0.02</v>
      </c>
      <c r="U33" s="226">
        <f>T33/$I$3^3</f>
        <v>1279.9999999999998</v>
      </c>
    </row>
    <row r="34" spans="2:21" ht="18.75" thickBot="1" x14ac:dyDescent="0.3">
      <c r="B34" s="339" t="s">
        <v>284</v>
      </c>
      <c r="C34" s="342"/>
      <c r="G34" s="143"/>
      <c r="H34" s="339" t="s">
        <v>284</v>
      </c>
      <c r="I34" s="342"/>
      <c r="Q34" s="227" t="s">
        <v>454</v>
      </c>
      <c r="R34" s="212">
        <f>0.235</f>
        <v>0.23499999999999999</v>
      </c>
      <c r="S34" s="226">
        <f t="shared" ref="S34" si="4">R34/$I$3</f>
        <v>9.3999999999999986</v>
      </c>
      <c r="T34" s="226">
        <v>5.0000000000000001E-3</v>
      </c>
      <c r="U34" s="226">
        <f t="shared" ref="U34:U37" si="5">T34/$I$3</f>
        <v>0.19999999999999998</v>
      </c>
    </row>
    <row r="35" spans="2:21" ht="18.75" thickBot="1" x14ac:dyDescent="0.3">
      <c r="B35" s="1" t="s">
        <v>285</v>
      </c>
      <c r="C35" s="1">
        <v>0.43</v>
      </c>
      <c r="G35" s="143"/>
      <c r="H35" s="1" t="str">
        <f>B35</f>
        <v>Mass in water [kg]</v>
      </c>
      <c r="I35" s="36">
        <f>C35/(scale^3)</f>
        <v>27519.999999999993</v>
      </c>
      <c r="Q35" s="227" t="s">
        <v>432</v>
      </c>
      <c r="R35" s="234">
        <v>1.2</v>
      </c>
      <c r="S35" s="230">
        <f>R35/$I$3</f>
        <v>47.999999999999993</v>
      </c>
      <c r="T35" s="226">
        <v>0.01</v>
      </c>
      <c r="U35" s="226">
        <f t="shared" si="5"/>
        <v>0.39999999999999997</v>
      </c>
    </row>
    <row r="36" spans="2:21" ht="18.75" thickBot="1" x14ac:dyDescent="0.3">
      <c r="B36" s="1" t="s">
        <v>286</v>
      </c>
      <c r="C36" s="1">
        <f>0.235</f>
        <v>0.23499999999999999</v>
      </c>
      <c r="G36" s="143"/>
      <c r="H36" s="1" t="str">
        <f>B36</f>
        <v>Length capteur d'ancrage [m]</v>
      </c>
      <c r="I36" s="3">
        <f>C36/(scale)</f>
        <v>9.3999999999999986</v>
      </c>
      <c r="Q36" s="225" t="s">
        <v>405</v>
      </c>
      <c r="R36" s="226">
        <v>-0.33500000000000002</v>
      </c>
      <c r="S36" s="226">
        <f>R36/$I$3</f>
        <v>-13.4</v>
      </c>
      <c r="T36" s="226">
        <v>5.0000000000000001E-3</v>
      </c>
      <c r="U36" s="226">
        <f t="shared" si="5"/>
        <v>0.19999999999999998</v>
      </c>
    </row>
    <row r="37" spans="2:21" ht="18.75" thickBot="1" x14ac:dyDescent="0.3">
      <c r="B37" s="1" t="s">
        <v>287</v>
      </c>
      <c r="C37" s="3">
        <v>1.84</v>
      </c>
      <c r="G37" s="143"/>
      <c r="H37" s="1" t="str">
        <f>B37</f>
        <v>Masse lin [kg/m] in water sensor</v>
      </c>
      <c r="I37" s="36">
        <f>C37/(scale^2)</f>
        <v>2943.9999999999995</v>
      </c>
      <c r="Q37" s="225" t="s">
        <v>404</v>
      </c>
      <c r="R37" s="226">
        <v>0.26100000000000001</v>
      </c>
      <c r="S37" s="230">
        <f>R37/$I$3</f>
        <v>10.44</v>
      </c>
      <c r="T37" s="226">
        <v>5.0000000000000001E-3</v>
      </c>
      <c r="U37" s="226">
        <f t="shared" si="5"/>
        <v>0.19999999999999998</v>
      </c>
    </row>
    <row r="38" spans="2:21" ht="18.75" thickBot="1" x14ac:dyDescent="0.3">
      <c r="B38" s="17" t="s">
        <v>288</v>
      </c>
      <c r="C38" s="3">
        <f>C36*C33</f>
        <v>5.5694999999999995E-2</v>
      </c>
      <c r="G38" s="143"/>
      <c r="H38" s="49" t="str">
        <f>B38</f>
        <v>Mass of bottom chain to withdraw [kg]</v>
      </c>
      <c r="I38" s="36">
        <f>C38/(scale^3)</f>
        <v>3564.4799999999987</v>
      </c>
      <c r="R38" s="223"/>
      <c r="S38" s="223"/>
      <c r="T38" s="223"/>
      <c r="U38" s="224"/>
    </row>
    <row r="39" spans="2:21" ht="15.75" thickBot="1" x14ac:dyDescent="0.3">
      <c r="B39" s="17" t="s">
        <v>289</v>
      </c>
      <c r="C39" s="146">
        <f>C35-C38</f>
        <v>0.374305</v>
      </c>
      <c r="G39" s="143"/>
      <c r="H39" s="17" t="str">
        <f>B39</f>
        <v>Mass in water - chain to withdraw</v>
      </c>
      <c r="I39" s="147">
        <f>C39/(scale^3)</f>
        <v>23955.519999999993</v>
      </c>
      <c r="Q39" s="219"/>
      <c r="R39" s="221"/>
      <c r="S39" s="220"/>
      <c r="T39" s="220"/>
      <c r="U39" s="220"/>
    </row>
    <row r="40" spans="2:21" ht="15.75" thickBot="1" x14ac:dyDescent="0.3">
      <c r="G40" s="143"/>
      <c r="Q40" s="219"/>
      <c r="R40" s="221"/>
      <c r="S40" s="220"/>
      <c r="T40" s="221"/>
      <c r="U40" s="220"/>
    </row>
    <row r="41" spans="2:21" ht="15.75" thickBot="1" x14ac:dyDescent="0.3">
      <c r="B41" t="s">
        <v>290</v>
      </c>
      <c r="C41" t="s">
        <v>291</v>
      </c>
      <c r="D41" t="s">
        <v>292</v>
      </c>
      <c r="E41" t="s">
        <v>293</v>
      </c>
      <c r="G41" s="143"/>
      <c r="H41" t="str">
        <f>B41</f>
        <v>orientation</v>
      </c>
      <c r="I41" t="str">
        <f t="shared" ref="I41:K42" si="6">C41</f>
        <v xml:space="preserve">Line 1 </v>
      </c>
      <c r="J41" t="str">
        <f t="shared" si="6"/>
        <v>Line 2</v>
      </c>
      <c r="K41" t="str">
        <f t="shared" si="6"/>
        <v>Line 3</v>
      </c>
      <c r="R41" s="221"/>
      <c r="S41" s="220"/>
      <c r="T41" s="221"/>
      <c r="U41" s="220"/>
    </row>
    <row r="42" spans="2:21" ht="15.75" thickBot="1" x14ac:dyDescent="0.3">
      <c r="C42">
        <v>0</v>
      </c>
      <c r="D42">
        <v>120</v>
      </c>
      <c r="E42">
        <v>-120</v>
      </c>
      <c r="G42" s="148"/>
      <c r="I42">
        <f t="shared" si="6"/>
        <v>0</v>
      </c>
      <c r="J42">
        <f t="shared" si="6"/>
        <v>120</v>
      </c>
      <c r="K42">
        <f t="shared" si="6"/>
        <v>-120</v>
      </c>
      <c r="R42" s="221"/>
      <c r="S42" s="220"/>
      <c r="T42" s="220"/>
      <c r="U42" s="220"/>
    </row>
    <row r="43" spans="2:21" ht="15.75" thickBot="1" x14ac:dyDescent="0.3">
      <c r="B43" t="s">
        <v>294</v>
      </c>
      <c r="F43" t="s">
        <v>2</v>
      </c>
      <c r="G43" s="149"/>
      <c r="H43" t="s">
        <v>294</v>
      </c>
      <c r="Q43" s="219"/>
      <c r="R43" s="221"/>
      <c r="S43" s="220"/>
      <c r="T43" s="220"/>
      <c r="U43" s="220"/>
    </row>
    <row r="44" spans="2:21" ht="15.75" thickBot="1" x14ac:dyDescent="0.3">
      <c r="B44" s="1" t="s">
        <v>295</v>
      </c>
      <c r="C44" s="1" t="s">
        <v>296</v>
      </c>
      <c r="D44" s="1" t="s">
        <v>297</v>
      </c>
      <c r="E44" s="1" t="s">
        <v>298</v>
      </c>
      <c r="F44" s="70"/>
      <c r="G44" s="149"/>
      <c r="H44" s="1" t="s">
        <v>295</v>
      </c>
      <c r="I44" s="1" t="s">
        <v>296</v>
      </c>
      <c r="J44" s="1" t="s">
        <v>297</v>
      </c>
      <c r="K44" s="1" t="s">
        <v>298</v>
      </c>
      <c r="Q44" s="219"/>
      <c r="R44" s="221"/>
      <c r="S44" s="220"/>
      <c r="T44" s="220"/>
      <c r="U44" s="220"/>
    </row>
    <row r="45" spans="2:21" ht="15.75" thickBot="1" x14ac:dyDescent="0.3">
      <c r="B45" s="1" t="s">
        <v>214</v>
      </c>
      <c r="C45" s="13">
        <v>0.13050000000000003</v>
      </c>
      <c r="D45" s="13">
        <v>-0.26100000000000001</v>
      </c>
      <c r="E45" s="13">
        <v>0.13050000000000003</v>
      </c>
      <c r="F45" s="150" t="s">
        <v>299</v>
      </c>
      <c r="G45" s="149"/>
      <c r="H45" s="1" t="s">
        <v>214</v>
      </c>
      <c r="I45" s="13">
        <f t="shared" ref="I45:K47" si="7">C45/scale</f>
        <v>5.2200000000000006</v>
      </c>
      <c r="J45" s="13">
        <f t="shared" si="7"/>
        <v>-10.44</v>
      </c>
      <c r="K45" s="13">
        <f t="shared" si="7"/>
        <v>5.2200000000000006</v>
      </c>
      <c r="Q45" s="219"/>
      <c r="R45" s="222"/>
      <c r="S45" s="220"/>
      <c r="T45" s="220"/>
      <c r="U45" s="220"/>
    </row>
    <row r="46" spans="2:21" ht="15.75" thickBot="1" x14ac:dyDescent="0.3">
      <c r="B46" s="1" t="s">
        <v>215</v>
      </c>
      <c r="C46" s="13">
        <v>0.22603263038773849</v>
      </c>
      <c r="D46" s="13">
        <v>3.1976374673114983E-17</v>
      </c>
      <c r="E46" s="13">
        <v>-0.22603263038773849</v>
      </c>
      <c r="F46" s="150" t="s">
        <v>299</v>
      </c>
      <c r="G46" s="143"/>
      <c r="H46" s="1" t="s">
        <v>215</v>
      </c>
      <c r="I46" s="13">
        <f t="shared" si="7"/>
        <v>9.0413052155095386</v>
      </c>
      <c r="J46" s="13">
        <f t="shared" si="7"/>
        <v>1.2790549869245992E-15</v>
      </c>
      <c r="K46" s="13">
        <f t="shared" si="7"/>
        <v>-9.0413052155095386</v>
      </c>
      <c r="Q46" s="219"/>
      <c r="R46" s="222"/>
      <c r="S46" s="220"/>
      <c r="T46" s="220"/>
      <c r="U46" s="220"/>
    </row>
    <row r="47" spans="2:21" x14ac:dyDescent="0.25">
      <c r="B47" s="1" t="s">
        <v>216</v>
      </c>
      <c r="C47" s="13">
        <f>-0.335 +($C$61-2.285)</f>
        <v>-0.33500000000000002</v>
      </c>
      <c r="D47" s="13">
        <f>-0.335 +($C$61-2.285)</f>
        <v>-0.33500000000000002</v>
      </c>
      <c r="E47" s="13">
        <f>-0.335 +($C$61-2.285)</f>
        <v>-0.33500000000000002</v>
      </c>
      <c r="F47" s="150" t="s">
        <v>306</v>
      </c>
      <c r="G47" s="148"/>
      <c r="H47" s="1" t="s">
        <v>216</v>
      </c>
      <c r="I47" s="13">
        <f t="shared" si="7"/>
        <v>-13.4</v>
      </c>
      <c r="J47" s="13">
        <f t="shared" si="7"/>
        <v>-13.4</v>
      </c>
      <c r="K47" s="13">
        <f t="shared" si="7"/>
        <v>-13.4</v>
      </c>
    </row>
    <row r="48" spans="2:21" x14ac:dyDescent="0.25">
      <c r="G48" s="148"/>
    </row>
    <row r="49" spans="2:11" x14ac:dyDescent="0.25">
      <c r="B49" s="1" t="s">
        <v>300</v>
      </c>
      <c r="C49" s="1" t="s">
        <v>301</v>
      </c>
      <c r="D49" s="1" t="s">
        <v>302</v>
      </c>
      <c r="E49" s="1" t="s">
        <v>303</v>
      </c>
      <c r="F49" s="70"/>
      <c r="G49" s="148"/>
      <c r="H49" s="1" t="s">
        <v>300</v>
      </c>
      <c r="I49" s="1" t="s">
        <v>301</v>
      </c>
      <c r="J49" s="1" t="s">
        <v>302</v>
      </c>
      <c r="K49" s="1" t="s">
        <v>303</v>
      </c>
    </row>
    <row r="50" spans="2:11" x14ac:dyDescent="0.25">
      <c r="B50" s="1" t="s">
        <v>214</v>
      </c>
      <c r="C50" s="1">
        <v>15.96</v>
      </c>
      <c r="D50" s="1">
        <v>-7.97</v>
      </c>
      <c r="E50" s="1">
        <v>-8.01</v>
      </c>
      <c r="F50" s="144" t="s">
        <v>277</v>
      </c>
      <c r="G50" s="148"/>
      <c r="H50" s="1" t="s">
        <v>214</v>
      </c>
      <c r="I50" s="13">
        <f t="shared" ref="I50:K52" si="8">C50/scale</f>
        <v>638.4</v>
      </c>
      <c r="J50" s="13">
        <f t="shared" si="8"/>
        <v>-318.79999999999995</v>
      </c>
      <c r="K50" s="13">
        <f t="shared" si="8"/>
        <v>-320.39999999999998</v>
      </c>
    </row>
    <row r="51" spans="2:11" x14ac:dyDescent="0.25">
      <c r="B51" s="1" t="s">
        <v>215</v>
      </c>
      <c r="C51" s="1">
        <v>-0.03</v>
      </c>
      <c r="D51" s="3">
        <v>13.85</v>
      </c>
      <c r="E51" s="3">
        <v>-13.86</v>
      </c>
      <c r="F51" s="144" t="s">
        <v>277</v>
      </c>
      <c r="G51" s="143"/>
      <c r="H51" s="1" t="s">
        <v>215</v>
      </c>
      <c r="I51" s="13">
        <f t="shared" si="8"/>
        <v>-1.2</v>
      </c>
      <c r="J51" s="13">
        <f t="shared" si="8"/>
        <v>554</v>
      </c>
      <c r="K51" s="13">
        <f t="shared" si="8"/>
        <v>-554.4</v>
      </c>
    </row>
    <row r="52" spans="2:11" x14ac:dyDescent="0.25">
      <c r="B52" s="1" t="s">
        <v>216</v>
      </c>
      <c r="C52" s="1">
        <f>-$C$60</f>
        <v>-5</v>
      </c>
      <c r="D52" s="1">
        <f>-$C$60</f>
        <v>-5</v>
      </c>
      <c r="E52" s="1">
        <f>-$C$60</f>
        <v>-5</v>
      </c>
      <c r="F52" s="144" t="s">
        <v>277</v>
      </c>
      <c r="G52" s="143"/>
      <c r="H52" s="1" t="s">
        <v>216</v>
      </c>
      <c r="I52" s="13">
        <f t="shared" si="8"/>
        <v>-200</v>
      </c>
      <c r="J52" s="13">
        <f t="shared" si="8"/>
        <v>-200</v>
      </c>
      <c r="K52" s="13">
        <f t="shared" si="8"/>
        <v>-200</v>
      </c>
    </row>
    <row r="53" spans="2:11" x14ac:dyDescent="0.25">
      <c r="G53" s="143"/>
    </row>
    <row r="54" spans="2:11" x14ac:dyDescent="0.25">
      <c r="B54" s="333" t="s">
        <v>304</v>
      </c>
      <c r="C54" s="334"/>
      <c r="D54" s="334"/>
      <c r="E54" s="335"/>
      <c r="F54" s="151"/>
      <c r="G54" s="143"/>
      <c r="H54" s="333" t="s">
        <v>304</v>
      </c>
      <c r="I54" s="334"/>
      <c r="J54" s="334"/>
      <c r="K54" s="335"/>
    </row>
    <row r="55" spans="2:11" x14ac:dyDescent="0.25">
      <c r="B55" s="1" t="s">
        <v>214</v>
      </c>
      <c r="C55" s="1">
        <v>0.95</v>
      </c>
      <c r="D55" s="1">
        <v>-0.48</v>
      </c>
      <c r="E55" s="1">
        <v>-0.48</v>
      </c>
      <c r="F55" s="70"/>
      <c r="G55" s="143"/>
      <c r="H55" s="1" t="s">
        <v>214</v>
      </c>
      <c r="I55" s="13">
        <f t="shared" ref="I55:K57" si="9">C55/scale</f>
        <v>37.999999999999993</v>
      </c>
      <c r="J55" s="13">
        <f t="shared" si="9"/>
        <v>-19.2</v>
      </c>
      <c r="K55" s="13">
        <f t="shared" si="9"/>
        <v>-19.2</v>
      </c>
    </row>
    <row r="56" spans="2:11" x14ac:dyDescent="0.25">
      <c r="B56" s="1" t="s">
        <v>215</v>
      </c>
      <c r="C56" s="1">
        <v>0</v>
      </c>
      <c r="D56" s="1">
        <v>0.83</v>
      </c>
      <c r="E56" s="1">
        <v>-0.83</v>
      </c>
      <c r="F56" s="70"/>
      <c r="G56" s="143"/>
      <c r="H56" s="1" t="s">
        <v>215</v>
      </c>
      <c r="I56" s="13">
        <f t="shared" si="9"/>
        <v>0</v>
      </c>
      <c r="J56" s="13">
        <f t="shared" si="9"/>
        <v>33.199999999999996</v>
      </c>
      <c r="K56" s="13">
        <f t="shared" si="9"/>
        <v>-33.199999999999996</v>
      </c>
    </row>
    <row r="57" spans="2:11" x14ac:dyDescent="0.25">
      <c r="B57" s="1" t="s">
        <v>216</v>
      </c>
      <c r="C57" s="1">
        <v>-1.17</v>
      </c>
      <c r="D57" s="1">
        <v>-1.17</v>
      </c>
      <c r="E57" s="1">
        <v>-1.17</v>
      </c>
      <c r="F57" s="70"/>
      <c r="G57" s="143"/>
      <c r="H57" s="1" t="s">
        <v>216</v>
      </c>
      <c r="I57" s="13">
        <f t="shared" si="9"/>
        <v>-46.8</v>
      </c>
      <c r="J57" s="13">
        <f t="shared" si="9"/>
        <v>-46.8</v>
      </c>
      <c r="K57" s="13">
        <f t="shared" si="9"/>
        <v>-46.8</v>
      </c>
    </row>
    <row r="58" spans="2:11" ht="15.75" thickBot="1" x14ac:dyDescent="0.3">
      <c r="G58" s="143"/>
    </row>
    <row r="59" spans="2:11" x14ac:dyDescent="0.25">
      <c r="B59" s="343" t="s">
        <v>334</v>
      </c>
      <c r="C59" s="343"/>
      <c r="H59" s="1" t="s">
        <v>214</v>
      </c>
      <c r="I59" s="154">
        <v>37.435890771796998</v>
      </c>
      <c r="J59" s="154">
        <v>-18.880811359657802</v>
      </c>
      <c r="K59" s="154">
        <v>-19.865907934017901</v>
      </c>
    </row>
    <row r="60" spans="2:11" x14ac:dyDescent="0.25">
      <c r="B60" s="1" t="s">
        <v>305</v>
      </c>
      <c r="C60" s="1">
        <v>5</v>
      </c>
      <c r="H60" s="1" t="s">
        <v>215</v>
      </c>
      <c r="I60" s="156">
        <v>-2.4754841989068602E-3</v>
      </c>
      <c r="J60" s="156">
        <v>32.709571872190601</v>
      </c>
      <c r="K60" s="156">
        <v>-34.372423462939302</v>
      </c>
    </row>
    <row r="61" spans="2:11" ht="15.75" thickBot="1" x14ac:dyDescent="0.3">
      <c r="B61" s="1" t="s">
        <v>245</v>
      </c>
      <c r="C61" s="1">
        <v>2.2850000000000001</v>
      </c>
      <c r="H61" s="1" t="s">
        <v>216</v>
      </c>
      <c r="I61" s="158">
        <v>-47.841077972245003</v>
      </c>
      <c r="J61" s="158">
        <v>-47.5284097279498</v>
      </c>
      <c r="K61" s="158">
        <v>-45.559181648290803</v>
      </c>
    </row>
    <row r="62" spans="2:11" x14ac:dyDescent="0.25">
      <c r="B62" s="70"/>
      <c r="C62" s="70"/>
      <c r="H62" s="70"/>
      <c r="I62" s="229"/>
      <c r="J62" s="229"/>
      <c r="K62" s="229"/>
    </row>
    <row r="63" spans="2:11" x14ac:dyDescent="0.25">
      <c r="B63" s="346" t="s">
        <v>446</v>
      </c>
      <c r="C63" s="346"/>
      <c r="D63" s="346"/>
      <c r="H63" s="70"/>
      <c r="I63" s="229"/>
      <c r="J63" s="229"/>
      <c r="K63" s="229"/>
    </row>
    <row r="64" spans="2:11" x14ac:dyDescent="0.25">
      <c r="B64" s="1"/>
      <c r="C64" s="1" t="s">
        <v>447</v>
      </c>
      <c r="D64" s="1" t="s">
        <v>448</v>
      </c>
      <c r="H64" s="70"/>
      <c r="I64" s="229"/>
      <c r="J64" s="229"/>
      <c r="K64" s="229"/>
    </row>
    <row r="65" spans="2:23" x14ac:dyDescent="0.25">
      <c r="B65" s="1" t="s">
        <v>437</v>
      </c>
      <c r="C65" s="1">
        <v>15.72</v>
      </c>
      <c r="D65" s="24" t="s">
        <v>450</v>
      </c>
      <c r="H65" s="70"/>
      <c r="I65" s="229"/>
      <c r="J65" s="229"/>
      <c r="K65" s="229"/>
    </row>
    <row r="66" spans="2:23" x14ac:dyDescent="0.25">
      <c r="B66" s="1" t="s">
        <v>436</v>
      </c>
      <c r="C66" s="1">
        <v>15.69</v>
      </c>
      <c r="D66" s="1" t="s">
        <v>451</v>
      </c>
      <c r="H66" s="70"/>
      <c r="I66" s="229"/>
      <c r="J66" s="229"/>
      <c r="K66" s="229"/>
    </row>
    <row r="67" spans="2:23" x14ac:dyDescent="0.25">
      <c r="B67" s="1" t="s">
        <v>438</v>
      </c>
      <c r="C67" s="1">
        <v>15.74</v>
      </c>
      <c r="D67" s="24" t="s">
        <v>452</v>
      </c>
    </row>
    <row r="68" spans="2:23" ht="18.75" x14ac:dyDescent="0.25">
      <c r="B68" s="348" t="s">
        <v>248</v>
      </c>
      <c r="C68" s="348"/>
      <c r="D68" s="348"/>
      <c r="E68" s="348"/>
      <c r="F68" s="348"/>
      <c r="G68" s="348"/>
      <c r="H68" s="348"/>
      <c r="I68" s="348"/>
      <c r="J68" s="348"/>
      <c r="Q68" t="s">
        <v>494</v>
      </c>
    </row>
    <row r="69" spans="2:23" ht="15.75" thickBot="1" x14ac:dyDescent="0.3">
      <c r="B69" t="s">
        <v>210</v>
      </c>
    </row>
    <row r="70" spans="2:23" ht="15.75" thickBot="1" x14ac:dyDescent="0.3">
      <c r="B70" s="108"/>
      <c r="C70" s="109" t="s">
        <v>212</v>
      </c>
      <c r="D70" s="110"/>
      <c r="E70" s="110"/>
      <c r="F70" s="110"/>
      <c r="G70" s="110"/>
      <c r="H70" s="110"/>
      <c r="Q70" t="s">
        <v>495</v>
      </c>
    </row>
    <row r="71" spans="2:23" ht="15.75" thickBot="1" x14ac:dyDescent="0.3">
      <c r="B71" s="111" t="s">
        <v>213</v>
      </c>
      <c r="C71" s="109" t="s">
        <v>214</v>
      </c>
      <c r="D71" s="110" t="s">
        <v>215</v>
      </c>
      <c r="E71" s="110" t="s">
        <v>216</v>
      </c>
      <c r="F71" s="110" t="s">
        <v>217</v>
      </c>
      <c r="G71" s="110" t="s">
        <v>218</v>
      </c>
      <c r="H71" s="112" t="s">
        <v>219</v>
      </c>
      <c r="Q71" s="275"/>
      <c r="R71" s="351" t="s">
        <v>212</v>
      </c>
      <c r="S71" s="352"/>
      <c r="T71" s="352"/>
      <c r="U71" s="352"/>
      <c r="V71" s="352"/>
      <c r="W71" s="352"/>
    </row>
    <row r="72" spans="2:23" ht="15.75" thickBot="1" x14ac:dyDescent="0.3">
      <c r="B72" s="113" t="s">
        <v>214</v>
      </c>
      <c r="C72" s="114">
        <v>81.471210509538594</v>
      </c>
      <c r="D72" s="115">
        <v>3.5563596058636897E-2</v>
      </c>
      <c r="E72" s="115">
        <v>-0.61842686682939496</v>
      </c>
      <c r="F72" s="115">
        <v>1.20583174866624E-2</v>
      </c>
      <c r="G72" s="115">
        <v>-25.909429787658201</v>
      </c>
      <c r="H72" s="116">
        <v>7.4764550372492494E-2</v>
      </c>
      <c r="Q72" s="152" t="s">
        <v>213</v>
      </c>
      <c r="R72" s="276" t="s">
        <v>214</v>
      </c>
      <c r="S72" s="277" t="s">
        <v>215</v>
      </c>
      <c r="T72" s="277" t="s">
        <v>216</v>
      </c>
      <c r="U72" s="277" t="s">
        <v>217</v>
      </c>
      <c r="V72" s="277" t="s">
        <v>218</v>
      </c>
      <c r="W72" s="278" t="s">
        <v>219</v>
      </c>
    </row>
    <row r="73" spans="2:23" x14ac:dyDescent="0.25">
      <c r="B73" s="117" t="s">
        <v>215</v>
      </c>
      <c r="C73" s="118">
        <v>3.5563165787607397E-2</v>
      </c>
      <c r="D73" s="119">
        <v>80.453644767403603</v>
      </c>
      <c r="E73" s="119">
        <v>1.03202741593122E-2</v>
      </c>
      <c r="F73" s="119">
        <v>25.548234547954099</v>
      </c>
      <c r="G73" s="119">
        <v>-1.33730415254831E-2</v>
      </c>
      <c r="H73" s="120">
        <v>-2.83175012930587</v>
      </c>
      <c r="Q73" s="279" t="s">
        <v>214</v>
      </c>
      <c r="R73" s="282">
        <v>127058.700510979</v>
      </c>
      <c r="S73" s="283">
        <v>-309.935044363141</v>
      </c>
      <c r="T73" s="283">
        <v>-1159.9111937098201</v>
      </c>
      <c r="U73" s="283">
        <v>1022.97067284584</v>
      </c>
      <c r="V73" s="289">
        <v>-1605317.7722167999</v>
      </c>
      <c r="W73" s="284">
        <v>3633.4602519273799</v>
      </c>
    </row>
    <row r="74" spans="2:23" x14ac:dyDescent="0.25">
      <c r="B74" s="117" t="s">
        <v>216</v>
      </c>
      <c r="C74" s="118">
        <v>-0.61842643050476898</v>
      </c>
      <c r="D74" s="119">
        <v>1.0321092791855301E-2</v>
      </c>
      <c r="E74" s="119">
        <v>33.574335906654603</v>
      </c>
      <c r="F74" s="119">
        <v>-1.91705924225971E-2</v>
      </c>
      <c r="G74" s="119">
        <v>1.1199694203678501</v>
      </c>
      <c r="H74" s="121">
        <v>8.5161831520963501E-5</v>
      </c>
      <c r="Q74" s="280" t="s">
        <v>215</v>
      </c>
      <c r="R74" s="285">
        <v>-309.93504500389099</v>
      </c>
      <c r="S74" s="286">
        <v>124139.25622654</v>
      </c>
      <c r="T74" s="286">
        <v>151.00044355541499</v>
      </c>
      <c r="U74" s="286">
        <v>1581401.2429809601</v>
      </c>
      <c r="V74" s="286">
        <v>-4.2878665924072301</v>
      </c>
      <c r="W74" s="121">
        <v>21873.930118084001</v>
      </c>
    </row>
    <row r="75" spans="2:23" x14ac:dyDescent="0.25">
      <c r="B75" s="117" t="s">
        <v>217</v>
      </c>
      <c r="C75" s="118">
        <v>1.2058112304657699E-2</v>
      </c>
      <c r="D75" s="119">
        <v>25.548234492540399</v>
      </c>
      <c r="E75" s="119">
        <v>-1.9171090563759201E-2</v>
      </c>
      <c r="F75" s="119">
        <v>87.829627324361397</v>
      </c>
      <c r="G75" s="119">
        <v>6.6548325936309993E-2</v>
      </c>
      <c r="H75" s="120">
        <v>-1.5911024992528799</v>
      </c>
      <c r="Q75" s="280" t="s">
        <v>216</v>
      </c>
      <c r="R75" s="285">
        <v>-1159.91119349003</v>
      </c>
      <c r="S75" s="286">
        <v>151.00044506974501</v>
      </c>
      <c r="T75" s="286">
        <v>53292.532741546602</v>
      </c>
      <c r="U75" s="286">
        <v>252.73220491409299</v>
      </c>
      <c r="V75" s="286">
        <v>4991.5917701721201</v>
      </c>
      <c r="W75" s="121">
        <v>-947.08471834659599</v>
      </c>
    </row>
    <row r="76" spans="2:23" x14ac:dyDescent="0.25">
      <c r="B76" s="117" t="s">
        <v>218</v>
      </c>
      <c r="C76" s="118">
        <v>-25.909429875668099</v>
      </c>
      <c r="D76" s="119">
        <v>-1.3373367866733999E-2</v>
      </c>
      <c r="E76" s="119">
        <v>1.1199692338705101</v>
      </c>
      <c r="F76" s="119">
        <v>6.6878965531941503E-2</v>
      </c>
      <c r="G76" s="119">
        <v>92.312500576488702</v>
      </c>
      <c r="H76" s="120">
        <v>-8.0952706572134006E-2</v>
      </c>
      <c r="Q76" s="280" t="s">
        <v>217</v>
      </c>
      <c r="R76" s="285">
        <v>1022.97065043449</v>
      </c>
      <c r="S76" s="286">
        <v>1581401.2430038501</v>
      </c>
      <c r="T76" s="286">
        <v>252.732191085815</v>
      </c>
      <c r="U76" s="286">
        <v>222277214.249268</v>
      </c>
      <c r="V76" s="286">
        <v>-5032877.3714332599</v>
      </c>
      <c r="W76" s="121">
        <v>4592467.2570317397</v>
      </c>
    </row>
    <row r="77" spans="2:23" ht="15.75" thickBot="1" x14ac:dyDescent="0.3">
      <c r="B77" s="122" t="s">
        <v>219</v>
      </c>
      <c r="C77" s="123">
        <v>7.4764766264706906E-2</v>
      </c>
      <c r="D77" s="124">
        <v>-2.8317501474230098</v>
      </c>
      <c r="E77" s="125">
        <v>8.5734005551785204E-5</v>
      </c>
      <c r="F77" s="124">
        <v>1.6451037765946199</v>
      </c>
      <c r="G77" s="124">
        <v>-1.34826254798099E-2</v>
      </c>
      <c r="H77" s="126">
        <v>93.5743244513869</v>
      </c>
      <c r="Q77" s="280" t="s">
        <v>218</v>
      </c>
      <c r="R77" s="285">
        <v>-1605317.77222443</v>
      </c>
      <c r="S77" s="286">
        <v>-4.2878830432891801</v>
      </c>
      <c r="T77" s="286">
        <v>4991.5917835235596</v>
      </c>
      <c r="U77" s="286">
        <v>-4964831.8556137104</v>
      </c>
      <c r="V77" s="119">
        <v>215129341.71057099</v>
      </c>
      <c r="W77" s="121">
        <v>6415447.6189327203</v>
      </c>
    </row>
    <row r="78" spans="2:23" ht="15.75" thickBot="1" x14ac:dyDescent="0.3">
      <c r="Q78" s="281" t="s">
        <v>219</v>
      </c>
      <c r="R78" s="287">
        <v>3633.46026182175</v>
      </c>
      <c r="S78" s="125">
        <v>21873.930081725099</v>
      </c>
      <c r="T78" s="125">
        <v>-947.08474777638901</v>
      </c>
      <c r="U78" s="125">
        <v>3609223.8172986801</v>
      </c>
      <c r="V78" s="125">
        <v>6284927.4486141196</v>
      </c>
      <c r="W78" s="288">
        <v>232169177.72668499</v>
      </c>
    </row>
    <row r="79" spans="2:23" ht="15.75" thickBot="1" x14ac:dyDescent="0.3">
      <c r="B79" t="s">
        <v>211</v>
      </c>
    </row>
    <row r="80" spans="2:23" ht="15.75" thickBot="1" x14ac:dyDescent="0.3">
      <c r="B80" s="108"/>
      <c r="C80" s="344" t="s">
        <v>212</v>
      </c>
      <c r="D80" s="345"/>
      <c r="E80" s="345"/>
      <c r="F80" s="345"/>
      <c r="G80" s="345"/>
      <c r="H80" s="345"/>
    </row>
    <row r="81" spans="2:8" ht="15.75" thickBot="1" x14ac:dyDescent="0.3">
      <c r="B81" s="111" t="s">
        <v>220</v>
      </c>
      <c r="C81" s="109" t="s">
        <v>221</v>
      </c>
      <c r="D81" s="110" t="s">
        <v>222</v>
      </c>
      <c r="E81" s="110" t="s">
        <v>223</v>
      </c>
      <c r="F81" s="110" t="s">
        <v>224</v>
      </c>
      <c r="G81" s="110" t="s">
        <v>225</v>
      </c>
      <c r="H81" s="112" t="s">
        <v>226</v>
      </c>
    </row>
    <row r="82" spans="2:8" x14ac:dyDescent="0.25">
      <c r="B82" s="113" t="s">
        <v>221</v>
      </c>
      <c r="C82" s="114">
        <v>76.903704250877198</v>
      </c>
      <c r="D82" s="115">
        <v>0.23975790352701701</v>
      </c>
      <c r="E82" s="115">
        <v>3.9654179963385601</v>
      </c>
      <c r="F82" s="115">
        <v>-0.30573692556841803</v>
      </c>
      <c r="G82" s="115">
        <v>93.719468454396704</v>
      </c>
      <c r="H82" s="116">
        <v>5.2413043009319503E-2</v>
      </c>
    </row>
    <row r="83" spans="2:8" x14ac:dyDescent="0.25">
      <c r="B83" s="117" t="s">
        <v>222</v>
      </c>
      <c r="C83" s="118">
        <v>0.23975891546477801</v>
      </c>
      <c r="D83" s="119">
        <v>85.401427278243503</v>
      </c>
      <c r="E83" s="119">
        <v>0.24029895777437199</v>
      </c>
      <c r="F83" s="119">
        <v>-104.587917140442</v>
      </c>
      <c r="G83" s="119">
        <v>0.30561463646811898</v>
      </c>
      <c r="H83" s="120">
        <v>-2.0182440782546598</v>
      </c>
    </row>
    <row r="84" spans="2:8" x14ac:dyDescent="0.25">
      <c r="B84" s="117" t="s">
        <v>223</v>
      </c>
      <c r="C84" s="118">
        <v>3.9654181569806601</v>
      </c>
      <c r="D84" s="119">
        <v>0.24029779785531399</v>
      </c>
      <c r="E84" s="119">
        <v>33.851777111517301</v>
      </c>
      <c r="F84" s="119">
        <v>-0.31539077178458402</v>
      </c>
      <c r="G84" s="119">
        <v>5.3833997245323602</v>
      </c>
      <c r="H84" s="120">
        <v>-1.68138810865523E-3</v>
      </c>
    </row>
    <row r="85" spans="2:8" x14ac:dyDescent="0.25">
      <c r="B85" s="117" t="s">
        <v>224</v>
      </c>
      <c r="C85" s="118">
        <v>-0.30573800857597899</v>
      </c>
      <c r="D85" s="119">
        <v>-104.587917078606</v>
      </c>
      <c r="E85" s="119">
        <v>-0.31539171732521398</v>
      </c>
      <c r="F85" s="119">
        <v>48.872299580463199</v>
      </c>
      <c r="G85" s="119">
        <v>-0.32612904287608202</v>
      </c>
      <c r="H85" s="120">
        <v>-1.33657842885529</v>
      </c>
    </row>
    <row r="86" spans="2:8" x14ac:dyDescent="0.25">
      <c r="B86" s="117" t="s">
        <v>225</v>
      </c>
      <c r="C86" s="118">
        <v>93.719468490296407</v>
      </c>
      <c r="D86" s="119">
        <v>0.305613961409748</v>
      </c>
      <c r="E86" s="119">
        <v>5.3833997574112198</v>
      </c>
      <c r="F86" s="119">
        <v>-0.32648477148351401</v>
      </c>
      <c r="G86" s="119">
        <v>39.090317649979603</v>
      </c>
      <c r="H86" s="120">
        <v>-6.8414096311964004E-2</v>
      </c>
    </row>
    <row r="87" spans="2:8" ht="15.75" thickBot="1" x14ac:dyDescent="0.3">
      <c r="B87" s="122" t="s">
        <v>226</v>
      </c>
      <c r="C87" s="123">
        <v>5.2412564922697899E-2</v>
      </c>
      <c r="D87" s="124">
        <v>-2.0182441370416102</v>
      </c>
      <c r="E87" s="124">
        <v>-1.68243346919253E-3</v>
      </c>
      <c r="F87" s="124">
        <v>0.100325464334151</v>
      </c>
      <c r="G87" s="124">
        <v>6.0077614753909899E-3</v>
      </c>
      <c r="H87" s="126">
        <v>93.570248001181199</v>
      </c>
    </row>
    <row r="91" spans="2:8" x14ac:dyDescent="0.25">
      <c r="B91" s="339" t="s">
        <v>250</v>
      </c>
      <c r="C91" s="340"/>
      <c r="D91" s="340"/>
      <c r="E91" s="340"/>
      <c r="F91" s="340"/>
    </row>
    <row r="92" spans="2:8" x14ac:dyDescent="0.25">
      <c r="B92" s="1"/>
      <c r="G92" s="1" t="s">
        <v>251</v>
      </c>
    </row>
    <row r="93" spans="2:8" x14ac:dyDescent="0.25">
      <c r="B93" s="139" t="s">
        <v>252</v>
      </c>
      <c r="C93" s="1" t="s">
        <v>253</v>
      </c>
      <c r="D93" s="1" t="s">
        <v>254</v>
      </c>
      <c r="F93" s="1" t="s">
        <v>255</v>
      </c>
      <c r="G93" s="1">
        <v>7800</v>
      </c>
    </row>
    <row r="94" spans="2:8" x14ac:dyDescent="0.25">
      <c r="B94" s="20" t="s">
        <v>256</v>
      </c>
      <c r="C94" s="1">
        <v>23.36</v>
      </c>
      <c r="D94" s="3">
        <f>D96*6</f>
        <v>22.200000000000003</v>
      </c>
    </row>
    <row r="95" spans="2:8" x14ac:dyDescent="0.25">
      <c r="B95" s="20" t="s">
        <v>257</v>
      </c>
      <c r="C95" s="1">
        <v>12.64</v>
      </c>
      <c r="D95" s="3">
        <f>3.35*D96</f>
        <v>12.395000000000001</v>
      </c>
    </row>
    <row r="96" spans="2:8" x14ac:dyDescent="0.25">
      <c r="B96" s="1" t="s">
        <v>258</v>
      </c>
      <c r="C96" s="1">
        <v>3.7</v>
      </c>
      <c r="D96" s="1">
        <v>3.7</v>
      </c>
      <c r="F96" t="s">
        <v>259</v>
      </c>
    </row>
    <row r="97" spans="2:6" x14ac:dyDescent="0.25">
      <c r="B97" s="17" t="s">
        <v>260</v>
      </c>
      <c r="C97" s="1">
        <f>C94-2*C96</f>
        <v>15.959999999999999</v>
      </c>
      <c r="D97" s="1">
        <f>D94-2*D96</f>
        <v>14.800000000000002</v>
      </c>
      <c r="F97" t="s">
        <v>261</v>
      </c>
    </row>
    <row r="98" spans="2:6" x14ac:dyDescent="0.25">
      <c r="B98" s="140" t="s">
        <v>262</v>
      </c>
      <c r="C98" s="1"/>
      <c r="D98" s="13">
        <f>19.9*(D96/1000)^2*1000</f>
        <v>0.27243100000000003</v>
      </c>
      <c r="F98" t="s">
        <v>263</v>
      </c>
    </row>
    <row r="100" spans="2:6" x14ac:dyDescent="0.25">
      <c r="B100" s="339" t="s">
        <v>264</v>
      </c>
      <c r="C100" s="340"/>
      <c r="D100" s="340"/>
      <c r="E100" s="340"/>
      <c r="F100" s="340"/>
    </row>
    <row r="101" spans="2:6" x14ac:dyDescent="0.25">
      <c r="B101" s="1"/>
      <c r="C101" s="1" t="s">
        <v>265</v>
      </c>
      <c r="D101" s="1" t="s">
        <v>266</v>
      </c>
      <c r="E101" s="1"/>
      <c r="F101" s="1"/>
    </row>
    <row r="102" spans="2:6" x14ac:dyDescent="0.25">
      <c r="B102" s="1" t="s">
        <v>257</v>
      </c>
      <c r="C102" s="1">
        <v>12.6</v>
      </c>
      <c r="D102" s="1">
        <v>14</v>
      </c>
      <c r="E102" s="1"/>
      <c r="F102" s="1"/>
    </row>
    <row r="103" spans="2:6" x14ac:dyDescent="0.25">
      <c r="B103" s="1" t="s">
        <v>267</v>
      </c>
      <c r="C103" s="1">
        <v>23.6</v>
      </c>
      <c r="D103" s="1">
        <v>24</v>
      </c>
      <c r="E103" s="1"/>
      <c r="F103" s="1"/>
    </row>
    <row r="104" spans="2:6" x14ac:dyDescent="0.25">
      <c r="B104" s="1" t="s">
        <v>268</v>
      </c>
      <c r="C104" s="1">
        <v>4</v>
      </c>
      <c r="D104" s="1">
        <v>3.7</v>
      </c>
      <c r="E104" s="1"/>
      <c r="F104" s="1"/>
    </row>
    <row r="105" spans="2:6" x14ac:dyDescent="0.25">
      <c r="B105" s="1"/>
      <c r="C105" s="1" t="s">
        <v>269</v>
      </c>
      <c r="D105" s="1">
        <f>C103-2*3.7</f>
        <v>16.200000000000003</v>
      </c>
      <c r="E105" s="1"/>
      <c r="F105" s="1">
        <f>D105*40/1000</f>
        <v>0.64800000000000013</v>
      </c>
    </row>
    <row r="106" spans="2:6" x14ac:dyDescent="0.25">
      <c r="B106" s="1"/>
      <c r="C106" s="1" t="s">
        <v>270</v>
      </c>
      <c r="D106" s="1">
        <v>3</v>
      </c>
      <c r="E106" s="1">
        <v>4</v>
      </c>
      <c r="F106" s="1">
        <v>18</v>
      </c>
    </row>
    <row r="107" spans="2:6" x14ac:dyDescent="0.25">
      <c r="B107" s="1"/>
      <c r="C107" s="1" t="s">
        <v>271</v>
      </c>
      <c r="D107" s="2">
        <f>D106*$P$17/10</f>
        <v>0</v>
      </c>
      <c r="E107" s="2">
        <f>E106*$P$17/10</f>
        <v>0</v>
      </c>
      <c r="F107" s="2">
        <f>F106*$P$17/10</f>
        <v>0</v>
      </c>
    </row>
    <row r="123" spans="12:12" x14ac:dyDescent="0.25">
      <c r="L123" t="s">
        <v>449</v>
      </c>
    </row>
    <row r="131" spans="2:5" ht="15.75" thickBot="1" x14ac:dyDescent="0.3"/>
    <row r="132" spans="2:5" ht="15.75" thickBot="1" x14ac:dyDescent="0.3">
      <c r="B132" s="152" t="s">
        <v>313</v>
      </c>
      <c r="C132" s="152" t="s">
        <v>66</v>
      </c>
      <c r="E132" t="s">
        <v>323</v>
      </c>
    </row>
    <row r="133" spans="2:5" x14ac:dyDescent="0.25">
      <c r="B133" s="153" t="s">
        <v>314</v>
      </c>
      <c r="C133" s="154">
        <v>-0.47874321194049702</v>
      </c>
    </row>
    <row r="134" spans="2:5" x14ac:dyDescent="0.25">
      <c r="B134" s="155" t="s">
        <v>315</v>
      </c>
      <c r="C134" s="156">
        <v>0.83067912897463403</v>
      </c>
    </row>
    <row r="135" spans="2:5" ht="15.75" thickBot="1" x14ac:dyDescent="0.3">
      <c r="B135" s="157" t="s">
        <v>316</v>
      </c>
      <c r="C135" s="158">
        <v>-1.17267217275275</v>
      </c>
    </row>
    <row r="136" spans="2:5" ht="15.75" thickBot="1" x14ac:dyDescent="0.3"/>
    <row r="137" spans="2:5" ht="15.75" thickBot="1" x14ac:dyDescent="0.3">
      <c r="B137" s="152" t="s">
        <v>313</v>
      </c>
      <c r="C137" s="152" t="s">
        <v>66</v>
      </c>
    </row>
    <row r="138" spans="2:5" x14ac:dyDescent="0.25">
      <c r="B138" s="153" t="s">
        <v>317</v>
      </c>
      <c r="C138" s="154">
        <v>-0.48305353915390897</v>
      </c>
    </row>
    <row r="139" spans="2:5" x14ac:dyDescent="0.25">
      <c r="B139" s="155" t="s">
        <v>318</v>
      </c>
      <c r="C139" s="156">
        <v>-0.83808657542655696</v>
      </c>
    </row>
    <row r="140" spans="2:5" ht="15.75" thickBot="1" x14ac:dyDescent="0.3">
      <c r="B140" s="157" t="s">
        <v>319</v>
      </c>
      <c r="C140" s="158">
        <v>-1.16413677437664</v>
      </c>
    </row>
    <row r="141" spans="2:5" ht="15.75" thickBot="1" x14ac:dyDescent="0.3"/>
    <row r="142" spans="2:5" ht="15.75" thickBot="1" x14ac:dyDescent="0.3">
      <c r="B142" s="152" t="s">
        <v>313</v>
      </c>
      <c r="C142" s="152" t="s">
        <v>66</v>
      </c>
    </row>
    <row r="143" spans="2:5" x14ac:dyDescent="0.25">
      <c r="B143" s="153" t="s">
        <v>320</v>
      </c>
      <c r="C143" s="154">
        <v>0.94691541213653896</v>
      </c>
    </row>
    <row r="144" spans="2:5" x14ac:dyDescent="0.25">
      <c r="B144" s="155" t="s">
        <v>321</v>
      </c>
      <c r="C144" s="159">
        <v>-3.0983069958222E-5</v>
      </c>
    </row>
    <row r="145" spans="2:3" ht="15.75" thickBot="1" x14ac:dyDescent="0.3">
      <c r="B145" s="157" t="s">
        <v>322</v>
      </c>
      <c r="C145" s="158">
        <v>-1.1848798856281499</v>
      </c>
    </row>
  </sheetData>
  <mergeCells count="31">
    <mergeCell ref="R71:W71"/>
    <mergeCell ref="B21:J21"/>
    <mergeCell ref="O5:W5"/>
    <mergeCell ref="O20:W20"/>
    <mergeCell ref="R21:S21"/>
    <mergeCell ref="T21:U21"/>
    <mergeCell ref="L8:M8"/>
    <mergeCell ref="B68:J68"/>
    <mergeCell ref="B22:K22"/>
    <mergeCell ref="B23:E23"/>
    <mergeCell ref="B1:G1"/>
    <mergeCell ref="C4:D4"/>
    <mergeCell ref="C2:F2"/>
    <mergeCell ref="C3:F3"/>
    <mergeCell ref="B14:J14"/>
    <mergeCell ref="B6:J6"/>
    <mergeCell ref="B7:J7"/>
    <mergeCell ref="C8:D8"/>
    <mergeCell ref="E8:F8"/>
    <mergeCell ref="G8:H8"/>
    <mergeCell ref="I8:J8"/>
    <mergeCell ref="B91:F91"/>
    <mergeCell ref="B100:F100"/>
    <mergeCell ref="H23:K23"/>
    <mergeCell ref="B34:C34"/>
    <mergeCell ref="H34:I34"/>
    <mergeCell ref="B54:E54"/>
    <mergeCell ref="B59:C59"/>
    <mergeCell ref="H54:K54"/>
    <mergeCell ref="C80:H80"/>
    <mergeCell ref="B63:D6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B1" zoomScaleNormal="100" workbookViewId="0">
      <selection activeCell="A5" sqref="A5:T5"/>
    </sheetView>
  </sheetViews>
  <sheetFormatPr defaultRowHeight="15" x14ac:dyDescent="0.25"/>
  <cols>
    <col min="3" max="3" width="35.85546875" bestFit="1" customWidth="1"/>
    <col min="4" max="4" width="11.140625" bestFit="1" customWidth="1"/>
    <col min="5" max="5" width="13.85546875" bestFit="1" customWidth="1"/>
    <col min="6" max="6" width="11.7109375" bestFit="1" customWidth="1"/>
    <col min="7" max="7" width="13.85546875" bestFit="1" customWidth="1"/>
    <col min="8" max="8" width="13.140625" bestFit="1" customWidth="1"/>
    <col min="9" max="9" width="19.140625" customWidth="1"/>
    <col min="10" max="10" width="24" customWidth="1"/>
    <col min="12" max="12" width="35" customWidth="1"/>
  </cols>
  <sheetData>
    <row r="1" spans="1:20" ht="23.25" x14ac:dyDescent="0.25">
      <c r="B1" s="325" t="s">
        <v>397</v>
      </c>
      <c r="C1" s="325"/>
      <c r="D1" s="325"/>
      <c r="E1" s="325"/>
      <c r="F1" s="325"/>
      <c r="G1" s="325"/>
    </row>
    <row r="2" spans="1:20" ht="18.75" x14ac:dyDescent="0.3">
      <c r="B2" s="180" t="s">
        <v>80</v>
      </c>
      <c r="C2" s="326" t="s">
        <v>77</v>
      </c>
      <c r="D2" s="326"/>
      <c r="E2" s="38"/>
      <c r="F2" s="38"/>
      <c r="G2" s="38"/>
    </row>
    <row r="3" spans="1:20" ht="18.75" x14ac:dyDescent="0.3">
      <c r="B3" s="181" t="s">
        <v>78</v>
      </c>
      <c r="C3" s="327" t="s">
        <v>79</v>
      </c>
      <c r="D3" s="327"/>
      <c r="E3" s="30" t="s">
        <v>54</v>
      </c>
      <c r="F3" s="34">
        <f>1/40</f>
        <v>2.5000000000000001E-2</v>
      </c>
      <c r="G3" s="38"/>
    </row>
    <row r="4" spans="1:20" ht="18.75" x14ac:dyDescent="0.3">
      <c r="B4" s="179" t="s">
        <v>146</v>
      </c>
      <c r="C4" s="296">
        <v>0.8</v>
      </c>
      <c r="D4" s="296"/>
      <c r="F4" s="38"/>
      <c r="G4" s="38"/>
    </row>
    <row r="5" spans="1:20" ht="21" x14ac:dyDescent="0.35">
      <c r="A5" s="360" t="s">
        <v>345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</row>
    <row r="7" spans="1:20" ht="18.75" customHeight="1" x14ac:dyDescent="0.3">
      <c r="C7" s="359" t="s">
        <v>362</v>
      </c>
      <c r="D7" s="359"/>
      <c r="E7" s="359"/>
      <c r="F7" s="359"/>
      <c r="G7" s="359"/>
    </row>
    <row r="8" spans="1:20" ht="18.75" x14ac:dyDescent="0.3">
      <c r="C8" t="s">
        <v>54</v>
      </c>
      <c r="D8">
        <f>1/F3</f>
        <v>40</v>
      </c>
      <c r="I8" s="182" t="s">
        <v>363</v>
      </c>
      <c r="J8" s="182" t="s">
        <v>364</v>
      </c>
      <c r="L8" s="365" t="s">
        <v>365</v>
      </c>
      <c r="M8" s="365"/>
      <c r="N8" s="365"/>
      <c r="O8" s="365"/>
      <c r="P8" s="365"/>
      <c r="Q8" s="365"/>
    </row>
    <row r="9" spans="1:20" x14ac:dyDescent="0.25">
      <c r="C9" s="70"/>
      <c r="D9" s="364" t="s">
        <v>357</v>
      </c>
      <c r="E9" s="364"/>
      <c r="F9" s="364" t="s">
        <v>358</v>
      </c>
      <c r="G9" s="364"/>
      <c r="L9" t="s">
        <v>54</v>
      </c>
      <c r="M9" s="87">
        <f>F3</f>
        <v>2.5000000000000001E-2</v>
      </c>
    </row>
    <row r="10" spans="1:20" x14ac:dyDescent="0.25">
      <c r="C10" s="177"/>
      <c r="D10" s="178" t="s">
        <v>343</v>
      </c>
      <c r="E10" s="178" t="s">
        <v>344</v>
      </c>
      <c r="F10" s="178" t="s">
        <v>343</v>
      </c>
      <c r="G10" s="178" t="s">
        <v>344</v>
      </c>
      <c r="L10" s="70"/>
      <c r="M10" s="364" t="s">
        <v>357</v>
      </c>
      <c r="N10" s="364"/>
      <c r="O10" s="364" t="s">
        <v>358</v>
      </c>
      <c r="P10" s="364"/>
    </row>
    <row r="11" spans="1:20" ht="18" x14ac:dyDescent="0.25">
      <c r="C11" s="361" t="s">
        <v>345</v>
      </c>
      <c r="D11" s="361"/>
      <c r="E11" s="361"/>
      <c r="F11" s="361"/>
      <c r="G11" s="361"/>
      <c r="L11" s="177"/>
      <c r="M11" s="178" t="s">
        <v>344</v>
      </c>
      <c r="N11" s="178" t="s">
        <v>343</v>
      </c>
      <c r="O11" s="178" t="s">
        <v>343</v>
      </c>
      <c r="P11" s="178" t="s">
        <v>344</v>
      </c>
    </row>
    <row r="12" spans="1:20" ht="18" x14ac:dyDescent="0.25">
      <c r="C12" s="175" t="s">
        <v>458</v>
      </c>
      <c r="D12" s="213">
        <v>-4.0000000000000001E-3</v>
      </c>
      <c r="E12" s="213">
        <f>D12*$D$8</f>
        <v>-0.16</v>
      </c>
      <c r="F12" s="213">
        <v>4.0000000000000001E-3</v>
      </c>
      <c r="G12" s="213">
        <f>F12*$D$8</f>
        <v>0.16</v>
      </c>
      <c r="L12" s="366" t="s">
        <v>345</v>
      </c>
      <c r="M12" s="367"/>
      <c r="N12" s="367"/>
      <c r="O12" s="188"/>
      <c r="P12" s="189"/>
    </row>
    <row r="13" spans="1:20" ht="30" x14ac:dyDescent="0.25">
      <c r="C13" s="175" t="s">
        <v>459</v>
      </c>
      <c r="D13" s="246">
        <v>0</v>
      </c>
      <c r="E13" s="241">
        <f t="shared" ref="E13:G14" si="0">D13*$D$8</f>
        <v>0</v>
      </c>
      <c r="F13" s="213">
        <f>F12</f>
        <v>4.0000000000000001E-3</v>
      </c>
      <c r="G13" s="213">
        <f t="shared" si="0"/>
        <v>0.16</v>
      </c>
      <c r="L13" s="175" t="s">
        <v>366</v>
      </c>
      <c r="M13" s="184">
        <v>-73.7</v>
      </c>
      <c r="N13" s="183">
        <f>M13*$M$9</f>
        <v>-1.8425000000000002</v>
      </c>
      <c r="O13" s="185">
        <v>4.0000000000000001E-3</v>
      </c>
      <c r="P13" s="185">
        <f>O13*$D$8</f>
        <v>0.16</v>
      </c>
    </row>
    <row r="14" spans="1:20" x14ac:dyDescent="0.25">
      <c r="C14" s="175" t="s">
        <v>460</v>
      </c>
      <c r="D14" s="213">
        <v>-1.7889999999999999</v>
      </c>
      <c r="E14" s="213">
        <f t="shared" si="0"/>
        <v>-71.56</v>
      </c>
      <c r="F14" s="213">
        <v>1.4999999999999999E-2</v>
      </c>
      <c r="G14" s="213">
        <f t="shared" si="0"/>
        <v>0.6</v>
      </c>
      <c r="L14" s="175" t="s">
        <v>49</v>
      </c>
      <c r="M14" s="176">
        <v>19400000</v>
      </c>
      <c r="N14" s="184">
        <f>M14*$M$9^3</f>
        <v>303.12500000000006</v>
      </c>
      <c r="O14" s="186">
        <v>0.1</v>
      </c>
      <c r="P14" s="187">
        <f>O14*$D$8^3</f>
        <v>6400</v>
      </c>
    </row>
    <row r="15" spans="1:20" x14ac:dyDescent="0.25">
      <c r="C15" s="175" t="s">
        <v>49</v>
      </c>
      <c r="D15" s="213">
        <v>303.8</v>
      </c>
      <c r="E15" s="241">
        <f>D15*$D$8^3</f>
        <v>19443200</v>
      </c>
      <c r="F15" s="213">
        <v>0.1</v>
      </c>
      <c r="G15" s="243">
        <f>F15*$D$8^3</f>
        <v>6400</v>
      </c>
      <c r="L15" s="175" t="s">
        <v>355</v>
      </c>
      <c r="M15" s="176">
        <v>10000000000</v>
      </c>
      <c r="N15" s="184">
        <f t="shared" ref="N15:N16" si="1">M15*$M$9^5</f>
        <v>97.656250000000057</v>
      </c>
      <c r="O15" s="187">
        <v>30</v>
      </c>
      <c r="P15" s="187">
        <f>O15*$D$8^5</f>
        <v>3072000000</v>
      </c>
    </row>
    <row r="16" spans="1:20" x14ac:dyDescent="0.25">
      <c r="C16" s="175" t="s">
        <v>461</v>
      </c>
      <c r="D16" s="213">
        <v>190</v>
      </c>
      <c r="E16" s="241">
        <f>D16*$D$8^5</f>
        <v>19456000000</v>
      </c>
      <c r="F16" s="213">
        <v>30</v>
      </c>
      <c r="G16" s="242">
        <f>F16*$D$8^5</f>
        <v>3072000000</v>
      </c>
      <c r="L16" s="175" t="s">
        <v>359</v>
      </c>
      <c r="M16" s="176">
        <v>10000000000</v>
      </c>
      <c r="N16" s="184">
        <f t="shared" si="1"/>
        <v>97.656250000000057</v>
      </c>
      <c r="O16" s="187">
        <v>30</v>
      </c>
      <c r="P16" s="187">
        <f t="shared" ref="P16:P17" si="2">O16*$D$8^5</f>
        <v>3072000000</v>
      </c>
    </row>
    <row r="17" spans="3:16" x14ac:dyDescent="0.25">
      <c r="C17" s="175" t="s">
        <v>462</v>
      </c>
      <c r="D17" s="213">
        <v>190</v>
      </c>
      <c r="E17" s="241">
        <f t="shared" ref="E17:G18" si="3">D17*$D$8^5</f>
        <v>19456000000</v>
      </c>
      <c r="F17" s="213">
        <v>30</v>
      </c>
      <c r="G17" s="242">
        <f t="shared" si="3"/>
        <v>3072000000</v>
      </c>
      <c r="L17" s="175" t="s">
        <v>356</v>
      </c>
      <c r="M17" s="176">
        <v>600000000</v>
      </c>
      <c r="N17" s="184">
        <f>M17*$M$9^5</f>
        <v>5.8593750000000036</v>
      </c>
      <c r="O17" s="187">
        <v>10</v>
      </c>
      <c r="P17" s="187">
        <f t="shared" si="2"/>
        <v>1024000000</v>
      </c>
    </row>
    <row r="18" spans="3:16" x14ac:dyDescent="0.25">
      <c r="C18" s="175" t="s">
        <v>463</v>
      </c>
      <c r="D18" s="213">
        <v>10</v>
      </c>
      <c r="E18" s="243">
        <f t="shared" si="3"/>
        <v>1024000000</v>
      </c>
      <c r="F18" s="213">
        <v>5</v>
      </c>
      <c r="G18" s="242">
        <f t="shared" si="3"/>
        <v>512000000</v>
      </c>
      <c r="L18" s="175" t="s">
        <v>353</v>
      </c>
      <c r="M18" s="184">
        <v>11.2</v>
      </c>
      <c r="N18" s="176">
        <f>M18*$M$9</f>
        <v>0.27999999999999997</v>
      </c>
      <c r="O18" s="185">
        <v>1E-3</v>
      </c>
      <c r="P18" s="186">
        <f t="shared" ref="P18:P21" si="4">O18*$D$8</f>
        <v>0.04</v>
      </c>
    </row>
    <row r="19" spans="3:16" x14ac:dyDescent="0.25">
      <c r="C19" s="175" t="s">
        <v>353</v>
      </c>
      <c r="D19" s="245">
        <v>0.28000000000000003</v>
      </c>
      <c r="E19" s="213">
        <f t="shared" ref="E19:E25" si="5">D19*$D$8</f>
        <v>11.200000000000001</v>
      </c>
      <c r="F19" s="213">
        <v>1E-3</v>
      </c>
      <c r="G19" s="213">
        <f t="shared" ref="G19:G25" si="6">F19*$D$8</f>
        <v>0.04</v>
      </c>
      <c r="L19" s="175" t="s">
        <v>354</v>
      </c>
      <c r="M19" s="184">
        <v>18</v>
      </c>
      <c r="N19" s="176">
        <f>M19*$M$9</f>
        <v>0.45</v>
      </c>
      <c r="O19" s="185">
        <v>1E-3</v>
      </c>
      <c r="P19" s="186">
        <f t="shared" si="4"/>
        <v>0.04</v>
      </c>
    </row>
    <row r="20" spans="3:16" x14ac:dyDescent="0.25">
      <c r="C20" s="175" t="s">
        <v>354</v>
      </c>
      <c r="D20" s="245">
        <v>0.45</v>
      </c>
      <c r="E20" s="244">
        <f t="shared" si="5"/>
        <v>18</v>
      </c>
      <c r="F20" s="213">
        <v>1E-3</v>
      </c>
      <c r="G20" s="213">
        <f t="shared" si="6"/>
        <v>0.04</v>
      </c>
      <c r="L20" s="175" t="s">
        <v>346</v>
      </c>
      <c r="M20" s="184">
        <v>4</v>
      </c>
      <c r="N20" s="183">
        <f t="shared" ref="N20:N21" si="7">M20*$M$9</f>
        <v>0.1</v>
      </c>
      <c r="O20" s="187"/>
      <c r="P20" s="187">
        <f t="shared" si="4"/>
        <v>0</v>
      </c>
    </row>
    <row r="21" spans="3:16" x14ac:dyDescent="0.25">
      <c r="C21" s="175" t="s">
        <v>346</v>
      </c>
      <c r="D21" s="213">
        <v>-0.13500000000000001</v>
      </c>
      <c r="E21" s="246">
        <f t="shared" si="5"/>
        <v>-5.4</v>
      </c>
      <c r="F21" s="213">
        <v>5.0000000000000001E-3</v>
      </c>
      <c r="G21" s="213">
        <f t="shared" si="6"/>
        <v>0.2</v>
      </c>
      <c r="L21" s="175" t="s">
        <v>347</v>
      </c>
      <c r="M21" s="184">
        <v>8</v>
      </c>
      <c r="N21" s="183">
        <f t="shared" si="7"/>
        <v>0.2</v>
      </c>
      <c r="O21" s="187"/>
      <c r="P21" s="187">
        <f t="shared" si="4"/>
        <v>0</v>
      </c>
    </row>
    <row r="22" spans="3:16" x14ac:dyDescent="0.25">
      <c r="C22" s="175" t="s">
        <v>347</v>
      </c>
      <c r="D22" s="245">
        <v>0.1</v>
      </c>
      <c r="E22" s="246">
        <f t="shared" si="5"/>
        <v>4</v>
      </c>
      <c r="F22" s="213">
        <v>2E-3</v>
      </c>
      <c r="G22" s="213">
        <f t="shared" si="6"/>
        <v>0.08</v>
      </c>
      <c r="L22" s="175" t="s">
        <v>245</v>
      </c>
      <c r="M22" s="184">
        <v>90</v>
      </c>
      <c r="N22" s="183">
        <f>M22*$M$9</f>
        <v>2.25</v>
      </c>
      <c r="O22" s="185">
        <v>3.0000000000000001E-3</v>
      </c>
      <c r="P22" s="187">
        <f>O22*$D$8</f>
        <v>0.12</v>
      </c>
    </row>
    <row r="23" spans="3:16" x14ac:dyDescent="0.25">
      <c r="C23" s="175" t="s">
        <v>361</v>
      </c>
      <c r="D23" s="213">
        <v>-1.0229999999999999</v>
      </c>
      <c r="E23" s="213">
        <f t="shared" si="5"/>
        <v>-40.919999999999995</v>
      </c>
      <c r="F23" s="213">
        <v>5.0000000000000001E-3</v>
      </c>
      <c r="G23" s="213">
        <f t="shared" si="6"/>
        <v>0.2</v>
      </c>
      <c r="L23" s="175" t="s">
        <v>348</v>
      </c>
      <c r="M23" s="184">
        <v>4</v>
      </c>
      <c r="N23" s="183">
        <f>M23*$M$9</f>
        <v>0.1</v>
      </c>
      <c r="O23" s="185">
        <v>3.0000000000000001E-3</v>
      </c>
      <c r="P23" s="187">
        <f>O23*$D$8</f>
        <v>0.12</v>
      </c>
    </row>
    <row r="24" spans="3:16" ht="18" x14ac:dyDescent="0.25">
      <c r="C24" s="175" t="s">
        <v>245</v>
      </c>
      <c r="D24" s="213">
        <v>2.2850000000000001</v>
      </c>
      <c r="E24" s="213">
        <f t="shared" si="5"/>
        <v>91.4</v>
      </c>
      <c r="F24" s="213">
        <v>3.0000000000000001E-3</v>
      </c>
      <c r="G24" s="213">
        <f t="shared" si="6"/>
        <v>0.12</v>
      </c>
      <c r="L24" s="366" t="s">
        <v>349</v>
      </c>
      <c r="M24" s="367"/>
      <c r="N24" s="367"/>
      <c r="O24" s="188"/>
      <c r="P24" s="189"/>
    </row>
    <row r="25" spans="3:16" x14ac:dyDescent="0.25">
      <c r="C25" s="175" t="s">
        <v>348</v>
      </c>
      <c r="D25" s="213">
        <v>6.5000000000000002E-2</v>
      </c>
      <c r="E25" s="213">
        <f t="shared" si="5"/>
        <v>2.6</v>
      </c>
      <c r="F25" s="213">
        <v>3.0000000000000001E-3</v>
      </c>
      <c r="G25" s="213">
        <f t="shared" si="6"/>
        <v>0.12</v>
      </c>
      <c r="L25" s="175" t="s">
        <v>20</v>
      </c>
      <c r="M25" s="175">
        <v>119</v>
      </c>
      <c r="N25" s="183">
        <f>M25*$M$9</f>
        <v>2.9750000000000001</v>
      </c>
      <c r="O25" s="186">
        <v>0.01</v>
      </c>
      <c r="P25" s="187">
        <f>O25*$D$8</f>
        <v>0.4</v>
      </c>
    </row>
    <row r="26" spans="3:16" ht="18" x14ac:dyDescent="0.25">
      <c r="C26" s="366" t="s">
        <v>349</v>
      </c>
      <c r="D26" s="367"/>
      <c r="E26" s="367"/>
      <c r="F26" s="367"/>
      <c r="G26" s="371"/>
      <c r="L26" s="175" t="s">
        <v>350</v>
      </c>
      <c r="M26" s="175">
        <v>111.63</v>
      </c>
      <c r="N26" s="183">
        <f>M26*$M$9</f>
        <v>2.7907500000000001</v>
      </c>
      <c r="O26" s="186"/>
      <c r="P26" s="187">
        <f>O26*$D$8</f>
        <v>0</v>
      </c>
    </row>
    <row r="27" spans="3:16" x14ac:dyDescent="0.25">
      <c r="C27" s="175" t="s">
        <v>20</v>
      </c>
      <c r="D27" s="213">
        <v>3.03</v>
      </c>
      <c r="E27" s="244">
        <f>D27*$D$8</f>
        <v>121.19999999999999</v>
      </c>
      <c r="F27" s="213">
        <v>0.01</v>
      </c>
      <c r="G27" s="213">
        <f>F27*$D$8</f>
        <v>0.4</v>
      </c>
      <c r="L27" s="175" t="s">
        <v>351</v>
      </c>
      <c r="M27" s="176">
        <v>628442</v>
      </c>
      <c r="N27" s="183">
        <f>M27*$M$9^3</f>
        <v>9.8194062500000019</v>
      </c>
      <c r="O27" s="186"/>
      <c r="P27" s="187">
        <f>O27*$D$8^3</f>
        <v>0</v>
      </c>
    </row>
    <row r="28" spans="3:16" x14ac:dyDescent="0.25">
      <c r="C28" s="175" t="s">
        <v>350</v>
      </c>
      <c r="D28" s="213">
        <v>2.6659999999999999</v>
      </c>
      <c r="E28" s="244">
        <f>D28*$D$8</f>
        <v>106.64</v>
      </c>
      <c r="F28" s="213">
        <v>5.0000000000000001E-3</v>
      </c>
      <c r="G28" s="213">
        <f>F28*$D$8</f>
        <v>0.2</v>
      </c>
      <c r="L28" s="175" t="s">
        <v>360</v>
      </c>
      <c r="M28" s="175">
        <v>47.6</v>
      </c>
      <c r="N28" s="183">
        <f>M28*$M$9</f>
        <v>1.1900000000000002</v>
      </c>
      <c r="O28" s="186">
        <v>0.01</v>
      </c>
      <c r="P28" s="187">
        <f>O28*$D$8</f>
        <v>0.4</v>
      </c>
    </row>
    <row r="29" spans="3:16" x14ac:dyDescent="0.25">
      <c r="C29" s="175" t="s">
        <v>351</v>
      </c>
      <c r="D29" s="213">
        <v>13.48</v>
      </c>
      <c r="E29" s="241">
        <f>D29*$D$8^3</f>
        <v>862720</v>
      </c>
      <c r="F29" s="213">
        <v>0.05</v>
      </c>
      <c r="G29" s="242">
        <f>F29*$D$8^3</f>
        <v>3200</v>
      </c>
      <c r="L29" s="175" t="s">
        <v>352</v>
      </c>
      <c r="M29" s="176">
        <v>677000</v>
      </c>
      <c r="N29" s="183">
        <f>M29*$M$9^3</f>
        <v>10.578125000000002</v>
      </c>
      <c r="O29" s="186">
        <v>0.2</v>
      </c>
      <c r="P29" s="187">
        <f>O29*$D$8^3</f>
        <v>12800</v>
      </c>
    </row>
    <row r="30" spans="3:16" x14ac:dyDescent="0.25">
      <c r="C30" s="175" t="s">
        <v>466</v>
      </c>
      <c r="D30" s="213">
        <v>0.41</v>
      </c>
      <c r="E30" s="244">
        <f>D30*$D$8</f>
        <v>16.399999999999999</v>
      </c>
      <c r="F30" s="213">
        <v>0.01</v>
      </c>
      <c r="G30" s="213">
        <f>F30*$D$8</f>
        <v>0.4</v>
      </c>
      <c r="L30" s="175" t="s">
        <v>394</v>
      </c>
      <c r="M30" s="184">
        <v>-0.6398740670691363</v>
      </c>
      <c r="N30" s="206">
        <f>M30*$M$9</f>
        <v>-1.5996851676728409E-2</v>
      </c>
      <c r="O30" s="186">
        <v>0.01</v>
      </c>
      <c r="P30" s="187">
        <f>O30*$D$8</f>
        <v>0.4</v>
      </c>
    </row>
    <row r="31" spans="3:16" x14ac:dyDescent="0.25">
      <c r="C31" s="175" t="s">
        <v>352</v>
      </c>
      <c r="D31" s="246">
        <v>12.450412325802287</v>
      </c>
      <c r="E31" s="241">
        <f>D31*$D$8^3</f>
        <v>796826.38885134633</v>
      </c>
      <c r="F31" s="213">
        <v>0.15</v>
      </c>
      <c r="G31" s="243">
        <f>F31*$D$8^3</f>
        <v>9600</v>
      </c>
      <c r="L31" s="175" t="s">
        <v>395</v>
      </c>
      <c r="M31" s="184">
        <v>0</v>
      </c>
      <c r="N31" s="183">
        <f>M31*$M$9</f>
        <v>0</v>
      </c>
      <c r="O31" s="186">
        <v>5.0000000000000001E-3</v>
      </c>
      <c r="P31" s="187">
        <f t="shared" ref="P31:P32" si="8">O31*$D$8</f>
        <v>0.2</v>
      </c>
    </row>
    <row r="32" spans="3:16" x14ac:dyDescent="0.25">
      <c r="C32" s="175" t="s">
        <v>469</v>
      </c>
      <c r="D32" s="245">
        <v>-1.4804832083866548E-2</v>
      </c>
      <c r="E32" s="244">
        <f>D32*$D$8</f>
        <v>-0.59219328335466193</v>
      </c>
      <c r="F32" s="213">
        <v>0.01</v>
      </c>
      <c r="G32" s="213">
        <f>F32*$D$8</f>
        <v>0.4</v>
      </c>
      <c r="L32" s="175" t="s">
        <v>396</v>
      </c>
      <c r="M32" s="184">
        <v>1.792444283194303</v>
      </c>
      <c r="N32" s="206">
        <f>M32*$M$9</f>
        <v>4.4811107079857582E-2</v>
      </c>
      <c r="O32" s="186">
        <v>1.4999999999999999E-2</v>
      </c>
      <c r="P32" s="187">
        <f t="shared" si="8"/>
        <v>0.6</v>
      </c>
    </row>
    <row r="33" spans="1:20" x14ac:dyDescent="0.25">
      <c r="C33" s="175" t="s">
        <v>470</v>
      </c>
      <c r="D33" s="245">
        <v>0</v>
      </c>
      <c r="E33" s="244">
        <f t="shared" ref="E33:G34" si="9">D33*$D$8</f>
        <v>0</v>
      </c>
      <c r="F33" s="213">
        <v>5.0000000000000001E-3</v>
      </c>
      <c r="G33" s="213">
        <f t="shared" si="9"/>
        <v>0.2</v>
      </c>
    </row>
    <row r="34" spans="1:20" x14ac:dyDescent="0.25">
      <c r="C34" s="175" t="s">
        <v>396</v>
      </c>
      <c r="D34" s="245">
        <v>0.14226430380679767</v>
      </c>
      <c r="E34" s="244">
        <f t="shared" si="9"/>
        <v>5.6905721522719066</v>
      </c>
      <c r="F34" s="213">
        <v>0.01</v>
      </c>
      <c r="G34" s="213">
        <f t="shared" si="9"/>
        <v>0.4</v>
      </c>
    </row>
    <row r="35" spans="1:20" s="18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ht="21" x14ac:dyDescent="0.35">
      <c r="A36" s="360" t="s">
        <v>398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</row>
    <row r="37" spans="1:20" x14ac:dyDescent="0.25">
      <c r="L37" t="s">
        <v>384</v>
      </c>
    </row>
    <row r="38" spans="1:20" ht="18.75" x14ac:dyDescent="0.3">
      <c r="C38" s="321" t="s">
        <v>138</v>
      </c>
      <c r="D38" s="322"/>
      <c r="E38" s="322"/>
      <c r="F38" s="322"/>
      <c r="G38" s="322"/>
      <c r="H38" s="322"/>
      <c r="I38" s="322"/>
      <c r="L38" t="s">
        <v>383</v>
      </c>
      <c r="M38" s="176">
        <f xml:space="preserve"> 41715.7*3+105520</f>
        <v>230667.09999999998</v>
      </c>
    </row>
    <row r="39" spans="1:20" ht="18.75" x14ac:dyDescent="0.3">
      <c r="C39" s="138"/>
      <c r="D39" s="343" t="s">
        <v>368</v>
      </c>
      <c r="E39" s="343"/>
      <c r="F39" s="362" t="s">
        <v>369</v>
      </c>
      <c r="G39" s="362"/>
      <c r="H39" s="191"/>
      <c r="I39" s="190"/>
      <c r="L39" s="1" t="s">
        <v>88</v>
      </c>
      <c r="M39" s="3">
        <f>-7.1*COS(5*PI()/180)</f>
        <v>-7.0729823564513934</v>
      </c>
    </row>
    <row r="40" spans="1:20" x14ac:dyDescent="0.25">
      <c r="C40" s="1"/>
      <c r="D40" s="1" t="s">
        <v>357</v>
      </c>
      <c r="E40" s="1" t="s">
        <v>358</v>
      </c>
      <c r="F40" s="60" t="s">
        <v>357</v>
      </c>
      <c r="G40" s="1" t="s">
        <v>358</v>
      </c>
      <c r="H40" s="196"/>
      <c r="L40" s="1" t="s">
        <v>386</v>
      </c>
      <c r="M40" s="3">
        <v>0</v>
      </c>
    </row>
    <row r="41" spans="1:20" ht="18" x14ac:dyDescent="0.25">
      <c r="C41" s="361" t="s">
        <v>372</v>
      </c>
      <c r="D41" s="361"/>
      <c r="E41" s="361"/>
      <c r="F41" s="361"/>
      <c r="G41" s="361"/>
      <c r="H41" s="195"/>
      <c r="L41" s="1" t="s">
        <v>89</v>
      </c>
      <c r="M41" s="3">
        <f>-7.1*SIN(-5*PI()/180)+M30</f>
        <v>-2.106829356076334E-2</v>
      </c>
    </row>
    <row r="42" spans="1:20" x14ac:dyDescent="0.25">
      <c r="C42" s="1" t="s">
        <v>17</v>
      </c>
      <c r="D42" s="13">
        <v>0.23199999999999951</v>
      </c>
      <c r="E42" s="1">
        <v>5.0000000000000001E-3</v>
      </c>
      <c r="F42" s="198">
        <f t="shared" ref="F42:G44" si="10">D42*$D$8</f>
        <v>9.2799999999999798</v>
      </c>
      <c r="G42" s="199">
        <f t="shared" si="10"/>
        <v>0.2</v>
      </c>
      <c r="H42" s="192"/>
      <c r="L42" t="s">
        <v>385</v>
      </c>
      <c r="M42" s="176">
        <v>446036.25</v>
      </c>
    </row>
    <row r="43" spans="1:20" x14ac:dyDescent="0.25">
      <c r="C43" s="1" t="s">
        <v>87</v>
      </c>
      <c r="D43" s="13">
        <v>2.7509999999999994</v>
      </c>
      <c r="E43" s="1">
        <v>5.0000000000000001E-3</v>
      </c>
      <c r="F43" s="198">
        <f t="shared" si="10"/>
        <v>110.03999999999998</v>
      </c>
      <c r="G43" s="199">
        <f t="shared" si="10"/>
        <v>0.2</v>
      </c>
      <c r="H43" s="192"/>
      <c r="L43" s="203" t="s">
        <v>387</v>
      </c>
      <c r="M43" s="204">
        <v>2.6869999999999998</v>
      </c>
    </row>
    <row r="44" spans="1:20" x14ac:dyDescent="0.25">
      <c r="C44" s="1" t="s">
        <v>20</v>
      </c>
      <c r="D44" s="3">
        <v>3.0309999999999997</v>
      </c>
      <c r="E44" s="1">
        <v>0.01</v>
      </c>
      <c r="F44" s="198">
        <f t="shared" si="10"/>
        <v>121.23999999999998</v>
      </c>
      <c r="G44" s="199">
        <f t="shared" si="10"/>
        <v>0.4</v>
      </c>
      <c r="H44" s="192"/>
      <c r="L44" s="203" t="s">
        <v>389</v>
      </c>
      <c r="M44" s="204">
        <v>0</v>
      </c>
    </row>
    <row r="45" spans="1:20" ht="18" x14ac:dyDescent="0.25">
      <c r="C45" s="361" t="s">
        <v>122</v>
      </c>
      <c r="D45" s="361"/>
      <c r="E45" s="361"/>
      <c r="F45" s="361"/>
      <c r="G45" s="361"/>
      <c r="H45" s="192"/>
      <c r="L45" s="203" t="s">
        <v>388</v>
      </c>
      <c r="M45" s="204">
        <v>2.3993900000000004</v>
      </c>
    </row>
    <row r="46" spans="1:20" x14ac:dyDescent="0.25">
      <c r="C46" s="1" t="s">
        <v>49</v>
      </c>
      <c r="D46" s="3">
        <v>10.981606668687714</v>
      </c>
      <c r="E46" s="1">
        <v>0.05</v>
      </c>
      <c r="F46" s="202">
        <f>D46*$D$8^3</f>
        <v>702822.82679601375</v>
      </c>
      <c r="G46" s="200">
        <f>E46*$D$8^3</f>
        <v>3200</v>
      </c>
      <c r="H46" s="192"/>
    </row>
    <row r="47" spans="1:20" x14ac:dyDescent="0.25">
      <c r="C47" s="1" t="s">
        <v>370</v>
      </c>
      <c r="D47" s="3">
        <v>0.14699999999999999</v>
      </c>
      <c r="E47" s="1">
        <v>1E-3</v>
      </c>
      <c r="F47" s="199">
        <f>D47*$D$8</f>
        <v>5.88</v>
      </c>
      <c r="G47" s="199">
        <f>E47*$D$8</f>
        <v>0.04</v>
      </c>
      <c r="H47" s="192"/>
      <c r="L47" s="205" t="s">
        <v>390</v>
      </c>
      <c r="M47" s="176">
        <f>M38+M42</f>
        <v>676703.35</v>
      </c>
    </row>
    <row r="48" spans="1:20" x14ac:dyDescent="0.25">
      <c r="C48" s="39" t="s">
        <v>376</v>
      </c>
      <c r="D48" s="363" t="s">
        <v>374</v>
      </c>
      <c r="E48" s="363"/>
      <c r="F48" s="363"/>
      <c r="G48" s="363"/>
      <c r="H48" s="192"/>
      <c r="L48" s="205" t="s">
        <v>391</v>
      </c>
      <c r="M48">
        <f>1/$M$47*($M$38*M39+$M$42*M43)</f>
        <v>-0.6398740670691363</v>
      </c>
    </row>
    <row r="49" spans="1:20" x14ac:dyDescent="0.25">
      <c r="C49" s="1" t="s">
        <v>375</v>
      </c>
      <c r="D49" s="370" t="s">
        <v>109</v>
      </c>
      <c r="E49" s="370"/>
      <c r="F49" s="370"/>
      <c r="G49" s="370"/>
      <c r="H49" s="192"/>
      <c r="L49" s="205" t="s">
        <v>392</v>
      </c>
      <c r="M49">
        <f t="shared" ref="M49:M50" si="11">1/$M$47*($M$38*M40+$M$42*M44)</f>
        <v>0</v>
      </c>
    </row>
    <row r="50" spans="1:20" ht="18" x14ac:dyDescent="0.25">
      <c r="C50" s="361" t="s">
        <v>367</v>
      </c>
      <c r="D50" s="361"/>
      <c r="E50" s="361"/>
      <c r="F50" s="361"/>
      <c r="G50" s="361"/>
      <c r="H50" s="194"/>
      <c r="I50" s="194"/>
      <c r="L50" s="205" t="s">
        <v>393</v>
      </c>
      <c r="M50" s="80">
        <f t="shared" si="11"/>
        <v>1.5743311389102632</v>
      </c>
    </row>
    <row r="51" spans="1:20" x14ac:dyDescent="0.25">
      <c r="C51" s="1" t="s">
        <v>49</v>
      </c>
      <c r="D51" s="39">
        <v>2.5</v>
      </c>
      <c r="E51" s="1">
        <v>0.03</v>
      </c>
      <c r="F51" s="200">
        <f>D51*$D$8^3</f>
        <v>160000</v>
      </c>
      <c r="G51" s="200">
        <f>E51*$D$8^3</f>
        <v>1920</v>
      </c>
      <c r="H51" s="197"/>
      <c r="I51" s="59"/>
    </row>
    <row r="52" spans="1:20" x14ac:dyDescent="0.25">
      <c r="C52" s="1" t="s">
        <v>370</v>
      </c>
      <c r="D52" s="1">
        <v>2.5190000000000001</v>
      </c>
      <c r="E52" s="1">
        <v>2E-3</v>
      </c>
      <c r="F52" s="199">
        <f>D52*$D$8</f>
        <v>100.76</v>
      </c>
      <c r="G52" s="199">
        <f>E52*$D$8</f>
        <v>0.08</v>
      </c>
    </row>
    <row r="53" spans="1:20" x14ac:dyDescent="0.25">
      <c r="C53" s="39" t="s">
        <v>371</v>
      </c>
      <c r="D53" s="48">
        <v>10586.174499319059</v>
      </c>
      <c r="E53" s="214">
        <v>500</v>
      </c>
      <c r="F53" s="200">
        <f>D53*$D$8^5</f>
        <v>1084024268730.2716</v>
      </c>
      <c r="G53" s="215">
        <f>E53*$D$8^5</f>
        <v>51200000000</v>
      </c>
    </row>
    <row r="54" spans="1:20" x14ac:dyDescent="0.25">
      <c r="C54" s="17" t="s">
        <v>427</v>
      </c>
      <c r="D54" s="48">
        <v>4.219127517844552E-4</v>
      </c>
      <c r="E54" s="214">
        <v>1.0000000000000001E-5</v>
      </c>
      <c r="F54" s="200">
        <f>D54*$D$8^4</f>
        <v>1080.0966445682054</v>
      </c>
      <c r="G54" s="215">
        <f>E54*$D$8^4</f>
        <v>25.6</v>
      </c>
      <c r="L54" s="1" t="s">
        <v>123</v>
      </c>
      <c r="M54" s="39">
        <v>3.0646367874423248</v>
      </c>
      <c r="N54" s="63">
        <v>26</v>
      </c>
    </row>
    <row r="55" spans="1:20" ht="18" x14ac:dyDescent="0.25">
      <c r="C55" s="361" t="s">
        <v>373</v>
      </c>
      <c r="D55" s="361"/>
      <c r="E55" s="361"/>
      <c r="F55" s="361"/>
      <c r="G55" s="361"/>
      <c r="H55" s="193"/>
      <c r="I55" s="193"/>
      <c r="L55" s="1" t="s">
        <v>122</v>
      </c>
      <c r="M55" s="39">
        <v>4.3628307537629674</v>
      </c>
      <c r="N55" s="62">
        <v>77</v>
      </c>
    </row>
    <row r="56" spans="1:20" x14ac:dyDescent="0.25">
      <c r="C56" s="1" t="s">
        <v>49</v>
      </c>
      <c r="D56" s="39">
        <v>12.450412325802287</v>
      </c>
      <c r="E56" s="1">
        <v>0.1</v>
      </c>
      <c r="F56" s="200">
        <f>D56*$D$8^3</f>
        <v>796826.38885134633</v>
      </c>
      <c r="G56" s="200">
        <f>E56*$D$8^3</f>
        <v>6400</v>
      </c>
      <c r="H56" s="61"/>
      <c r="I56" s="61"/>
      <c r="L56" s="1" t="s">
        <v>121</v>
      </c>
      <c r="M56" s="39">
        <v>2.6251576134453067</v>
      </c>
      <c r="N56" s="62">
        <v>24</v>
      </c>
    </row>
    <row r="57" spans="1:20" x14ac:dyDescent="0.25">
      <c r="C57" s="1" t="s">
        <v>377</v>
      </c>
      <c r="D57" s="32">
        <v>-1.4804832083866548E-2</v>
      </c>
      <c r="E57" s="1">
        <v>2E-3</v>
      </c>
      <c r="F57" s="201">
        <f>D57*$D$8</f>
        <v>-0.59219328335466193</v>
      </c>
      <c r="G57" s="199">
        <f>E57*$D$8</f>
        <v>0.08</v>
      </c>
      <c r="H57" s="61"/>
      <c r="I57" s="61"/>
      <c r="L57" s="1" t="s">
        <v>131</v>
      </c>
      <c r="M57" s="39">
        <v>0.92898151403711604</v>
      </c>
      <c r="N57" s="63">
        <v>20</v>
      </c>
    </row>
    <row r="58" spans="1:20" x14ac:dyDescent="0.25">
      <c r="C58" s="1" t="s">
        <v>378</v>
      </c>
      <c r="D58" s="32">
        <v>-9.4682065652634904E-4</v>
      </c>
      <c r="E58" s="1">
        <v>2E-3</v>
      </c>
      <c r="F58" s="201">
        <f t="shared" ref="F58:G59" si="12">D58*$D$8</f>
        <v>-3.7872826261053961E-2</v>
      </c>
      <c r="G58" s="199">
        <f t="shared" si="12"/>
        <v>0.08</v>
      </c>
      <c r="H58" s="61"/>
      <c r="I58" s="61"/>
    </row>
    <row r="59" spans="1:20" x14ac:dyDescent="0.25">
      <c r="C59" s="1" t="s">
        <v>379</v>
      </c>
      <c r="D59" s="32">
        <v>0.14226430380679767</v>
      </c>
      <c r="E59" s="1">
        <v>5.0000000000000001E-3</v>
      </c>
      <c r="F59" s="198">
        <f t="shared" si="12"/>
        <v>5.6905721522719066</v>
      </c>
      <c r="G59" s="199">
        <f t="shared" si="12"/>
        <v>0.2</v>
      </c>
      <c r="H59" s="61"/>
      <c r="I59" s="61"/>
    </row>
    <row r="60" spans="1:20" x14ac:dyDescent="0.25">
      <c r="C60" s="17" t="s">
        <v>380</v>
      </c>
      <c r="D60" s="3">
        <v>7.1809999999999999E-2</v>
      </c>
      <c r="E60" s="199">
        <v>0.03</v>
      </c>
      <c r="F60" s="200">
        <f>D60*$D$8^5</f>
        <v>7353344</v>
      </c>
      <c r="G60" s="200">
        <f>E60*$D$8^5</f>
        <v>3072000</v>
      </c>
      <c r="H60" s="61"/>
      <c r="I60" s="61"/>
    </row>
    <row r="61" spans="1:20" x14ac:dyDescent="0.25">
      <c r="C61" s="1" t="s">
        <v>381</v>
      </c>
      <c r="D61" s="3">
        <v>0.26600000000000001</v>
      </c>
      <c r="E61" s="199">
        <v>0.05</v>
      </c>
      <c r="F61" s="200">
        <f t="shared" ref="F61:G62" si="13">D61*$D$8^5</f>
        <v>27238400</v>
      </c>
      <c r="G61" s="200">
        <f t="shared" si="13"/>
        <v>5120000</v>
      </c>
      <c r="H61" s="61"/>
      <c r="I61" s="61"/>
    </row>
    <row r="62" spans="1:20" x14ac:dyDescent="0.25">
      <c r="C62" s="1" t="s">
        <v>382</v>
      </c>
      <c r="D62" s="3">
        <v>0.23658399999999999</v>
      </c>
      <c r="E62" s="199">
        <v>0.05</v>
      </c>
      <c r="F62" s="200">
        <f t="shared" si="13"/>
        <v>24226201.599999998</v>
      </c>
      <c r="G62" s="200">
        <f t="shared" si="13"/>
        <v>5120000</v>
      </c>
      <c r="H62" s="61"/>
      <c r="I62" s="61"/>
    </row>
    <row r="63" spans="1:20" x14ac:dyDescent="0.25">
      <c r="C63" s="64"/>
      <c r="E63" s="61"/>
    </row>
    <row r="64" spans="1:20" ht="21" x14ac:dyDescent="0.35">
      <c r="A64" s="360" t="s">
        <v>399</v>
      </c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60"/>
      <c r="T64" s="360"/>
    </row>
    <row r="65" spans="3:7" ht="18.75" x14ac:dyDescent="0.3">
      <c r="C65" s="359" t="s">
        <v>400</v>
      </c>
      <c r="D65" s="359"/>
      <c r="E65" s="359"/>
      <c r="F65" s="359"/>
      <c r="G65" s="359"/>
    </row>
    <row r="66" spans="3:7" x14ac:dyDescent="0.25">
      <c r="C66" s="1"/>
      <c r="D66" s="1" t="s">
        <v>344</v>
      </c>
      <c r="E66" s="1" t="s">
        <v>343</v>
      </c>
      <c r="F66" s="11"/>
    </row>
    <row r="67" spans="3:7" x14ac:dyDescent="0.25">
      <c r="C67" s="1" t="s">
        <v>401</v>
      </c>
      <c r="D67" s="1">
        <v>600</v>
      </c>
      <c r="E67" s="2">
        <f>D67*scale</f>
        <v>15</v>
      </c>
      <c r="F67" s="11"/>
    </row>
    <row r="68" spans="3:7" x14ac:dyDescent="0.25">
      <c r="C68" s="1" t="s">
        <v>405</v>
      </c>
      <c r="D68" s="1">
        <v>12</v>
      </c>
      <c r="E68" s="3">
        <f>D68*scale</f>
        <v>0.30000000000000004</v>
      </c>
    </row>
    <row r="69" spans="3:7" x14ac:dyDescent="0.25">
      <c r="C69" s="1" t="s">
        <v>404</v>
      </c>
      <c r="D69" s="1">
        <v>10.5</v>
      </c>
      <c r="E69" s="3">
        <f>D69*scale</f>
        <v>0.26250000000000001</v>
      </c>
      <c r="F69" s="11"/>
    </row>
    <row r="70" spans="3:7" x14ac:dyDescent="0.25">
      <c r="C70" s="1" t="s">
        <v>402</v>
      </c>
      <c r="D70" s="1">
        <v>0.16</v>
      </c>
      <c r="E70" s="207">
        <f>D70*scale</f>
        <v>4.0000000000000001E-3</v>
      </c>
      <c r="F70" s="11"/>
    </row>
    <row r="71" spans="3:7" x14ac:dyDescent="0.25">
      <c r="C71" s="1" t="s">
        <v>278</v>
      </c>
      <c r="D71" s="208">
        <v>620</v>
      </c>
      <c r="E71" s="3">
        <f>D71*$F$3</f>
        <v>15.5</v>
      </c>
      <c r="F71" s="11"/>
    </row>
    <row r="72" spans="3:7" x14ac:dyDescent="0.25">
      <c r="C72" s="1" t="s">
        <v>403</v>
      </c>
      <c r="D72" s="1">
        <v>48</v>
      </c>
      <c r="E72" s="1">
        <f>D72*$F$3</f>
        <v>1.2000000000000002</v>
      </c>
      <c r="F72" s="11"/>
    </row>
    <row r="73" spans="3:7" x14ac:dyDescent="0.25">
      <c r="C73" s="1" t="s">
        <v>406</v>
      </c>
      <c r="D73" s="1"/>
      <c r="E73" s="1"/>
      <c r="F73" s="11"/>
    </row>
    <row r="74" spans="3:7" x14ac:dyDescent="0.25">
      <c r="C74" s="1"/>
      <c r="D74" s="1"/>
      <c r="E74" s="1"/>
      <c r="F74" s="11"/>
    </row>
    <row r="75" spans="3:7" x14ac:dyDescent="0.25">
      <c r="C75" s="49" t="s">
        <v>407</v>
      </c>
      <c r="F75" s="1"/>
    </row>
    <row r="76" spans="3:7" x14ac:dyDescent="0.25">
      <c r="C76" s="49" t="s">
        <v>408</v>
      </c>
    </row>
    <row r="77" spans="3:7" x14ac:dyDescent="0.25">
      <c r="C77" s="17"/>
      <c r="D77" s="13"/>
      <c r="E77" s="1"/>
      <c r="F77" s="1"/>
    </row>
    <row r="78" spans="3:7" x14ac:dyDescent="0.25">
      <c r="C78" s="1"/>
      <c r="D78" s="1"/>
      <c r="E78" s="1"/>
      <c r="F78" s="1"/>
    </row>
    <row r="79" spans="3:7" x14ac:dyDescent="0.25">
      <c r="C79" s="1"/>
      <c r="D79" s="1"/>
      <c r="E79" s="1"/>
      <c r="F79" s="1"/>
    </row>
    <row r="81" spans="3:5" x14ac:dyDescent="0.25">
      <c r="C81" s="336" t="s">
        <v>409</v>
      </c>
      <c r="D81" s="336"/>
      <c r="E81" s="336"/>
    </row>
    <row r="82" spans="3:5" x14ac:dyDescent="0.25">
      <c r="C82" s="1"/>
      <c r="D82" s="1" t="s">
        <v>369</v>
      </c>
      <c r="E82" s="1" t="s">
        <v>368</v>
      </c>
    </row>
    <row r="83" spans="3:5" x14ac:dyDescent="0.25">
      <c r="C83" s="369" t="s">
        <v>410</v>
      </c>
      <c r="D83" s="369"/>
      <c r="E83" s="369"/>
    </row>
    <row r="84" spans="3:5" ht="15.75" x14ac:dyDescent="0.3">
      <c r="C84" s="209" t="s">
        <v>413</v>
      </c>
      <c r="D84" s="209">
        <v>60</v>
      </c>
      <c r="E84" s="211">
        <v>9.4868329805051381</v>
      </c>
    </row>
    <row r="85" spans="3:5" ht="15.75" x14ac:dyDescent="0.3">
      <c r="C85" s="209" t="s">
        <v>414</v>
      </c>
      <c r="D85" s="209">
        <v>120</v>
      </c>
      <c r="E85" s="211">
        <v>18.973665961010276</v>
      </c>
    </row>
    <row r="86" spans="3:5" ht="15.75" x14ac:dyDescent="0.3">
      <c r="C86" s="209" t="s">
        <v>416</v>
      </c>
      <c r="D86" s="209">
        <v>10</v>
      </c>
      <c r="E86" s="211">
        <v>1.5811388300841898</v>
      </c>
    </row>
    <row r="87" spans="3:5" ht="15.75" x14ac:dyDescent="0.3">
      <c r="C87" s="209" t="s">
        <v>415</v>
      </c>
      <c r="D87" s="209">
        <v>20</v>
      </c>
      <c r="E87" s="211">
        <v>3.1622776601683795</v>
      </c>
    </row>
    <row r="88" spans="3:5" x14ac:dyDescent="0.25">
      <c r="C88" s="368" t="s">
        <v>411</v>
      </c>
      <c r="D88" s="368"/>
      <c r="E88" s="368"/>
    </row>
    <row r="89" spans="3:5" ht="15.75" x14ac:dyDescent="0.3">
      <c r="C89" s="209" t="s">
        <v>417</v>
      </c>
      <c r="D89" s="209">
        <v>20</v>
      </c>
      <c r="E89" s="209">
        <v>0.5</v>
      </c>
    </row>
    <row r="90" spans="3:5" ht="15.75" x14ac:dyDescent="0.3">
      <c r="C90" s="209" t="s">
        <v>418</v>
      </c>
      <c r="D90" s="209">
        <v>30</v>
      </c>
      <c r="E90" s="209">
        <v>0.75</v>
      </c>
    </row>
    <row r="91" spans="3:5" ht="15.75" x14ac:dyDescent="0.3">
      <c r="C91" s="209" t="s">
        <v>419</v>
      </c>
      <c r="D91" s="209">
        <v>5</v>
      </c>
      <c r="E91" s="209">
        <f>D91</f>
        <v>5</v>
      </c>
    </row>
    <row r="92" spans="3:5" x14ac:dyDescent="0.25">
      <c r="C92" s="368" t="s">
        <v>420</v>
      </c>
      <c r="D92" s="368"/>
      <c r="E92" s="368"/>
    </row>
    <row r="93" spans="3:5" ht="15.75" x14ac:dyDescent="0.3">
      <c r="C93" s="209" t="s">
        <v>412</v>
      </c>
      <c r="D93" s="209">
        <v>750</v>
      </c>
      <c r="E93" s="209">
        <f>D93/40</f>
        <v>18.75</v>
      </c>
    </row>
    <row r="94" spans="3:5" ht="15.75" x14ac:dyDescent="0.3">
      <c r="C94" s="209" t="s">
        <v>421</v>
      </c>
      <c r="D94" s="209">
        <v>50</v>
      </c>
      <c r="E94" s="209">
        <f>D94</f>
        <v>50</v>
      </c>
    </row>
    <row r="95" spans="3:5" ht="15.75" x14ac:dyDescent="0.3">
      <c r="C95" s="209" t="s">
        <v>422</v>
      </c>
      <c r="D95" s="209">
        <v>50</v>
      </c>
      <c r="E95" s="209">
        <f>D95/40</f>
        <v>1.25</v>
      </c>
    </row>
    <row r="96" spans="3:5" ht="15.75" x14ac:dyDescent="0.3">
      <c r="C96" s="209" t="s">
        <v>423</v>
      </c>
      <c r="D96" s="209" t="s">
        <v>424</v>
      </c>
      <c r="E96" s="209" t="s">
        <v>425</v>
      </c>
    </row>
    <row r="97" spans="3:5" ht="15.75" x14ac:dyDescent="0.3">
      <c r="C97" s="210" t="s">
        <v>426</v>
      </c>
      <c r="D97" s="209" t="s">
        <v>428</v>
      </c>
      <c r="E97" s="209" t="s">
        <v>429</v>
      </c>
    </row>
  </sheetData>
  <mergeCells count="31">
    <mergeCell ref="C88:E88"/>
    <mergeCell ref="C92:E92"/>
    <mergeCell ref="C7:G7"/>
    <mergeCell ref="D9:E9"/>
    <mergeCell ref="F9:G9"/>
    <mergeCell ref="C11:G11"/>
    <mergeCell ref="C83:E83"/>
    <mergeCell ref="C81:E81"/>
    <mergeCell ref="D49:G49"/>
    <mergeCell ref="C26:G26"/>
    <mergeCell ref="M10:N10"/>
    <mergeCell ref="O10:P10"/>
    <mergeCell ref="L8:Q8"/>
    <mergeCell ref="L12:N12"/>
    <mergeCell ref="L24:N24"/>
    <mergeCell ref="B1:G1"/>
    <mergeCell ref="C2:D2"/>
    <mergeCell ref="C3:D3"/>
    <mergeCell ref="C4:D4"/>
    <mergeCell ref="C65:G65"/>
    <mergeCell ref="A36:T36"/>
    <mergeCell ref="A5:T5"/>
    <mergeCell ref="A64:T64"/>
    <mergeCell ref="C38:I38"/>
    <mergeCell ref="C45:G45"/>
    <mergeCell ref="C55:G55"/>
    <mergeCell ref="C50:G50"/>
    <mergeCell ref="D39:E39"/>
    <mergeCell ref="F39:G39"/>
    <mergeCell ref="C41:G41"/>
    <mergeCell ref="D48:G4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G27" sqref="G27"/>
    </sheetView>
  </sheetViews>
  <sheetFormatPr defaultRowHeight="15" x14ac:dyDescent="0.25"/>
  <cols>
    <col min="1" max="1" width="16" bestFit="1" customWidth="1"/>
    <col min="2" max="2" width="18.5703125" bestFit="1" customWidth="1"/>
    <col min="3" max="3" width="14.7109375" bestFit="1" customWidth="1"/>
  </cols>
  <sheetData>
    <row r="1" spans="1:14" x14ac:dyDescent="0.25">
      <c r="A1" t="s">
        <v>471</v>
      </c>
    </row>
    <row r="2" spans="1:14" ht="15.75" thickBot="1" x14ac:dyDescent="0.3"/>
    <row r="3" spans="1:14" ht="15.75" thickBot="1" x14ac:dyDescent="0.3">
      <c r="A3" s="152" t="s">
        <v>313</v>
      </c>
      <c r="B3" s="152" t="s">
        <v>66</v>
      </c>
      <c r="G3" t="s">
        <v>473</v>
      </c>
      <c r="I3" t="s">
        <v>474</v>
      </c>
      <c r="K3" t="s">
        <v>475</v>
      </c>
    </row>
    <row r="4" spans="1:14" x14ac:dyDescent="0.25">
      <c r="A4" s="153" t="s">
        <v>317</v>
      </c>
      <c r="B4" s="154">
        <v>-0.50397899158583404</v>
      </c>
      <c r="C4">
        <f>B4*40</f>
        <v>-20.159159663433361</v>
      </c>
      <c r="G4">
        <v>0.27200000000000002</v>
      </c>
      <c r="H4">
        <f>G4*40^2</f>
        <v>435.20000000000005</v>
      </c>
      <c r="I4">
        <v>15.69</v>
      </c>
      <c r="J4">
        <f>I4*40</f>
        <v>627.6</v>
      </c>
      <c r="K4">
        <v>0.23499999999999999</v>
      </c>
      <c r="L4">
        <f>K4*40</f>
        <v>9.3999999999999986</v>
      </c>
      <c r="N4">
        <f>J4+L4</f>
        <v>637</v>
      </c>
    </row>
    <row r="5" spans="1:14" x14ac:dyDescent="0.25">
      <c r="A5" s="155" t="s">
        <v>318</v>
      </c>
      <c r="B5" s="156">
        <v>-0.84057377755049201</v>
      </c>
      <c r="C5">
        <f t="shared" ref="C5:C6" si="0">B5*40</f>
        <v>-33.622951102019684</v>
      </c>
    </row>
    <row r="6" spans="1:14" ht="15.75" thickBot="1" x14ac:dyDescent="0.3">
      <c r="A6" s="157" t="s">
        <v>319</v>
      </c>
      <c r="B6" s="158">
        <v>-1.1742501396863301</v>
      </c>
      <c r="C6">
        <f t="shared" si="0"/>
        <v>-46.970005587453201</v>
      </c>
      <c r="G6" t="s">
        <v>476</v>
      </c>
      <c r="I6" t="s">
        <v>477</v>
      </c>
    </row>
    <row r="7" spans="1:14" x14ac:dyDescent="0.25">
      <c r="G7">
        <v>1.2</v>
      </c>
      <c r="H7">
        <f>G7*40</f>
        <v>48</v>
      </c>
      <c r="I7">
        <v>15.96</v>
      </c>
      <c r="J7">
        <f>I7*40</f>
        <v>638.40000000000009</v>
      </c>
    </row>
    <row r="9" spans="1:14" ht="15.75" thickBot="1" x14ac:dyDescent="0.3">
      <c r="G9">
        <v>0.13100000000000001</v>
      </c>
      <c r="H9">
        <f>G9*40</f>
        <v>5.24</v>
      </c>
    </row>
    <row r="10" spans="1:14" ht="15.75" thickBot="1" x14ac:dyDescent="0.3">
      <c r="A10" s="152" t="s">
        <v>313</v>
      </c>
      <c r="B10" s="152" t="s">
        <v>66</v>
      </c>
    </row>
    <row r="11" spans="1:14" x14ac:dyDescent="0.25">
      <c r="A11" s="153" t="s">
        <v>320</v>
      </c>
      <c r="B11" s="154">
        <v>0.96</v>
      </c>
      <c r="C11">
        <f>B11*40</f>
        <v>38.4</v>
      </c>
    </row>
    <row r="12" spans="1:14" x14ac:dyDescent="0.25">
      <c r="A12" s="155" t="s">
        <v>321</v>
      </c>
      <c r="B12" s="156">
        <v>-1.33786154831417E-2</v>
      </c>
      <c r="C12">
        <f t="shared" ref="C12:C13" si="1">B12*40</f>
        <v>-0.53514461932566804</v>
      </c>
    </row>
    <row r="13" spans="1:14" ht="15.75" thickBot="1" x14ac:dyDescent="0.3">
      <c r="A13" s="157" t="s">
        <v>322</v>
      </c>
      <c r="B13" s="158">
        <v>-1.1618922164527701</v>
      </c>
      <c r="C13">
        <f t="shared" si="1"/>
        <v>-46.475688658110805</v>
      </c>
    </row>
    <row r="15" spans="1:14" x14ac:dyDescent="0.25">
      <c r="B15" t="s">
        <v>472</v>
      </c>
    </row>
    <row r="16" spans="1:14" x14ac:dyDescent="0.25">
      <c r="B16">
        <v>-2.5010116999999998E-2</v>
      </c>
      <c r="C16">
        <v>-1.1165641E-2</v>
      </c>
      <c r="D16">
        <v>-4.49006E-4</v>
      </c>
      <c r="E16">
        <v>-4.5416761E-2</v>
      </c>
      <c r="F16">
        <v>0</v>
      </c>
      <c r="G16">
        <v>-7.7230935000000001E-2</v>
      </c>
    </row>
    <row r="24" spans="1:4" ht="54.75" thickBot="1" x14ac:dyDescent="0.3">
      <c r="A24" s="225" t="s">
        <v>439</v>
      </c>
      <c r="B24" s="226" t="s">
        <v>443</v>
      </c>
      <c r="C24" s="226" t="s">
        <v>478</v>
      </c>
    </row>
    <row r="25" spans="1:4" ht="54.75" thickBot="1" x14ac:dyDescent="0.3">
      <c r="A25" s="225" t="s">
        <v>440</v>
      </c>
      <c r="B25" s="226" t="s">
        <v>444</v>
      </c>
      <c r="C25" s="226" t="s">
        <v>479</v>
      </c>
    </row>
    <row r="26" spans="1:4" ht="54.75" thickBot="1" x14ac:dyDescent="0.3">
      <c r="A26" s="225" t="s">
        <v>441</v>
      </c>
      <c r="B26" s="226" t="s">
        <v>445</v>
      </c>
      <c r="C26" s="226" t="s">
        <v>480</v>
      </c>
    </row>
    <row r="27" spans="1:4" ht="36.75" thickBot="1" x14ac:dyDescent="0.3">
      <c r="A27" s="228" t="s">
        <v>442</v>
      </c>
      <c r="B27" s="231">
        <v>5</v>
      </c>
      <c r="C27" s="226">
        <v>200</v>
      </c>
    </row>
    <row r="28" spans="1:4" ht="36.75" thickBot="1" x14ac:dyDescent="0.3">
      <c r="A28" s="228" t="s">
        <v>433</v>
      </c>
      <c r="B28" s="226">
        <v>15.69</v>
      </c>
      <c r="C28" s="226">
        <v>627.59999999999991</v>
      </c>
      <c r="D28">
        <f>C28+$C$35</f>
        <v>636.99999999999989</v>
      </c>
    </row>
    <row r="29" spans="1:4" ht="36.75" thickBot="1" x14ac:dyDescent="0.3">
      <c r="A29" s="228" t="s">
        <v>434</v>
      </c>
      <c r="B29" s="226">
        <v>15.74</v>
      </c>
      <c r="C29" s="226">
        <v>629.6</v>
      </c>
      <c r="D29">
        <f t="shared" ref="D29:D30" si="2">C29+$C$35</f>
        <v>639</v>
      </c>
    </row>
    <row r="30" spans="1:4" ht="36.75" thickBot="1" x14ac:dyDescent="0.3">
      <c r="A30" s="228" t="s">
        <v>435</v>
      </c>
      <c r="B30" s="226">
        <v>15.72</v>
      </c>
      <c r="C30" s="226">
        <v>628.79999999999995</v>
      </c>
      <c r="D30">
        <f t="shared" si="2"/>
        <v>638.19999999999993</v>
      </c>
    </row>
    <row r="31" spans="1:4" ht="36.75" thickBot="1" x14ac:dyDescent="0.3">
      <c r="A31" s="225" t="s">
        <v>455</v>
      </c>
      <c r="B31" s="226">
        <v>3.7</v>
      </c>
      <c r="C31" s="226">
        <v>148</v>
      </c>
    </row>
    <row r="32" spans="1:4" ht="18.75" thickBot="1" x14ac:dyDescent="0.3">
      <c r="A32" s="237" t="s">
        <v>456</v>
      </c>
      <c r="B32" s="235">
        <v>0.23699999999999999</v>
      </c>
      <c r="C32" s="235">
        <v>379.19999999999993</v>
      </c>
    </row>
    <row r="33" spans="1:3" ht="18" x14ac:dyDescent="0.25">
      <c r="A33" s="238" t="s">
        <v>457</v>
      </c>
      <c r="B33" s="235">
        <v>0.27500000000000002</v>
      </c>
      <c r="C33" s="235">
        <v>439.99999999999994</v>
      </c>
    </row>
    <row r="34" spans="1:3" ht="36.75" thickBot="1" x14ac:dyDescent="0.3">
      <c r="A34" s="228" t="s">
        <v>453</v>
      </c>
      <c r="B34" s="240">
        <v>0.43</v>
      </c>
      <c r="C34" s="236">
        <v>27519.999999999993</v>
      </c>
    </row>
    <row r="35" spans="1:3" ht="36.75" thickBot="1" x14ac:dyDescent="0.3">
      <c r="A35" s="227" t="s">
        <v>454</v>
      </c>
      <c r="B35" s="240">
        <v>0.23499999999999999</v>
      </c>
      <c r="C35" s="226">
        <v>9.3999999999999986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7" sqref="I7"/>
    </sheetView>
  </sheetViews>
  <sheetFormatPr defaultRowHeight="15" x14ac:dyDescent="0.25"/>
  <cols>
    <col min="1" max="1" width="16.28515625" customWidth="1"/>
    <col min="2" max="2" width="10.140625" bestFit="1" customWidth="1"/>
  </cols>
  <sheetData>
    <row r="1" spans="1:7" ht="23.25" x14ac:dyDescent="0.35">
      <c r="A1" s="372" t="s">
        <v>492</v>
      </c>
      <c r="B1" s="372"/>
      <c r="C1" s="372"/>
      <c r="D1" s="372"/>
      <c r="E1" s="372"/>
      <c r="F1" s="372"/>
      <c r="G1" s="372"/>
    </row>
    <row r="2" spans="1:7" x14ac:dyDescent="0.25">
      <c r="A2" s="247"/>
      <c r="B2" s="70" t="s">
        <v>481</v>
      </c>
      <c r="C2" s="89">
        <f>C3</f>
        <v>51000000000</v>
      </c>
      <c r="D2" s="70" t="s">
        <v>482</v>
      </c>
      <c r="E2" s="273">
        <v>970000</v>
      </c>
      <c r="F2" s="70"/>
      <c r="G2" s="248"/>
    </row>
    <row r="3" spans="1:7" x14ac:dyDescent="0.25">
      <c r="A3" s="247"/>
      <c r="B3" s="70" t="s">
        <v>483</v>
      </c>
      <c r="C3" s="271">
        <v>51000000000</v>
      </c>
      <c r="D3" s="70"/>
      <c r="F3" s="274">
        <v>2600000000</v>
      </c>
      <c r="G3" s="248"/>
    </row>
    <row r="4" spans="1:7" x14ac:dyDescent="0.25">
      <c r="A4" s="247"/>
      <c r="B4" s="70" t="s">
        <v>484</v>
      </c>
      <c r="C4" s="272">
        <v>1544401323.00278</v>
      </c>
      <c r="D4" s="70"/>
      <c r="E4" s="70"/>
      <c r="F4" s="70"/>
      <c r="G4" s="274">
        <v>2600000000</v>
      </c>
    </row>
    <row r="5" spans="1:7" x14ac:dyDescent="0.25">
      <c r="A5" s="249" t="s">
        <v>485</v>
      </c>
      <c r="B5" s="70" t="s">
        <v>486</v>
      </c>
      <c r="C5" s="273">
        <v>21081599.999999993</v>
      </c>
      <c r="D5" s="250"/>
      <c r="E5" s="250"/>
      <c r="F5" s="250"/>
      <c r="G5" s="251"/>
    </row>
    <row r="6" spans="1:7" ht="30" x14ac:dyDescent="0.25">
      <c r="A6" s="252" t="s">
        <v>487</v>
      </c>
      <c r="B6" s="70" t="s">
        <v>488</v>
      </c>
      <c r="C6" s="150">
        <v>-60.8</v>
      </c>
      <c r="D6" s="70" t="s">
        <v>489</v>
      </c>
      <c r="E6" s="91">
        <f>C5*C6^2</f>
        <v>77931085823.999969</v>
      </c>
      <c r="F6" s="250"/>
      <c r="G6" s="251"/>
    </row>
    <row r="7" spans="1:7" x14ac:dyDescent="0.25">
      <c r="A7" s="247"/>
      <c r="B7" s="70"/>
      <c r="C7" s="70"/>
      <c r="D7" s="250"/>
      <c r="E7" s="250"/>
      <c r="F7" s="250"/>
      <c r="G7" s="251"/>
    </row>
    <row r="8" spans="1:7" x14ac:dyDescent="0.25">
      <c r="A8" s="247" t="s">
        <v>490</v>
      </c>
      <c r="B8" s="253">
        <f>C5</f>
        <v>21081599.999999993</v>
      </c>
      <c r="C8" s="70">
        <v>0</v>
      </c>
      <c r="D8" s="70">
        <v>0</v>
      </c>
      <c r="E8" s="70">
        <v>0</v>
      </c>
      <c r="F8" s="70">
        <v>0</v>
      </c>
      <c r="G8" s="248">
        <v>0</v>
      </c>
    </row>
    <row r="9" spans="1:7" x14ac:dyDescent="0.25">
      <c r="A9" s="247"/>
      <c r="B9" s="70">
        <v>0</v>
      </c>
      <c r="C9" s="253">
        <f>C5</f>
        <v>21081599.999999993</v>
      </c>
      <c r="D9" s="250"/>
      <c r="E9" s="70">
        <v>0</v>
      </c>
      <c r="F9" s="70">
        <v>0</v>
      </c>
      <c r="G9" s="248">
        <v>0</v>
      </c>
    </row>
    <row r="10" spans="1:7" x14ac:dyDescent="0.25">
      <c r="A10" s="247"/>
      <c r="B10" s="70">
        <v>0</v>
      </c>
      <c r="C10" s="70">
        <v>0</v>
      </c>
      <c r="D10" s="253">
        <f>C5</f>
        <v>21081599.999999993</v>
      </c>
      <c r="E10" s="70">
        <v>0</v>
      </c>
      <c r="F10" s="70">
        <v>0</v>
      </c>
      <c r="G10" s="248">
        <v>0</v>
      </c>
    </row>
    <row r="11" spans="1:7" x14ac:dyDescent="0.25">
      <c r="A11" s="247"/>
      <c r="B11" s="70">
        <v>0</v>
      </c>
      <c r="C11" s="70">
        <v>0</v>
      </c>
      <c r="D11" s="250">
        <v>0</v>
      </c>
      <c r="E11" s="253">
        <f>C2</f>
        <v>51000000000</v>
      </c>
      <c r="F11" s="70">
        <v>0</v>
      </c>
      <c r="G11" s="248">
        <v>0</v>
      </c>
    </row>
    <row r="12" spans="1:7" x14ac:dyDescent="0.25">
      <c r="A12" s="247"/>
      <c r="B12" s="70">
        <v>0</v>
      </c>
      <c r="C12" s="70">
        <v>0</v>
      </c>
      <c r="D12" s="250">
        <v>0</v>
      </c>
      <c r="E12" s="250">
        <v>0</v>
      </c>
      <c r="F12" s="253">
        <f>C3</f>
        <v>51000000000</v>
      </c>
      <c r="G12" s="248">
        <v>0</v>
      </c>
    </row>
    <row r="13" spans="1:7" x14ac:dyDescent="0.25">
      <c r="A13" s="247"/>
      <c r="B13" s="70">
        <v>0</v>
      </c>
      <c r="C13" s="70">
        <v>0</v>
      </c>
      <c r="D13" s="250">
        <v>0</v>
      </c>
      <c r="E13" s="250">
        <v>0</v>
      </c>
      <c r="F13" s="250">
        <v>0</v>
      </c>
      <c r="G13" s="253">
        <f>C4</f>
        <v>1544401323.00278</v>
      </c>
    </row>
    <row r="14" spans="1:7" ht="30.75" thickBot="1" x14ac:dyDescent="0.3">
      <c r="A14" s="252" t="s">
        <v>491</v>
      </c>
      <c r="B14" s="70"/>
      <c r="C14" s="70"/>
      <c r="D14" s="250"/>
      <c r="E14" s="250"/>
      <c r="F14" s="250"/>
      <c r="G14" s="251"/>
    </row>
    <row r="15" spans="1:7" x14ac:dyDescent="0.25">
      <c r="A15" t="s">
        <v>490</v>
      </c>
      <c r="B15" s="254">
        <f>B8</f>
        <v>21081599.999999993</v>
      </c>
      <c r="C15" s="255">
        <v>0</v>
      </c>
      <c r="D15" s="255">
        <v>0</v>
      </c>
      <c r="E15" s="256"/>
      <c r="F15" s="257">
        <f>C5*C6</f>
        <v>-1281761279.9999995</v>
      </c>
      <c r="G15" s="258"/>
    </row>
    <row r="16" spans="1:7" x14ac:dyDescent="0.25">
      <c r="A16" s="247"/>
      <c r="B16" s="259">
        <v>0</v>
      </c>
      <c r="C16" s="260">
        <f>C9</f>
        <v>21081599.999999993</v>
      </c>
      <c r="D16" s="261"/>
      <c r="E16" s="262">
        <f>-F15</f>
        <v>1281761279.9999995</v>
      </c>
      <c r="F16" s="261"/>
      <c r="G16" s="263"/>
    </row>
    <row r="17" spans="1:7" ht="15.75" thickBot="1" x14ac:dyDescent="0.3">
      <c r="A17" s="247"/>
      <c r="B17" s="264">
        <v>0</v>
      </c>
      <c r="C17" s="265">
        <v>0</v>
      </c>
      <c r="D17" s="266">
        <f>D10</f>
        <v>21081599.999999993</v>
      </c>
      <c r="E17" s="264"/>
      <c r="F17" s="265"/>
      <c r="G17" s="267"/>
    </row>
    <row r="18" spans="1:7" x14ac:dyDescent="0.25">
      <c r="A18" s="247"/>
      <c r="B18" s="259"/>
      <c r="C18" s="268">
        <f>-B19</f>
        <v>1281761279.9999995</v>
      </c>
      <c r="D18" s="263"/>
      <c r="E18" s="268">
        <f>E11+E6</f>
        <v>128931085823.99997</v>
      </c>
      <c r="F18" s="261"/>
      <c r="G18" s="263"/>
    </row>
    <row r="19" spans="1:7" x14ac:dyDescent="0.25">
      <c r="A19" s="247"/>
      <c r="B19" s="262">
        <f>C5*C6</f>
        <v>-1281761279.9999995</v>
      </c>
      <c r="C19" s="261"/>
      <c r="D19" s="263"/>
      <c r="E19" s="261"/>
      <c r="F19" s="268">
        <f>E11+E6</f>
        <v>128931085823.99997</v>
      </c>
      <c r="G19" s="263"/>
    </row>
    <row r="20" spans="1:7" ht="15.75" thickBot="1" x14ac:dyDescent="0.3">
      <c r="A20" s="269"/>
      <c r="B20" s="264"/>
      <c r="C20" s="265"/>
      <c r="D20" s="267"/>
      <c r="E20" s="265"/>
      <c r="F20" s="265"/>
      <c r="G20" s="270">
        <f>C4</f>
        <v>1544401323.00278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topLeftCell="A10" workbookViewId="0">
      <selection activeCell="B18" sqref="B18:D29"/>
    </sheetView>
  </sheetViews>
  <sheetFormatPr defaultRowHeight="15" x14ac:dyDescent="0.25"/>
  <cols>
    <col min="2" max="2" width="36" bestFit="1" customWidth="1"/>
    <col min="3" max="3" width="12.7109375" bestFit="1" customWidth="1"/>
    <col min="4" max="4" width="11.28515625" bestFit="1" customWidth="1"/>
  </cols>
  <sheetData>
    <row r="1" spans="2:7" ht="23.25" x14ac:dyDescent="0.25">
      <c r="B1" s="325" t="s">
        <v>502</v>
      </c>
      <c r="C1" s="325"/>
      <c r="D1" s="325"/>
      <c r="E1" s="325"/>
      <c r="F1" s="325"/>
      <c r="G1" s="325"/>
    </row>
    <row r="2" spans="2:7" ht="18.75" x14ac:dyDescent="0.3">
      <c r="B2" s="292" t="s">
        <v>80</v>
      </c>
      <c r="C2" s="326" t="s">
        <v>77</v>
      </c>
      <c r="D2" s="326"/>
      <c r="E2" s="38"/>
      <c r="F2" s="38"/>
      <c r="G2" s="38"/>
    </row>
    <row r="3" spans="2:7" ht="18.75" x14ac:dyDescent="0.3">
      <c r="B3" s="293" t="s">
        <v>78</v>
      </c>
      <c r="C3" s="327" t="s">
        <v>79</v>
      </c>
      <c r="D3" s="327"/>
      <c r="E3" s="30" t="s">
        <v>54</v>
      </c>
      <c r="F3" s="34">
        <f>1/40</f>
        <v>2.5000000000000001E-2</v>
      </c>
      <c r="G3" s="38"/>
    </row>
    <row r="4" spans="2:7" ht="18.75" x14ac:dyDescent="0.3">
      <c r="B4" s="291" t="s">
        <v>146</v>
      </c>
      <c r="C4" s="296">
        <v>0.8</v>
      </c>
      <c r="D4" s="296"/>
      <c r="F4" s="38"/>
      <c r="G4" s="38"/>
    </row>
    <row r="5" spans="2:7" x14ac:dyDescent="0.25">
      <c r="B5" s="379" t="s">
        <v>345</v>
      </c>
      <c r="C5" s="379"/>
      <c r="D5" s="379"/>
    </row>
    <row r="6" spans="2:7" x14ac:dyDescent="0.25">
      <c r="B6" s="373"/>
      <c r="C6" s="374" t="s">
        <v>66</v>
      </c>
      <c r="D6" s="374" t="s">
        <v>67</v>
      </c>
    </row>
    <row r="7" spans="2:7" x14ac:dyDescent="0.25">
      <c r="B7" s="373" t="s">
        <v>49</v>
      </c>
      <c r="C7" s="375">
        <v>20121599.999999993</v>
      </c>
      <c r="D7" s="376">
        <v>12799.999999999998</v>
      </c>
    </row>
    <row r="8" spans="2:7" x14ac:dyDescent="0.25">
      <c r="B8" s="373" t="s">
        <v>55</v>
      </c>
      <c r="C8" s="377">
        <v>-68.8</v>
      </c>
      <c r="D8" s="377">
        <v>0.39999999999999997</v>
      </c>
    </row>
    <row r="9" spans="2:7" x14ac:dyDescent="0.25">
      <c r="B9" s="373" t="s">
        <v>500</v>
      </c>
      <c r="C9" s="374">
        <v>23654399999.999985</v>
      </c>
      <c r="D9" s="378">
        <v>2047999999.9999988</v>
      </c>
    </row>
    <row r="10" spans="2:7" x14ac:dyDescent="0.25">
      <c r="B10" s="373" t="s">
        <v>499</v>
      </c>
      <c r="C10" s="374">
        <v>23654399999.999985</v>
      </c>
      <c r="D10" s="378">
        <v>2047999999.9999988</v>
      </c>
    </row>
    <row r="11" spans="2:7" x14ac:dyDescent="0.25">
      <c r="B11" s="373" t="s">
        <v>501</v>
      </c>
      <c r="C11" s="376">
        <v>620000000</v>
      </c>
      <c r="D11" s="378">
        <v>10000000</v>
      </c>
    </row>
    <row r="12" spans="2:7" x14ac:dyDescent="0.25">
      <c r="B12" s="373" t="s">
        <v>325</v>
      </c>
      <c r="C12" s="377">
        <v>-9.5923123657234294E-2</v>
      </c>
      <c r="D12" s="377">
        <v>0.1</v>
      </c>
    </row>
    <row r="13" spans="2:7" x14ac:dyDescent="0.25">
      <c r="B13" s="373" t="s">
        <v>56</v>
      </c>
      <c r="C13" s="377">
        <v>-91.4</v>
      </c>
      <c r="D13" s="377">
        <f>0.003*40</f>
        <v>0.12</v>
      </c>
    </row>
    <row r="14" spans="2:7" x14ac:dyDescent="0.25">
      <c r="B14" s="373" t="s">
        <v>106</v>
      </c>
      <c r="C14" s="375">
        <v>21759.999999999996</v>
      </c>
      <c r="D14" s="378">
        <f>PI()*0.28^2/4*0.003*40^3</f>
        <v>11.822441473989111</v>
      </c>
    </row>
    <row r="17" spans="2:5" x14ac:dyDescent="0.25">
      <c r="B17" s="379" t="s">
        <v>503</v>
      </c>
      <c r="C17" s="379"/>
      <c r="D17" s="379"/>
    </row>
    <row r="18" spans="2:5" x14ac:dyDescent="0.25">
      <c r="B18" s="373"/>
      <c r="C18" s="374" t="s">
        <v>66</v>
      </c>
      <c r="D18" s="374" t="s">
        <v>67</v>
      </c>
    </row>
    <row r="19" spans="2:5" x14ac:dyDescent="0.25">
      <c r="B19" s="381" t="s">
        <v>504</v>
      </c>
      <c r="C19" s="382"/>
      <c r="D19" s="383"/>
    </row>
    <row r="20" spans="2:5" x14ac:dyDescent="0.25">
      <c r="B20" s="373" t="s">
        <v>97</v>
      </c>
      <c r="C20" s="374">
        <v>638086.3888513461</v>
      </c>
      <c r="D20" s="374">
        <v>6399.9999999999991</v>
      </c>
    </row>
    <row r="21" spans="2:5" x14ac:dyDescent="0.25">
      <c r="B21" s="373" t="s">
        <v>98</v>
      </c>
      <c r="C21" s="380">
        <v>1.0200656136189949</v>
      </c>
      <c r="D21" s="380">
        <v>0.08</v>
      </c>
    </row>
    <row r="22" spans="2:5" x14ac:dyDescent="0.25">
      <c r="B22" s="373" t="s">
        <v>99</v>
      </c>
      <c r="C22" s="377">
        <v>0</v>
      </c>
      <c r="D22" s="380">
        <v>0.08</v>
      </c>
    </row>
    <row r="23" spans="2:5" x14ac:dyDescent="0.25">
      <c r="B23" s="373" t="s">
        <v>100</v>
      </c>
      <c r="C23" s="377">
        <v>4.3199637333668859</v>
      </c>
      <c r="D23" s="377">
        <v>0.19999999999999998</v>
      </c>
    </row>
    <row r="24" spans="2:5" x14ac:dyDescent="0.25">
      <c r="B24" s="381" t="s">
        <v>275</v>
      </c>
      <c r="C24" s="382"/>
      <c r="D24" s="383"/>
    </row>
    <row r="25" spans="2:5" x14ac:dyDescent="0.25">
      <c r="B25" s="373" t="s">
        <v>17</v>
      </c>
      <c r="C25" s="377">
        <v>9.2799999999999798</v>
      </c>
      <c r="D25" s="377">
        <v>0.1</v>
      </c>
      <c r="E25">
        <f>0.003*40</f>
        <v>0.12</v>
      </c>
    </row>
    <row r="26" spans="2:5" x14ac:dyDescent="0.25">
      <c r="B26" s="373" t="s">
        <v>18</v>
      </c>
      <c r="C26" s="377">
        <v>100.76</v>
      </c>
      <c r="D26" s="377">
        <v>0.08</v>
      </c>
    </row>
    <row r="27" spans="2:5" x14ac:dyDescent="0.25">
      <c r="B27" s="373" t="s">
        <v>87</v>
      </c>
      <c r="C27" s="377">
        <v>110.03999999999998</v>
      </c>
      <c r="D27" s="377">
        <f>D26+D25</f>
        <v>0.18</v>
      </c>
    </row>
    <row r="28" spans="2:5" x14ac:dyDescent="0.25">
      <c r="B28" s="373" t="s">
        <v>175</v>
      </c>
      <c r="C28" s="377">
        <v>10.581194226491629</v>
      </c>
      <c r="D28" s="377">
        <v>0.19999999999999998</v>
      </c>
    </row>
    <row r="29" spans="2:5" x14ac:dyDescent="0.25">
      <c r="B29" s="373" t="s">
        <v>20</v>
      </c>
      <c r="C29" s="377">
        <v>121.23999999999998</v>
      </c>
      <c r="D29" s="377">
        <f>D28+D26+D25</f>
        <v>0.38</v>
      </c>
    </row>
  </sheetData>
  <mergeCells count="8">
    <mergeCell ref="B19:D19"/>
    <mergeCell ref="B24:D24"/>
    <mergeCell ref="B1:G1"/>
    <mergeCell ref="C2:D2"/>
    <mergeCell ref="C3:D3"/>
    <mergeCell ref="C4:D4"/>
    <mergeCell ref="B5:D5"/>
    <mergeCell ref="B17:D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Main info Mass</vt:lpstr>
      <vt:lpstr>Tower details</vt:lpstr>
      <vt:lpstr>Computations</vt:lpstr>
      <vt:lpstr>Moorings</vt:lpstr>
      <vt:lpstr>Main dim papers</vt:lpstr>
      <vt:lpstr>Moorings help eq pos</vt:lpstr>
      <vt:lpstr>Freqeuncy domain model</vt:lpstr>
      <vt:lpstr>OpenFAST model</vt:lpstr>
      <vt:lpstr>g</vt:lpstr>
      <vt:lpstr>scale</vt:lpstr>
    </vt:vector>
  </TitlesOfParts>
  <Company>Ecole Centrale de Nantes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Arnal</dc:creator>
  <cp:lastModifiedBy>Vincent Arnal</cp:lastModifiedBy>
  <dcterms:created xsi:type="dcterms:W3CDTF">2020-03-27T14:28:35Z</dcterms:created>
  <dcterms:modified xsi:type="dcterms:W3CDTF">2020-09-12T12:06:42Z</dcterms:modified>
</cp:coreProperties>
</file>