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1EFC7AA-DF29-4417-82A5-1F9DB6A4610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 Med" sheetId="8" r:id="rId1"/>
    <sheet name="LC2" sheetId="7" r:id="rId2"/>
    <sheet name="CPL" sheetId="3" r:id="rId3"/>
    <sheet name="LMMCF " sheetId="2" r:id="rId4"/>
    <sheet name="VAP" sheetId="5" r:id="rId5"/>
    <sheet name="Holts" sheetId="10" r:id="rId6"/>
    <sheet name="Winters" sheetId="11" r:id="rId7"/>
  </sheets>
  <externalReferences>
    <externalReference r:id="rId8"/>
  </externalReferences>
  <definedNames>
    <definedName name="solver_adj" localSheetId="2" hidden="1">CPL!$B$30:$K$33</definedName>
    <definedName name="solver_adj" localSheetId="5" hidden="1">Holts!$D$2:$D$3</definedName>
    <definedName name="solver_adj" localSheetId="1" hidden="1">'LC2'!$L$24:$L$27,'LC2'!$B$30:$J$30</definedName>
    <definedName name="solver_adj" localSheetId="3" hidden="1">'LMMCF '!$B$33:$H$39,'LMMCF '!$K$33:$Q$39</definedName>
    <definedName name="solver_adj" localSheetId="0" hidden="1">'P Med'!$H$20:$H$23,'P Med'!$B$20:$G$23</definedName>
    <definedName name="solver_adj" localSheetId="4" hidden="1">VAP!$B$12:$F$16,VAP!$B$20:$F$24,VAP!$B$28:$F$32,VAP!$I$12:$M$16,VAP!$I$20:$M$24,VAP!$I$28:$M$32</definedName>
    <definedName name="solver_adj" localSheetId="6" hidden="1">Winters!$B$4:$B$6</definedName>
    <definedName name="solver_cvg" localSheetId="2" hidden="1">0.0001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5" hidden="1">1</definedName>
    <definedName name="solver_eng" localSheetId="1" hidden="1">2</definedName>
    <definedName name="solver_eng" localSheetId="3" hidden="1">2</definedName>
    <definedName name="solver_eng" localSheetId="0" hidden="1">2</definedName>
    <definedName name="solver_eng" localSheetId="4" hidden="1">2</definedName>
    <definedName name="solver_eng" localSheetId="6" hidden="1">1</definedName>
    <definedName name="solver_est" localSheetId="5" hidden="1">1</definedName>
    <definedName name="solver_est" localSheetId="0" hidden="1">1</definedName>
    <definedName name="solver_est" localSheetId="6" hidden="1">1</definedName>
    <definedName name="solver_itr" localSheetId="2" hidden="1">2147483647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itr" localSheetId="4" hidden="1">2147483647</definedName>
    <definedName name="solver_itr" localSheetId="6" hidden="1">2147483647</definedName>
    <definedName name="solver_lhs1" localSheetId="2" hidden="1">CPL!$B$30:$K$33</definedName>
    <definedName name="solver_lhs1" localSheetId="5" hidden="1">Holts!$D$2:$D$3</definedName>
    <definedName name="solver_lhs1" localSheetId="1" hidden="1">'LC2'!$B$30:$J$30</definedName>
    <definedName name="solver_lhs1" localSheetId="3" hidden="1">'LMMCF '!$B$33:$H$39</definedName>
    <definedName name="solver_lhs1" localSheetId="0" hidden="1">'P Med'!$B$20:$H$23</definedName>
    <definedName name="solver_lhs1" localSheetId="4" hidden="1">VAP!$B$12:$F$16</definedName>
    <definedName name="solver_lhs1" localSheetId="6" hidden="1">Winters!$B$4:$B$6</definedName>
    <definedName name="solver_lhs2" localSheetId="2" hidden="1">CPL!$B$39:$J$39</definedName>
    <definedName name="solver_lhs2" localSheetId="5" hidden="1">Holts!$D$2:$D$3</definedName>
    <definedName name="solver_lhs2" localSheetId="1" hidden="1">'LC2'!$B$39:$J$39</definedName>
    <definedName name="solver_lhs2" localSheetId="3" hidden="1">'LMMCF '!$B$45:$B$53</definedName>
    <definedName name="solver_lhs2" localSheetId="0" hidden="1">'P Med'!$B$37</definedName>
    <definedName name="solver_lhs2" localSheetId="4" hidden="1">VAP!$B$20:$F$24</definedName>
    <definedName name="solver_lhs2" localSheetId="6" hidden="1">Winters!$B$4:$B$6</definedName>
    <definedName name="solver_lhs3" localSheetId="2" hidden="1">CPL!$M$30:$M$33</definedName>
    <definedName name="solver_lhs3" localSheetId="1" hidden="1">'LC2'!$L$24:$L$27</definedName>
    <definedName name="solver_lhs3" localSheetId="3" hidden="1">'LMMCF '!$J$45:$J$53</definedName>
    <definedName name="solver_lhs3" localSheetId="0" hidden="1">'P Med'!$B$40:$G$40</definedName>
    <definedName name="solver_lhs3" localSheetId="4" hidden="1">VAP!$B$28:$F$32</definedName>
    <definedName name="solver_lhs4" localSheetId="2" hidden="1">CPL!$K$30:$K$33</definedName>
    <definedName name="solver_lhs4" localSheetId="3" hidden="1">'LMMCF '!$K$33:$Q$39</definedName>
    <definedName name="solver_lhs4" localSheetId="0" hidden="1">'P Med'!$B$45:$G$48</definedName>
    <definedName name="solver_lhs4" localSheetId="4" hidden="1">VAP!$P$12:$P$16</definedName>
    <definedName name="solver_lhs5" localSheetId="2" hidden="1">CPL!$M$30:$M$33</definedName>
    <definedName name="solver_lhs5" localSheetId="3" hidden="1">'LMMCF '!$T$33:$Z$39</definedName>
    <definedName name="solver_lhs5" localSheetId="4" hidden="1">VAP!$P$20:$P$24</definedName>
    <definedName name="solver_lhs6" localSheetId="4" hidden="1">VAP!$P$28:$P$32</definedName>
    <definedName name="solver_lin" localSheetId="2" hidden="1">1</definedName>
    <definedName name="solver_lin" localSheetId="1" hidden="1">1</definedName>
    <definedName name="solver_lin" localSheetId="3" hidden="1">1</definedName>
    <definedName name="solver_lin" localSheetId="0" hidden="1">1</definedName>
    <definedName name="solver_lin" localSheetId="4" hidden="1">1</definedName>
    <definedName name="solver_mip" localSheetId="2" hidden="1">2147483647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od" localSheetId="4" hidden="1">2147483647</definedName>
    <definedName name="solver_nod" localSheetId="6" hidden="1">2147483647</definedName>
    <definedName name="solver_num" localSheetId="2" hidden="1">3</definedName>
    <definedName name="solver_num" localSheetId="5" hidden="1">2</definedName>
    <definedName name="solver_num" localSheetId="1" hidden="1">3</definedName>
    <definedName name="solver_num" localSheetId="3" hidden="1">5</definedName>
    <definedName name="solver_num" localSheetId="0" hidden="1">4</definedName>
    <definedName name="solver_num" localSheetId="4" hidden="1">6</definedName>
    <definedName name="solver_num" localSheetId="6" hidden="1">2</definedName>
    <definedName name="solver_nwt" localSheetId="5" hidden="1">1</definedName>
    <definedName name="solver_nwt" localSheetId="0" hidden="1">1</definedName>
    <definedName name="solver_nwt" localSheetId="6" hidden="1">1</definedName>
    <definedName name="solver_opt" localSheetId="2" hidden="1">CPL!$B$36</definedName>
    <definedName name="solver_opt" localSheetId="5" hidden="1">Holts!$H$24</definedName>
    <definedName name="solver_opt" localSheetId="1" hidden="1">'LC2'!$B$36</definedName>
    <definedName name="solver_opt" localSheetId="3" hidden="1">'LMMCF '!$B$42</definedName>
    <definedName name="solver_opt" localSheetId="0" hidden="1">'P Med'!$B$34</definedName>
    <definedName name="solver_opt" localSheetId="4" hidden="1">VAP!$B$51</definedName>
    <definedName name="solver_opt" localSheetId="6" hidden="1">Winters!$K$27</definedName>
    <definedName name="solver_pre" localSheetId="2" hidden="1">0.000001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bv" localSheetId="4" hidden="1">1</definedName>
    <definedName name="solver_rbv" localSheetId="6" hidden="1">1</definedName>
    <definedName name="solver_rel1" localSheetId="2" hidden="1">5</definedName>
    <definedName name="solver_rel1" localSheetId="5" hidden="1">1</definedName>
    <definedName name="solver_rel1" localSheetId="1" hidden="1">5</definedName>
    <definedName name="solver_rel1" localSheetId="3" hidden="1">1</definedName>
    <definedName name="solver_rel1" localSheetId="0" hidden="1">5</definedName>
    <definedName name="solver_rel1" localSheetId="4" hidden="1">1</definedName>
    <definedName name="solver_rel1" localSheetId="6" hidden="1">1</definedName>
    <definedName name="solver_rel2" localSheetId="2" hidden="1">2</definedName>
    <definedName name="solver_rel2" localSheetId="5" hidden="1">3</definedName>
    <definedName name="solver_rel2" localSheetId="1" hidden="1">3</definedName>
    <definedName name="solver_rel2" localSheetId="3" hidden="1">2</definedName>
    <definedName name="solver_rel2" localSheetId="0" hidden="1">2</definedName>
    <definedName name="solver_rel2" localSheetId="4" hidden="1">1</definedName>
    <definedName name="solver_rel2" localSheetId="6" hidden="1">3</definedName>
    <definedName name="solver_rel3" localSheetId="2" hidden="1">1</definedName>
    <definedName name="solver_rel3" localSheetId="1" hidden="1">5</definedName>
    <definedName name="solver_rel3" localSheetId="3" hidden="1">2</definedName>
    <definedName name="solver_rel3" localSheetId="0" hidden="1">2</definedName>
    <definedName name="solver_rel3" localSheetId="4" hidden="1">1</definedName>
    <definedName name="solver_rel4" localSheetId="2" hidden="1">5</definedName>
    <definedName name="solver_rel4" localSheetId="3" hidden="1">1</definedName>
    <definedName name="solver_rel4" localSheetId="0" hidden="1">1</definedName>
    <definedName name="solver_rel4" localSheetId="4" hidden="1">2</definedName>
    <definedName name="solver_rel5" localSheetId="2" hidden="1">1</definedName>
    <definedName name="solver_rel5" localSheetId="3" hidden="1">1</definedName>
    <definedName name="solver_rel5" localSheetId="4" hidden="1">2</definedName>
    <definedName name="solver_rel6" localSheetId="4" hidden="1">2</definedName>
    <definedName name="solver_rhs1" localSheetId="2" hidden="1">"binär"</definedName>
    <definedName name="solver_rhs1" localSheetId="5" hidden="1">1</definedName>
    <definedName name="solver_rhs1" localSheetId="1" hidden="1">"binär"</definedName>
    <definedName name="solver_rhs1" localSheetId="3" hidden="1">'LMMCF '!$B$22:$H$28</definedName>
    <definedName name="solver_rhs1" localSheetId="0" hidden="1">"binary"</definedName>
    <definedName name="solver_rhs1" localSheetId="4" hidden="1">VAP!$T$12:$X$16</definedName>
    <definedName name="solver_rhs1" localSheetId="6" hidden="1">1</definedName>
    <definedName name="solver_rhs2" localSheetId="2" hidden="1">CPL!$B$41:$J$41</definedName>
    <definedName name="solver_rhs2" localSheetId="5" hidden="1">0</definedName>
    <definedName name="solver_rhs2" localSheetId="1" hidden="1">'LC2'!$B$41:$J$41</definedName>
    <definedName name="solver_rhs2" localSheetId="3" hidden="1">'LMMCF '!$D$45:$D$53</definedName>
    <definedName name="solver_rhs2" localSheetId="0" hidden="1">2</definedName>
    <definedName name="solver_rhs2" localSheetId="4" hidden="1">VAP!$T$20:$X$24</definedName>
    <definedName name="solver_rhs2" localSheetId="6" hidden="1">0</definedName>
    <definedName name="solver_rhs3" localSheetId="2" hidden="1">CPL!$N$30:$N$33</definedName>
    <definedName name="solver_rhs3" localSheetId="1" hidden="1">"binär"</definedName>
    <definedName name="solver_rhs3" localSheetId="3" hidden="1">'LMMCF '!$L$45:$L$53</definedName>
    <definedName name="solver_rhs3" localSheetId="0" hidden="1">'P Med'!$B$42:$G$42</definedName>
    <definedName name="solver_rhs3" localSheetId="4" hidden="1">VAP!$T$28:$X$32</definedName>
    <definedName name="solver_rhs4" localSheetId="2" hidden="1">"binär"</definedName>
    <definedName name="solver_rhs4" localSheetId="3" hidden="1">'LMMCF '!$K$22:$Q$28</definedName>
    <definedName name="solver_rhs4" localSheetId="0" hidden="1">1</definedName>
    <definedName name="solver_rhs4" localSheetId="4" hidden="1">VAP!$Q$12:$Q$16</definedName>
    <definedName name="solver_rhs5" localSheetId="2" hidden="1">CPL!$N$30:$N$33</definedName>
    <definedName name="solver_rhs5" localSheetId="3" hidden="1">'LMMCF '!$T$22:$Z$28</definedName>
    <definedName name="solver_rhs5" localSheetId="4" hidden="1">VAP!$Q$20:$Q$24</definedName>
    <definedName name="solver_rhs6" localSheetId="4" hidden="1">VAP!$Q$28:$Q$32</definedName>
    <definedName name="solver_rlx" localSheetId="2" hidden="1">2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ol" localSheetId="4" hidden="1">0.01</definedName>
    <definedName name="solver_tol" localSheetId="6" hidden="1">0.01</definedName>
    <definedName name="solver_typ" localSheetId="2" hidden="1">2</definedName>
    <definedName name="solver_typ" localSheetId="5" hidden="1">2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typ" localSheetId="4" hidden="1">1</definedName>
    <definedName name="solver_typ" localSheetId="6" hidden="1">2</definedName>
    <definedName name="solver_val" localSheetId="2" hidden="1">0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6" hidden="1">0</definedName>
    <definedName name="solver_ver" localSheetId="2" hidden="1">2</definedName>
    <definedName name="solver_ver" localSheetId="5" hidden="1">3</definedName>
    <definedName name="solver_ver" localSheetId="1" hidden="1">2</definedName>
    <definedName name="solver_ver" localSheetId="3" hidden="1">3</definedName>
    <definedName name="solver_ver" localSheetId="0" hidden="1">3</definedName>
    <definedName name="solver_ver" localSheetId="4" hidden="1">2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1" l="1"/>
  <c r="H10" i="11"/>
  <c r="D11" i="11"/>
  <c r="E11" i="11"/>
  <c r="D12" i="11"/>
  <c r="E12" i="11"/>
  <c r="F12" i="11" s="1"/>
  <c r="C13" i="11"/>
  <c r="D13" i="11"/>
  <c r="E13" i="11" s="1"/>
  <c r="F13" i="11" s="1"/>
  <c r="C14" i="11"/>
  <c r="D14" i="11"/>
  <c r="E14" i="11" s="1"/>
  <c r="C15" i="11"/>
  <c r="D15" i="11"/>
  <c r="E15" i="11" s="1"/>
  <c r="F11" i="11" s="1"/>
  <c r="C16" i="11"/>
  <c r="D16" i="11"/>
  <c r="E16" i="11"/>
  <c r="C17" i="11"/>
  <c r="D17" i="11"/>
  <c r="E17" i="11" s="1"/>
  <c r="C18" i="11"/>
  <c r="D18" i="11"/>
  <c r="E18" i="11" s="1"/>
  <c r="C19" i="11"/>
  <c r="D19" i="11"/>
  <c r="E19" i="11" s="1"/>
  <c r="C20" i="11"/>
  <c r="D20" i="11"/>
  <c r="E20" i="11"/>
  <c r="D21" i="11"/>
  <c r="E21" i="11"/>
  <c r="D22" i="11"/>
  <c r="E22" i="11" s="1"/>
  <c r="F14" i="11" l="1"/>
  <c r="G11" i="11"/>
  <c r="I11" i="11"/>
  <c r="J11" i="11" s="1"/>
  <c r="K11" i="11" l="1"/>
  <c r="L11" i="11"/>
  <c r="F15" i="11"/>
  <c r="H11" i="11"/>
  <c r="I12" i="11" s="1"/>
  <c r="J12" i="11" s="1"/>
  <c r="G12" i="11"/>
  <c r="K12" i="11" l="1"/>
  <c r="L12" i="11"/>
  <c r="F16" i="11"/>
  <c r="H12" i="11"/>
  <c r="I13" i="11" s="1"/>
  <c r="J13" i="11" s="1"/>
  <c r="G13" i="11"/>
  <c r="K13" i="11" l="1"/>
  <c r="L13" i="11"/>
  <c r="H13" i="11"/>
  <c r="I14" i="11" s="1"/>
  <c r="J14" i="11" s="1"/>
  <c r="F17" i="11"/>
  <c r="G14" i="11"/>
  <c r="K14" i="11" l="1"/>
  <c r="L14" i="11"/>
  <c r="F18" i="11"/>
  <c r="H14" i="11"/>
  <c r="G15" i="11" s="1"/>
  <c r="F19" i="11" l="1"/>
  <c r="H15" i="11"/>
  <c r="I16" i="11" s="1"/>
  <c r="J16" i="11" s="1"/>
  <c r="I15" i="11"/>
  <c r="J15" i="11" s="1"/>
  <c r="G16" i="11" l="1"/>
  <c r="F20" i="11" s="1"/>
  <c r="K16" i="11"/>
  <c r="L16" i="11"/>
  <c r="K15" i="11"/>
  <c r="L15" i="11"/>
  <c r="H16" i="11" l="1"/>
  <c r="I17" i="11" s="1"/>
  <c r="J17" i="11" s="1"/>
  <c r="L17" i="11" s="1"/>
  <c r="G17" i="11"/>
  <c r="H17" i="11" s="1"/>
  <c r="K17" i="11"/>
  <c r="G18" i="11" l="1"/>
  <c r="H18" i="11" s="1"/>
  <c r="I19" i="11" s="1"/>
  <c r="J19" i="11" s="1"/>
  <c r="F21" i="11"/>
  <c r="I18" i="11"/>
  <c r="J18" i="11" s="1"/>
  <c r="K18" i="11" s="1"/>
  <c r="G19" i="11" l="1"/>
  <c r="H19" i="11" s="1"/>
  <c r="I20" i="11" s="1"/>
  <c r="J20" i="11" s="1"/>
  <c r="F22" i="11"/>
  <c r="L18" i="11"/>
  <c r="K19" i="11"/>
  <c r="L19" i="11"/>
  <c r="F23" i="11" l="1"/>
  <c r="G20" i="11"/>
  <c r="H20" i="11" s="1"/>
  <c r="I21" i="11" s="1"/>
  <c r="J21" i="11" s="1"/>
  <c r="F24" i="11"/>
  <c r="K20" i="11"/>
  <c r="L20" i="11"/>
  <c r="L21" i="11" l="1"/>
  <c r="K21" i="11"/>
  <c r="G21" i="11"/>
  <c r="H21" i="11" l="1"/>
  <c r="G22" i="11" s="1"/>
  <c r="F25" i="11"/>
  <c r="I22" i="11" l="1"/>
  <c r="J22" i="11" s="1"/>
  <c r="H22" i="11"/>
  <c r="I25" i="11" s="1"/>
  <c r="F26" i="11"/>
  <c r="K22" i="11"/>
  <c r="K27" i="11" s="1"/>
  <c r="L22" i="11"/>
  <c r="L27" i="11" s="1"/>
  <c r="I24" i="11" l="1"/>
  <c r="I23" i="11"/>
  <c r="I26" i="11"/>
  <c r="E7" i="10" l="1"/>
  <c r="F7" i="10" s="1"/>
  <c r="D6" i="10"/>
  <c r="C6" i="10"/>
  <c r="C7" i="10" s="1"/>
  <c r="H7" i="10" l="1"/>
  <c r="G7" i="10"/>
  <c r="D7" i="10"/>
  <c r="E8" i="10" s="1"/>
  <c r="F8" i="10" s="1"/>
  <c r="C8" i="10"/>
  <c r="H8" i="10" l="1"/>
  <c r="G8" i="10"/>
  <c r="D8" i="10"/>
  <c r="C9" i="10" s="1"/>
  <c r="D9" i="10" l="1"/>
  <c r="C10" i="10" s="1"/>
  <c r="E9" i="10"/>
  <c r="F9" i="10" s="1"/>
  <c r="D10" i="10" l="1"/>
  <c r="C11" i="10" s="1"/>
  <c r="G9" i="10"/>
  <c r="H9" i="10"/>
  <c r="E10" i="10"/>
  <c r="F10" i="10" s="1"/>
  <c r="E12" i="10" l="1"/>
  <c r="F12" i="10" s="1"/>
  <c r="D11" i="10"/>
  <c r="C12" i="10" s="1"/>
  <c r="E11" i="10"/>
  <c r="F11" i="10" s="1"/>
  <c r="H10" i="10"/>
  <c r="G10" i="10"/>
  <c r="D12" i="10" l="1"/>
  <c r="E13" i="10" s="1"/>
  <c r="F13" i="10" s="1"/>
  <c r="G11" i="10"/>
  <c r="H11" i="10"/>
  <c r="H12" i="10"/>
  <c r="G12" i="10"/>
  <c r="G13" i="10" l="1"/>
  <c r="H13" i="10"/>
  <c r="C13" i="10"/>
  <c r="E14" i="10" l="1"/>
  <c r="F14" i="10" s="1"/>
  <c r="C14" i="10"/>
  <c r="D13" i="10"/>
  <c r="H14" i="10" l="1"/>
  <c r="G14" i="10"/>
  <c r="D14" i="10"/>
  <c r="C15" i="10" s="1"/>
  <c r="D15" i="10" l="1"/>
  <c r="E16" i="10" s="1"/>
  <c r="F16" i="10" s="1"/>
  <c r="E15" i="10"/>
  <c r="F15" i="10" s="1"/>
  <c r="G16" i="10" l="1"/>
  <c r="H16" i="10"/>
  <c r="G15" i="10"/>
  <c r="H15" i="10"/>
  <c r="C16" i="10"/>
  <c r="D16" i="10" l="1"/>
  <c r="C17" i="10" s="1"/>
  <c r="D17" i="10" l="1"/>
  <c r="E18" i="10" s="1"/>
  <c r="F18" i="10" s="1"/>
  <c r="E17" i="10"/>
  <c r="F17" i="10" s="1"/>
  <c r="H18" i="10" l="1"/>
  <c r="G18" i="10"/>
  <c r="G17" i="10"/>
  <c r="H17" i="10"/>
  <c r="C18" i="10"/>
  <c r="D18" i="10" l="1"/>
  <c r="C19" i="10" s="1"/>
  <c r="D19" i="10" l="1"/>
  <c r="E20" i="10" s="1"/>
  <c r="F20" i="10" s="1"/>
  <c r="C20" i="10"/>
  <c r="E19" i="10"/>
  <c r="F19" i="10" s="1"/>
  <c r="H20" i="10" l="1"/>
  <c r="H24" i="10" s="1"/>
  <c r="G20" i="10"/>
  <c r="D20" i="10"/>
  <c r="E23" i="10"/>
  <c r="E22" i="10"/>
  <c r="E21" i="10"/>
  <c r="H19" i="10"/>
  <c r="G19" i="10"/>
  <c r="G24" i="10" l="1"/>
  <c r="G48" i="8" l="1"/>
  <c r="F48" i="8"/>
  <c r="E48" i="8"/>
  <c r="D48" i="8"/>
  <c r="C48" i="8"/>
  <c r="B48" i="8"/>
  <c r="G47" i="8"/>
  <c r="F47" i="8"/>
  <c r="E47" i="8"/>
  <c r="D47" i="8"/>
  <c r="C47" i="8"/>
  <c r="B47" i="8"/>
  <c r="G46" i="8"/>
  <c r="F46" i="8"/>
  <c r="E46" i="8"/>
  <c r="D46" i="8"/>
  <c r="C46" i="8"/>
  <c r="B46" i="8"/>
  <c r="G45" i="8"/>
  <c r="F45" i="8"/>
  <c r="E45" i="8"/>
  <c r="D45" i="8"/>
  <c r="C45" i="8"/>
  <c r="B45" i="8"/>
  <c r="G40" i="8"/>
  <c r="F40" i="8"/>
  <c r="E40" i="8"/>
  <c r="D40" i="8"/>
  <c r="C40" i="8"/>
  <c r="B40" i="8"/>
  <c r="B37" i="8"/>
  <c r="G31" i="8"/>
  <c r="F31" i="8"/>
  <c r="E31" i="8"/>
  <c r="D31" i="8"/>
  <c r="C31" i="8"/>
  <c r="B31" i="8"/>
  <c r="G30" i="8"/>
  <c r="F30" i="8"/>
  <c r="E30" i="8"/>
  <c r="D30" i="8"/>
  <c r="C30" i="8"/>
  <c r="B30" i="8"/>
  <c r="G29" i="8"/>
  <c r="F29" i="8"/>
  <c r="E29" i="8"/>
  <c r="D29" i="8"/>
  <c r="C29" i="8"/>
  <c r="B29" i="8"/>
  <c r="G28" i="8"/>
  <c r="F28" i="8"/>
  <c r="E28" i="8"/>
  <c r="D28" i="8"/>
  <c r="C28" i="8"/>
  <c r="B28" i="8"/>
  <c r="B34" i="8" s="1"/>
  <c r="H24" i="8"/>
  <c r="B36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J39" i="7" s="1"/>
  <c r="I24" i="7"/>
  <c r="I39" i="7" s="1"/>
  <c r="H24" i="7"/>
  <c r="H39" i="7" s="1"/>
  <c r="G24" i="7"/>
  <c r="G39" i="7" s="1"/>
  <c r="F24" i="7"/>
  <c r="F39" i="7" s="1"/>
  <c r="E24" i="7"/>
  <c r="E39" i="7" s="1"/>
  <c r="D24" i="7"/>
  <c r="D39" i="7" s="1"/>
  <c r="C24" i="7"/>
  <c r="C39" i="7" s="1"/>
  <c r="B24" i="7"/>
  <c r="B39" i="7" s="1"/>
  <c r="M47" i="5" l="1"/>
  <c r="L48" i="5" s="1"/>
  <c r="J47" i="5"/>
  <c r="F47" i="5"/>
  <c r="E48" i="5" s="1"/>
  <c r="M46" i="5"/>
  <c r="K48" i="5" s="1"/>
  <c r="L46" i="5"/>
  <c r="K47" i="5" s="1"/>
  <c r="F46" i="5"/>
  <c r="D48" i="5" s="1"/>
  <c r="E46" i="5"/>
  <c r="D47" i="5" s="1"/>
  <c r="M45" i="5"/>
  <c r="J48" i="5" s="1"/>
  <c r="L45" i="5"/>
  <c r="K45" i="5"/>
  <c r="J46" i="5" s="1"/>
  <c r="F45" i="5"/>
  <c r="C48" i="5" s="1"/>
  <c r="E45" i="5"/>
  <c r="C47" i="5" s="1"/>
  <c r="M44" i="5"/>
  <c r="I48" i="5" s="1"/>
  <c r="L44" i="5"/>
  <c r="I47" i="5" s="1"/>
  <c r="K44" i="5"/>
  <c r="I46" i="5" s="1"/>
  <c r="J44" i="5"/>
  <c r="I45" i="5" s="1"/>
  <c r="F44" i="5"/>
  <c r="B48" i="5" s="1"/>
  <c r="E44" i="5"/>
  <c r="B47" i="5" s="1"/>
  <c r="M40" i="5"/>
  <c r="L40" i="5"/>
  <c r="K40" i="5"/>
  <c r="J40" i="5"/>
  <c r="I40" i="5"/>
  <c r="F40" i="5"/>
  <c r="E40" i="5"/>
  <c r="D40" i="5"/>
  <c r="C40" i="5"/>
  <c r="B40" i="5"/>
  <c r="M39" i="5"/>
  <c r="L39" i="5"/>
  <c r="K39" i="5"/>
  <c r="J39" i="5"/>
  <c r="I39" i="5"/>
  <c r="F39" i="5"/>
  <c r="E39" i="5"/>
  <c r="D39" i="5"/>
  <c r="C39" i="5"/>
  <c r="B39" i="5"/>
  <c r="M38" i="5"/>
  <c r="L38" i="5"/>
  <c r="K38" i="5"/>
  <c r="J38" i="5"/>
  <c r="I38" i="5"/>
  <c r="F38" i="5"/>
  <c r="E38" i="5"/>
  <c r="D38" i="5"/>
  <c r="C38" i="5"/>
  <c r="B38" i="5"/>
  <c r="M37" i="5"/>
  <c r="L37" i="5"/>
  <c r="K37" i="5"/>
  <c r="J37" i="5"/>
  <c r="I37" i="5"/>
  <c r="F37" i="5"/>
  <c r="E37" i="5"/>
  <c r="D37" i="5"/>
  <c r="C37" i="5"/>
  <c r="B37" i="5"/>
  <c r="M36" i="5"/>
  <c r="L36" i="5"/>
  <c r="K36" i="5"/>
  <c r="J36" i="5"/>
  <c r="I36" i="5"/>
  <c r="F36" i="5"/>
  <c r="E36" i="5"/>
  <c r="D36" i="5"/>
  <c r="C36" i="5"/>
  <c r="B36" i="5"/>
  <c r="P32" i="5"/>
  <c r="P31" i="5"/>
  <c r="P30" i="5"/>
  <c r="P29" i="5"/>
  <c r="P28" i="5"/>
  <c r="P24" i="5"/>
  <c r="P23" i="5"/>
  <c r="P22" i="5"/>
  <c r="P21" i="5"/>
  <c r="P20" i="5"/>
  <c r="P16" i="5"/>
  <c r="P15" i="5"/>
  <c r="P14" i="5"/>
  <c r="P13" i="5"/>
  <c r="P12" i="5"/>
  <c r="E8" i="5"/>
  <c r="D8" i="5"/>
  <c r="C8" i="5"/>
  <c r="B8" i="5"/>
  <c r="D7" i="5"/>
  <c r="C7" i="5"/>
  <c r="B7" i="5"/>
  <c r="C6" i="5"/>
  <c r="B6" i="5"/>
  <c r="B5" i="5"/>
  <c r="C44" i="5" l="1"/>
  <c r="B45" i="5" s="1"/>
  <c r="D44" i="5"/>
  <c r="B46" i="5" s="1"/>
  <c r="D45" i="5"/>
  <c r="C46" i="5" s="1"/>
  <c r="B51" i="5" l="1"/>
  <c r="J39" i="3" l="1"/>
  <c r="I39" i="3"/>
  <c r="H39" i="3"/>
  <c r="G39" i="3"/>
  <c r="F39" i="3"/>
  <c r="E39" i="3"/>
  <c r="D39" i="3"/>
  <c r="C39" i="3"/>
  <c r="B39" i="3"/>
  <c r="B36" i="3"/>
  <c r="N33" i="3"/>
  <c r="M33" i="3"/>
  <c r="N32" i="3"/>
  <c r="M32" i="3"/>
  <c r="N31" i="3"/>
  <c r="M31" i="3"/>
  <c r="N30" i="3"/>
  <c r="M30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53" i="2"/>
  <c r="B53" i="2"/>
  <c r="B52" i="2"/>
  <c r="L51" i="2"/>
  <c r="J51" i="2"/>
  <c r="L50" i="2"/>
  <c r="J50" i="2"/>
  <c r="D50" i="2"/>
  <c r="B50" i="2"/>
  <c r="L49" i="2"/>
  <c r="J49" i="2"/>
  <c r="D49" i="2"/>
  <c r="B49" i="2"/>
  <c r="D48" i="2"/>
  <c r="B48" i="2"/>
  <c r="L47" i="2"/>
  <c r="J47" i="2"/>
  <c r="L46" i="2"/>
  <c r="J46" i="2"/>
  <c r="D46" i="2"/>
  <c r="B46" i="2"/>
  <c r="L45" i="2"/>
  <c r="J45" i="2"/>
  <c r="D45" i="2"/>
  <c r="B45" i="2"/>
  <c r="B42" i="2"/>
  <c r="Z39" i="2"/>
  <c r="Y39" i="2"/>
  <c r="X39" i="2"/>
  <c r="W39" i="2"/>
  <c r="V39" i="2"/>
  <c r="U39" i="2"/>
  <c r="T39" i="2"/>
  <c r="Z38" i="2"/>
  <c r="Y38" i="2"/>
  <c r="X38" i="2"/>
  <c r="W38" i="2"/>
  <c r="V38" i="2"/>
  <c r="U38" i="2"/>
  <c r="T38" i="2"/>
  <c r="Z37" i="2"/>
  <c r="Y37" i="2"/>
  <c r="X37" i="2"/>
  <c r="W37" i="2"/>
  <c r="V37" i="2"/>
  <c r="U37" i="2"/>
  <c r="T37" i="2"/>
  <c r="Z36" i="2"/>
  <c r="Y36" i="2"/>
  <c r="X36" i="2"/>
  <c r="W36" i="2"/>
  <c r="V36" i="2"/>
  <c r="U36" i="2"/>
  <c r="T36" i="2"/>
  <c r="Z35" i="2"/>
  <c r="Y35" i="2"/>
  <c r="X35" i="2"/>
  <c r="W35" i="2"/>
  <c r="V35" i="2"/>
  <c r="U35" i="2"/>
  <c r="T35" i="2"/>
  <c r="Z34" i="2"/>
  <c r="Y34" i="2"/>
  <c r="X34" i="2"/>
  <c r="W34" i="2"/>
  <c r="V34" i="2"/>
  <c r="U34" i="2"/>
  <c r="T34" i="2"/>
  <c r="Z33" i="2"/>
  <c r="Y33" i="2"/>
  <c r="X33" i="2"/>
  <c r="W33" i="2"/>
  <c r="V33" i="2"/>
  <c r="U33" i="2"/>
  <c r="T33" i="2"/>
</calcChain>
</file>

<file path=xl/sharedStrings.xml><?xml version="1.0" encoding="utf-8"?>
<sst xmlns="http://schemas.openxmlformats.org/spreadsheetml/2006/main" count="503" uniqueCount="141">
  <si>
    <t xml:space="preserve">Linear Multi-Commodity Minimum-Cost Flow Problem </t>
  </si>
  <si>
    <t>Distance</t>
  </si>
  <si>
    <t>Supply/Demand first product</t>
  </si>
  <si>
    <t>Supply/Demand second product</t>
  </si>
  <si>
    <t>i</t>
  </si>
  <si>
    <t>o_i</t>
  </si>
  <si>
    <t>d_i</t>
  </si>
  <si>
    <t>i ∈ T</t>
  </si>
  <si>
    <t>Limitation first product</t>
  </si>
  <si>
    <t>Limitation second product</t>
  </si>
  <si>
    <t>Limitation overall</t>
  </si>
  <si>
    <t>i\j</t>
  </si>
  <si>
    <t>x_ij first product</t>
  </si>
  <si>
    <t>x_ij second product</t>
  </si>
  <si>
    <t>Sum of both x_ij</t>
  </si>
  <si>
    <t>Obj. Fct.</t>
  </si>
  <si>
    <t>Constraints</t>
  </si>
  <si>
    <t>=</t>
  </si>
  <si>
    <t>Capacitated Plant Location Model</t>
  </si>
  <si>
    <t>Distance matrix</t>
  </si>
  <si>
    <t>Potential locations</t>
  </si>
  <si>
    <t>Customers</t>
  </si>
  <si>
    <t>Greenville</t>
  </si>
  <si>
    <t>Charleston</t>
  </si>
  <si>
    <t>Columbia</t>
  </si>
  <si>
    <t>Myrtle Beach</t>
  </si>
  <si>
    <t>Florence</t>
  </si>
  <si>
    <t>Sumter</t>
  </si>
  <si>
    <t>Anderson</t>
  </si>
  <si>
    <t>Rock Hill</t>
  </si>
  <si>
    <t>Aiken</t>
  </si>
  <si>
    <t>Greenwood</t>
  </si>
  <si>
    <t>Lancaster</t>
  </si>
  <si>
    <t>Beaufort</t>
  </si>
  <si>
    <t>Hilton Head</t>
  </si>
  <si>
    <t>Fix costs</t>
  </si>
  <si>
    <t>Cap./Dem.</t>
  </si>
  <si>
    <t>c_ij</t>
  </si>
  <si>
    <t>x_ij</t>
  </si>
  <si>
    <t>y_ij</t>
  </si>
  <si>
    <t>Capacities</t>
  </si>
  <si>
    <t>d_j*x_ij</t>
  </si>
  <si>
    <t>q_i*y_i</t>
  </si>
  <si>
    <t>Berlin</t>
  </si>
  <si>
    <t>Frankfurt</t>
  </si>
  <si>
    <t>Paris</t>
  </si>
  <si>
    <t>Lyon</t>
  </si>
  <si>
    <t>Brussels</t>
  </si>
  <si>
    <t>x</t>
  </si>
  <si>
    <t>1 day</t>
  </si>
  <si>
    <t>2 days (TN)</t>
  </si>
  <si>
    <t>1 day (TN)</t>
  </si>
  <si>
    <t>x_ij1</t>
  </si>
  <si>
    <t>y_ij1</t>
  </si>
  <si>
    <t>x_ij2</t>
  </si>
  <si>
    <t>y_ij2</t>
  </si>
  <si>
    <t>x_ij3</t>
  </si>
  <si>
    <t>y_ij3</t>
  </si>
  <si>
    <t>Sum full trips</t>
  </si>
  <si>
    <t>Sum empty trips</t>
  </si>
  <si>
    <t>Profit</t>
  </si>
  <si>
    <t>Costs</t>
  </si>
  <si>
    <t>MAD</t>
  </si>
  <si>
    <t>MSE</t>
  </si>
  <si>
    <t>Demand</t>
  </si>
  <si>
    <t>ANOVA</t>
  </si>
  <si>
    <t>Regression</t>
  </si>
  <si>
    <t>X Variable 1</t>
  </si>
  <si>
    <t>Location Covering Model 2</t>
  </si>
  <si>
    <t>Potential Locations</t>
  </si>
  <si>
    <t>Santa Rosa</t>
  </si>
  <si>
    <t>Taylor</t>
  </si>
  <si>
    <t>Union</t>
  </si>
  <si>
    <t>Volusia</t>
  </si>
  <si>
    <t>Alachua</t>
  </si>
  <si>
    <t>Baker</t>
  </si>
  <si>
    <t>Charlotte</t>
  </si>
  <si>
    <t>Duval</t>
  </si>
  <si>
    <t>Escambia</t>
  </si>
  <si>
    <t>Flagler</t>
  </si>
  <si>
    <t>Gilchrist</t>
  </si>
  <si>
    <t>Holmes</t>
  </si>
  <si>
    <t>Indian River</t>
  </si>
  <si>
    <t>Penalty costs</t>
  </si>
  <si>
    <t>a_ij</t>
  </si>
  <si>
    <t>y_i</t>
  </si>
  <si>
    <t>z_j</t>
  </si>
  <si>
    <t>Maximum travel time</t>
  </si>
  <si>
    <t>&gt;=</t>
  </si>
  <si>
    <t>p-Median Model</t>
  </si>
  <si>
    <t>Location 1</t>
  </si>
  <si>
    <t>Location 2</t>
  </si>
  <si>
    <t>Location 3</t>
  </si>
  <si>
    <t>Location 4</t>
  </si>
  <si>
    <t>Customer 1</t>
  </si>
  <si>
    <t>Customer 2</t>
  </si>
  <si>
    <t>Customer 3</t>
  </si>
  <si>
    <t>Customer 4</t>
  </si>
  <si>
    <t>Customer 5</t>
  </si>
  <si>
    <t>Customer 6</t>
  </si>
  <si>
    <t>VAP</t>
  </si>
  <si>
    <t>alpha =</t>
  </si>
  <si>
    <t>beta =</t>
  </si>
  <si>
    <t>period</t>
  </si>
  <si>
    <t xml:space="preserve">demand </t>
  </si>
  <si>
    <t>level</t>
  </si>
  <si>
    <t>trend</t>
  </si>
  <si>
    <t>forecast</t>
  </si>
  <si>
    <t>error</t>
  </si>
  <si>
    <t>abs. error</t>
  </si>
  <si>
    <t>sq. error</t>
  </si>
  <si>
    <t>Schnittpunkt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</si>
  <si>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</si>
  <si>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</si>
  <si>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</si>
  <si>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</si>
  <si>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</si>
  <si>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</si>
  <si>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</si>
  <si>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Freiheitsgrade (df)</t>
  </si>
  <si>
    <t>Quadratsummen (SS)</t>
  </si>
  <si>
    <t>Mittlere Quadratsumme (MS)</t>
  </si>
  <si>
    <t>Prüfgröße (F)</t>
  </si>
  <si>
    <t>F krit</t>
  </si>
  <si>
    <t>Residue</t>
  </si>
  <si>
    <t>Gesamt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</si>
  <si>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</si>
  <si>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</si>
  <si>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</si>
  <si>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</si>
  <si>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</si>
  <si>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</si>
  <si>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</si>
  <si>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MAD 39,09 before</t>
  </si>
  <si>
    <t>seasonal factors</t>
  </si>
  <si>
    <t>static seasonal factor</t>
  </si>
  <si>
    <t>static regression demand</t>
  </si>
  <si>
    <t>static deseasonalized demand</t>
  </si>
  <si>
    <t>gamma=</t>
  </si>
  <si>
    <t>beta=</t>
  </si>
  <si>
    <t>season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</si>
</sst>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F56A0"/>
      <name val="Calibri"/>
      <family val="2"/>
      <scheme val="minor"/>
    </font>
    <font>
      <b/>
      <sz val="12"/>
      <color rgb="FF0F56A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5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2" borderId="4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0" fontId="2" fillId="2" borderId="14" xfId="1" applyFill="1" applyBorder="1" applyAlignment="1">
      <alignment horizontal="center"/>
    </xf>
    <xf numFmtId="0" fontId="2" fillId="3" borderId="0" xfId="1" applyFill="1" applyAlignment="1">
      <alignment horizontal="center"/>
    </xf>
    <xf numFmtId="0" fontId="2" fillId="3" borderId="8" xfId="1" applyFill="1" applyBorder="1" applyAlignment="1">
      <alignment horizontal="center"/>
    </xf>
    <xf numFmtId="0" fontId="2" fillId="3" borderId="10" xfId="1" applyFill="1" applyBorder="1" applyAlignment="1">
      <alignment horizontal="center"/>
    </xf>
    <xf numFmtId="0" fontId="2" fillId="3" borderId="11" xfId="1" applyFill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4" borderId="16" xfId="1" applyFill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5" borderId="18" xfId="1" applyFill="1" applyBorder="1" applyAlignment="1">
      <alignment horizontal="center"/>
    </xf>
    <xf numFmtId="0" fontId="2" fillId="5" borderId="19" xfId="1" applyFill="1" applyBorder="1" applyAlignment="1">
      <alignment horizontal="center"/>
    </xf>
    <xf numFmtId="0" fontId="2" fillId="0" borderId="18" xfId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5" borderId="20" xfId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0" xfId="1" applyFill="1" applyAlignment="1">
      <alignment horizontal="center"/>
    </xf>
    <xf numFmtId="0" fontId="2" fillId="5" borderId="21" xfId="1" applyFill="1" applyBorder="1" applyAlignment="1">
      <alignment horizontal="center"/>
    </xf>
    <xf numFmtId="0" fontId="2" fillId="0" borderId="21" xfId="1" applyBorder="1" applyAlignment="1">
      <alignment horizontal="center"/>
    </xf>
    <xf numFmtId="0" fontId="2" fillId="5" borderId="8" xfId="1" applyFill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5" borderId="10" xfId="1" applyFill="1" applyBorder="1" applyAlignment="1">
      <alignment horizontal="center"/>
    </xf>
    <xf numFmtId="0" fontId="2" fillId="5" borderId="22" xfId="1" applyFill="1" applyBorder="1" applyAlignment="1">
      <alignment horizontal="center"/>
    </xf>
    <xf numFmtId="0" fontId="2" fillId="0" borderId="22" xfId="1" applyBorder="1" applyAlignment="1">
      <alignment horizontal="center"/>
    </xf>
    <xf numFmtId="0" fontId="2" fillId="5" borderId="11" xfId="1" applyFill="1" applyBorder="1" applyAlignment="1">
      <alignment horizontal="center"/>
    </xf>
    <xf numFmtId="3" fontId="3" fillId="0" borderId="0" xfId="1" applyNumberFormat="1" applyFont="1" applyAlignment="1">
      <alignment horizontal="left"/>
    </xf>
    <xf numFmtId="3" fontId="2" fillId="0" borderId="0" xfId="1" applyNumberFormat="1" applyAlignment="1">
      <alignment horizontal="center"/>
    </xf>
    <xf numFmtId="3" fontId="2" fillId="0" borderId="3" xfId="1" applyNumberFormat="1" applyBorder="1" applyAlignment="1">
      <alignment horizontal="center"/>
    </xf>
    <xf numFmtId="3" fontId="2" fillId="0" borderId="24" xfId="1" applyNumberFormat="1" applyBorder="1" applyAlignment="1">
      <alignment horizontal="center"/>
    </xf>
    <xf numFmtId="3" fontId="2" fillId="0" borderId="6" xfId="1" applyNumberFormat="1" applyBorder="1" applyAlignment="1">
      <alignment horizontal="center"/>
    </xf>
    <xf numFmtId="3" fontId="2" fillId="0" borderId="25" xfId="1" applyNumberFormat="1" applyBorder="1" applyAlignment="1">
      <alignment horizontal="center"/>
    </xf>
    <xf numFmtId="3" fontId="2" fillId="0" borderId="13" xfId="1" applyNumberFormat="1" applyBorder="1" applyAlignment="1">
      <alignment horizontal="center"/>
    </xf>
    <xf numFmtId="3" fontId="5" fillId="0" borderId="26" xfId="1" applyNumberFormat="1" applyFont="1" applyBorder="1" applyAlignment="1">
      <alignment horizontal="center"/>
    </xf>
    <xf numFmtId="3" fontId="5" fillId="0" borderId="13" xfId="1" applyNumberFormat="1" applyFont="1" applyBorder="1" applyAlignment="1">
      <alignment horizontal="center"/>
    </xf>
    <xf numFmtId="3" fontId="3" fillId="0" borderId="14" xfId="1" applyNumberFormat="1" applyFont="1" applyBorder="1" applyAlignment="1">
      <alignment horizontal="center"/>
    </xf>
    <xf numFmtId="3" fontId="2" fillId="0" borderId="27" xfId="1" applyNumberFormat="1" applyBorder="1" applyAlignment="1">
      <alignment horizontal="center"/>
    </xf>
    <xf numFmtId="3" fontId="2" fillId="2" borderId="28" xfId="1" applyNumberFormat="1" applyFill="1" applyBorder="1" applyAlignment="1">
      <alignment horizontal="center"/>
    </xf>
    <xf numFmtId="3" fontId="2" fillId="2" borderId="0" xfId="1" applyNumberFormat="1" applyFill="1" applyAlignment="1">
      <alignment horizontal="center"/>
    </xf>
    <xf numFmtId="3" fontId="2" fillId="2" borderId="21" xfId="1" applyNumberFormat="1" applyFill="1" applyBorder="1" applyAlignment="1">
      <alignment horizontal="center"/>
    </xf>
    <xf numFmtId="3" fontId="5" fillId="0" borderId="0" xfId="1" applyNumberFormat="1" applyFont="1" applyAlignment="1">
      <alignment horizontal="center"/>
    </xf>
    <xf numFmtId="3" fontId="5" fillId="0" borderId="21" xfId="1" applyNumberFormat="1" applyFont="1" applyBorder="1" applyAlignment="1">
      <alignment horizontal="center"/>
    </xf>
    <xf numFmtId="3" fontId="2" fillId="0" borderId="8" xfId="1" applyNumberFormat="1" applyBorder="1" applyAlignment="1">
      <alignment horizontal="center"/>
    </xf>
    <xf numFmtId="3" fontId="2" fillId="0" borderId="29" xfId="1" applyNumberFormat="1" applyBorder="1" applyAlignment="1">
      <alignment horizontal="center"/>
    </xf>
    <xf numFmtId="3" fontId="2" fillId="2" borderId="30" xfId="1" applyNumberFormat="1" applyFill="1" applyBorder="1" applyAlignment="1">
      <alignment horizontal="center"/>
    </xf>
    <xf numFmtId="3" fontId="2" fillId="2" borderId="5" xfId="1" applyNumberFormat="1" applyFill="1" applyBorder="1" applyAlignment="1">
      <alignment horizontal="center"/>
    </xf>
    <xf numFmtId="3" fontId="2" fillId="2" borderId="31" xfId="1" applyNumberFormat="1" applyFill="1" applyBorder="1" applyAlignment="1">
      <alignment horizontal="center"/>
    </xf>
    <xf numFmtId="3" fontId="5" fillId="0" borderId="5" xfId="1" applyNumberFormat="1" applyFont="1" applyBorder="1" applyAlignment="1">
      <alignment horizontal="center"/>
    </xf>
    <xf numFmtId="3" fontId="5" fillId="0" borderId="31" xfId="1" applyNumberFormat="1" applyFont="1" applyBorder="1" applyAlignment="1">
      <alignment horizontal="center"/>
    </xf>
    <xf numFmtId="3" fontId="2" fillId="0" borderId="28" xfId="1" applyNumberFormat="1" applyBorder="1" applyAlignment="1">
      <alignment horizontal="center"/>
    </xf>
    <xf numFmtId="3" fontId="2" fillId="0" borderId="21" xfId="1" applyNumberFormat="1" applyBorder="1" applyAlignment="1">
      <alignment horizontal="center"/>
    </xf>
    <xf numFmtId="3" fontId="2" fillId="0" borderId="30" xfId="1" applyNumberFormat="1" applyBorder="1" applyAlignment="1">
      <alignment horizontal="center"/>
    </xf>
    <xf numFmtId="3" fontId="2" fillId="0" borderId="5" xfId="1" applyNumberFormat="1" applyBorder="1" applyAlignment="1">
      <alignment horizontal="center"/>
    </xf>
    <xf numFmtId="3" fontId="2" fillId="0" borderId="31" xfId="1" applyNumberFormat="1" applyBorder="1" applyAlignment="1">
      <alignment horizontal="center"/>
    </xf>
    <xf numFmtId="3" fontId="2" fillId="0" borderId="32" xfId="1" applyNumberFormat="1" applyBorder="1" applyAlignment="1">
      <alignment horizontal="center"/>
    </xf>
    <xf numFmtId="3" fontId="3" fillId="0" borderId="9" xfId="1" applyNumberFormat="1" applyFont="1" applyBorder="1" applyAlignment="1">
      <alignment horizontal="center"/>
    </xf>
    <xf numFmtId="3" fontId="5" fillId="0" borderId="33" xfId="1" applyNumberFormat="1" applyFont="1" applyBorder="1" applyAlignment="1">
      <alignment horizontal="center"/>
    </xf>
    <xf numFmtId="3" fontId="5" fillId="0" borderId="10" xfId="1" applyNumberFormat="1" applyFont="1" applyBorder="1" applyAlignment="1">
      <alignment horizontal="center"/>
    </xf>
    <xf numFmtId="3" fontId="5" fillId="0" borderId="22" xfId="1" applyNumberFormat="1" applyFont="1" applyBorder="1" applyAlignment="1">
      <alignment horizontal="center"/>
    </xf>
    <xf numFmtId="3" fontId="2" fillId="0" borderId="10" xfId="1" applyNumberFormat="1" applyBorder="1" applyAlignment="1">
      <alignment horizontal="center"/>
    </xf>
    <xf numFmtId="3" fontId="2" fillId="0" borderId="34" xfId="1" applyNumberFormat="1" applyBorder="1" applyAlignment="1">
      <alignment horizontal="center"/>
    </xf>
    <xf numFmtId="3" fontId="2" fillId="0" borderId="11" xfId="1" applyNumberFormat="1" applyBorder="1" applyAlignment="1">
      <alignment horizontal="center"/>
    </xf>
    <xf numFmtId="3" fontId="2" fillId="0" borderId="35" xfId="1" applyNumberFormat="1" applyBorder="1" applyAlignment="1">
      <alignment horizontal="center"/>
    </xf>
    <xf numFmtId="3" fontId="2" fillId="0" borderId="2" xfId="1" applyNumberFormat="1" applyBorder="1" applyAlignment="1">
      <alignment horizontal="center"/>
    </xf>
    <xf numFmtId="3" fontId="2" fillId="0" borderId="7" xfId="1" applyNumberFormat="1" applyBorder="1" applyAlignment="1">
      <alignment horizontal="center"/>
    </xf>
    <xf numFmtId="3" fontId="2" fillId="0" borderId="9" xfId="1" applyNumberFormat="1" applyBorder="1" applyAlignment="1">
      <alignment horizontal="center"/>
    </xf>
    <xf numFmtId="3" fontId="6" fillId="0" borderId="0" xfId="1" applyNumberFormat="1" applyFont="1" applyAlignment="1">
      <alignment horizontal="center"/>
    </xf>
    <xf numFmtId="3" fontId="2" fillId="0" borderId="23" xfId="1" applyNumberFormat="1" applyBorder="1" applyAlignment="1">
      <alignment horizontal="center"/>
    </xf>
    <xf numFmtId="3" fontId="2" fillId="0" borderId="36" xfId="1" applyNumberFormat="1" applyBorder="1" applyAlignment="1">
      <alignment horizontal="center"/>
    </xf>
    <xf numFmtId="3" fontId="5" fillId="0" borderId="23" xfId="1" applyNumberFormat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3" fontId="2" fillId="3" borderId="0" xfId="1" applyNumberFormat="1" applyFill="1" applyAlignment="1">
      <alignment horizontal="center"/>
    </xf>
    <xf numFmtId="3" fontId="2" fillId="3" borderId="21" xfId="1" applyNumberFormat="1" applyFill="1" applyBorder="1" applyAlignment="1">
      <alignment horizontal="center"/>
    </xf>
    <xf numFmtId="3" fontId="2" fillId="3" borderId="27" xfId="1" applyNumberFormat="1" applyFill="1" applyBorder="1" applyAlignment="1">
      <alignment horizontal="center"/>
    </xf>
    <xf numFmtId="3" fontId="5" fillId="0" borderId="27" xfId="1" applyNumberFormat="1" applyFont="1" applyBorder="1" applyAlignment="1">
      <alignment horizontal="center"/>
    </xf>
    <xf numFmtId="3" fontId="5" fillId="5" borderId="21" xfId="1" applyNumberFormat="1" applyFont="1" applyFill="1" applyBorder="1" applyAlignment="1">
      <alignment horizontal="center"/>
    </xf>
    <xf numFmtId="3" fontId="5" fillId="5" borderId="8" xfId="1" applyNumberFormat="1" applyFont="1" applyFill="1" applyBorder="1" applyAlignment="1">
      <alignment horizontal="center"/>
    </xf>
    <xf numFmtId="3" fontId="2" fillId="3" borderId="10" xfId="1" applyNumberFormat="1" applyFill="1" applyBorder="1" applyAlignment="1">
      <alignment horizontal="center"/>
    </xf>
    <xf numFmtId="3" fontId="2" fillId="3" borderId="22" xfId="1" applyNumberFormat="1" applyFill="1" applyBorder="1" applyAlignment="1">
      <alignment horizontal="center"/>
    </xf>
    <xf numFmtId="3" fontId="2" fillId="3" borderId="37" xfId="1" applyNumberFormat="1" applyFill="1" applyBorder="1" applyAlignment="1">
      <alignment horizontal="center"/>
    </xf>
    <xf numFmtId="3" fontId="5" fillId="0" borderId="37" xfId="1" applyNumberFormat="1" applyFont="1" applyBorder="1" applyAlignment="1">
      <alignment horizontal="center"/>
    </xf>
    <xf numFmtId="3" fontId="5" fillId="5" borderId="22" xfId="1" applyNumberFormat="1" applyFont="1" applyFill="1" applyBorder="1" applyAlignment="1">
      <alignment horizontal="center"/>
    </xf>
    <xf numFmtId="3" fontId="5" fillId="5" borderId="11" xfId="1" applyNumberFormat="1" applyFont="1" applyFill="1" applyBorder="1" applyAlignment="1">
      <alignment horizontal="center"/>
    </xf>
    <xf numFmtId="3" fontId="2" fillId="0" borderId="15" xfId="1" applyNumberFormat="1" applyBorder="1" applyAlignment="1">
      <alignment horizontal="center"/>
    </xf>
    <xf numFmtId="3" fontId="2" fillId="4" borderId="16" xfId="1" applyNumberFormat="1" applyFill="1" applyBorder="1" applyAlignment="1">
      <alignment horizontal="center"/>
    </xf>
    <xf numFmtId="3" fontId="2" fillId="0" borderId="17" xfId="1" applyNumberFormat="1" applyBorder="1" applyAlignment="1">
      <alignment horizontal="center"/>
    </xf>
    <xf numFmtId="3" fontId="2" fillId="5" borderId="18" xfId="1" applyNumberFormat="1" applyFill="1" applyBorder="1" applyAlignment="1">
      <alignment horizontal="center"/>
    </xf>
    <xf numFmtId="3" fontId="2" fillId="5" borderId="20" xfId="1" applyNumberFormat="1" applyFill="1" applyBorder="1" applyAlignment="1">
      <alignment horizontal="center"/>
    </xf>
    <xf numFmtId="3" fontId="2" fillId="5" borderId="0" xfId="1" applyNumberFormat="1" applyFill="1" applyAlignment="1">
      <alignment horizontal="center"/>
    </xf>
    <xf numFmtId="3" fontId="2" fillId="5" borderId="8" xfId="1" applyNumberFormat="1" applyFill="1" applyBorder="1" applyAlignment="1">
      <alignment horizontal="center"/>
    </xf>
    <xf numFmtId="3" fontId="2" fillId="5" borderId="10" xfId="1" applyNumberFormat="1" applyFill="1" applyBorder="1" applyAlignment="1">
      <alignment horizontal="center"/>
    </xf>
    <xf numFmtId="3" fontId="2" fillId="5" borderId="11" xfId="1" applyNumberFormat="1" applyFill="1" applyBorder="1" applyAlignment="1">
      <alignment horizontal="center"/>
    </xf>
    <xf numFmtId="0" fontId="2" fillId="0" borderId="35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8" xfId="1" applyBorder="1" applyAlignment="1">
      <alignment horizontal="center"/>
    </xf>
    <xf numFmtId="0" fontId="2" fillId="0" borderId="27" xfId="1" applyBorder="1" applyAlignment="1">
      <alignment horizontal="center"/>
    </xf>
    <xf numFmtId="0" fontId="2" fillId="0" borderId="37" xfId="1" applyBorder="1" applyAlignment="1">
      <alignment horizontal="center"/>
    </xf>
    <xf numFmtId="0" fontId="2" fillId="0" borderId="0" xfId="1" applyAlignment="1">
      <alignment horizontal="left"/>
    </xf>
    <xf numFmtId="4" fontId="2" fillId="0" borderId="0" xfId="1" applyNumberFormat="1" applyAlignment="1">
      <alignment horizontal="center"/>
    </xf>
    <xf numFmtId="4" fontId="2" fillId="0" borderId="21" xfId="1" applyNumberFormat="1" applyBorder="1" applyAlignment="1">
      <alignment horizontal="center"/>
    </xf>
    <xf numFmtId="4" fontId="2" fillId="0" borderId="8" xfId="1" applyNumberForma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26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2" borderId="0" xfId="1" applyFill="1" applyAlignment="1">
      <alignment horizontal="center"/>
    </xf>
    <xf numFmtId="0" fontId="2" fillId="2" borderId="21" xfId="1" applyFill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2" borderId="31" xfId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0" borderId="31" xfId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3" borderId="41" xfId="1" applyFill="1" applyBorder="1" applyAlignment="1">
      <alignment horizontal="center"/>
    </xf>
    <xf numFmtId="0" fontId="2" fillId="3" borderId="16" xfId="1" applyFill="1" applyBorder="1" applyAlignment="1">
      <alignment horizontal="center"/>
    </xf>
    <xf numFmtId="0" fontId="2" fillId="0" borderId="16" xfId="1" applyBorder="1" applyAlignment="1">
      <alignment horizontal="center"/>
    </xf>
    <xf numFmtId="3" fontId="3" fillId="0" borderId="0" xfId="1" applyNumberFormat="1" applyFont="1" applyAlignment="1">
      <alignment horizontal="center"/>
    </xf>
    <xf numFmtId="3" fontId="3" fillId="0" borderId="3" xfId="1" applyNumberFormat="1" applyFont="1" applyBorder="1" applyAlignment="1">
      <alignment horizontal="center"/>
    </xf>
    <xf numFmtId="3" fontId="4" fillId="0" borderId="12" xfId="1" applyNumberFormat="1" applyFont="1" applyBorder="1" applyAlignment="1">
      <alignment horizontal="center"/>
    </xf>
    <xf numFmtId="3" fontId="4" fillId="0" borderId="14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2" fillId="0" borderId="4" xfId="1" applyNumberFormat="1" applyBorder="1" applyAlignment="1">
      <alignment horizontal="center"/>
    </xf>
    <xf numFmtId="3" fontId="2" fillId="0" borderId="26" xfId="1" applyNumberFormat="1" applyBorder="1" applyAlignment="1">
      <alignment horizontal="center"/>
    </xf>
    <xf numFmtId="3" fontId="3" fillId="0" borderId="6" xfId="1" applyNumberFormat="1" applyFont="1" applyBorder="1" applyAlignment="1">
      <alignment horizontal="center"/>
    </xf>
    <xf numFmtId="3" fontId="2" fillId="0" borderId="22" xfId="1" applyNumberFormat="1" applyBorder="1" applyAlignment="1">
      <alignment horizontal="center"/>
    </xf>
    <xf numFmtId="3" fontId="2" fillId="3" borderId="8" xfId="1" applyNumberFormat="1" applyFill="1" applyBorder="1" applyAlignment="1">
      <alignment horizontal="center"/>
    </xf>
    <xf numFmtId="3" fontId="2" fillId="3" borderId="5" xfId="1" applyNumberFormat="1" applyFill="1" applyBorder="1" applyAlignment="1">
      <alignment horizontal="center"/>
    </xf>
    <xf numFmtId="3" fontId="2" fillId="3" borderId="31" xfId="1" applyNumberFormat="1" applyFill="1" applyBorder="1" applyAlignment="1">
      <alignment horizontal="center"/>
    </xf>
    <xf numFmtId="3" fontId="2" fillId="3" borderId="6" xfId="1" applyNumberFormat="1" applyFill="1" applyBorder="1" applyAlignment="1">
      <alignment horizontal="center"/>
    </xf>
    <xf numFmtId="0" fontId="7" fillId="0" borderId="0" xfId="1" applyFont="1"/>
    <xf numFmtId="0" fontId="2" fillId="0" borderId="44" xfId="1" applyBorder="1" applyAlignment="1">
      <alignment horizontal="right"/>
    </xf>
    <xf numFmtId="0" fontId="2" fillId="0" borderId="20" xfId="1" applyBorder="1" applyAlignment="1">
      <alignment horizontal="left"/>
    </xf>
    <xf numFmtId="0" fontId="2" fillId="0" borderId="40" xfId="1" applyBorder="1" applyAlignment="1">
      <alignment horizontal="right"/>
    </xf>
    <xf numFmtId="0" fontId="2" fillId="0" borderId="11" xfId="1" applyBorder="1" applyAlignment="1">
      <alignment horizontal="left"/>
    </xf>
    <xf numFmtId="0" fontId="2" fillId="6" borderId="15" xfId="1" applyFill="1" applyBorder="1" applyAlignment="1">
      <alignment horizontal="center"/>
    </xf>
    <xf numFmtId="0" fontId="2" fillId="6" borderId="45" xfId="1" applyFill="1" applyBorder="1" applyAlignment="1">
      <alignment horizontal="center"/>
    </xf>
    <xf numFmtId="0" fontId="2" fillId="6" borderId="41" xfId="1" applyFill="1" applyBorder="1" applyAlignment="1">
      <alignment horizontal="center"/>
    </xf>
    <xf numFmtId="0" fontId="2" fillId="6" borderId="46" xfId="1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2" fillId="6" borderId="27" xfId="1" applyFill="1" applyBorder="1" applyAlignment="1">
      <alignment horizontal="center"/>
    </xf>
    <xf numFmtId="4" fontId="2" fillId="0" borderId="27" xfId="1" applyNumberFormat="1" applyBorder="1" applyAlignment="1">
      <alignment horizontal="center"/>
    </xf>
    <xf numFmtId="4" fontId="2" fillId="0" borderId="47" xfId="1" applyNumberFormat="1" applyBorder="1" applyAlignment="1">
      <alignment horizontal="center"/>
    </xf>
    <xf numFmtId="0" fontId="2" fillId="0" borderId="10" xfId="1" applyBorder="1"/>
    <xf numFmtId="4" fontId="2" fillId="0" borderId="49" xfId="1" applyNumberFormat="1" applyBorder="1" applyAlignment="1">
      <alignment horizontal="center"/>
    </xf>
    <xf numFmtId="4" fontId="2" fillId="7" borderId="50" xfId="1" applyNumberFormat="1" applyFill="1" applyBorder="1" applyAlignment="1">
      <alignment horizontal="center"/>
    </xf>
    <xf numFmtId="4" fontId="2" fillId="7" borderId="11" xfId="1" applyNumberFormat="1" applyFill="1" applyBorder="1" applyAlignment="1">
      <alignment horizontal="center"/>
    </xf>
    <xf numFmtId="0" fontId="4" fillId="0" borderId="2" xfId="1" applyFont="1" applyBorder="1" applyAlignment="1">
      <alignment horizontal="centerContinuous"/>
    </xf>
    <xf numFmtId="0" fontId="4" fillId="0" borderId="2" xfId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3" fillId="0" borderId="2" xfId="1" applyNumberFormat="1" applyFont="1" applyBorder="1" applyAlignment="1">
      <alignment horizontal="center"/>
    </xf>
    <xf numFmtId="3" fontId="4" fillId="0" borderId="13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26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2" fillId="0" borderId="42" xfId="1" applyBorder="1" applyAlignment="1">
      <alignment horizontal="center"/>
    </xf>
    <xf numFmtId="0" fontId="2" fillId="0" borderId="43" xfId="1" applyBorder="1" applyAlignment="1">
      <alignment horizontal="center"/>
    </xf>
    <xf numFmtId="3" fontId="3" fillId="0" borderId="23" xfId="1" applyNumberFormat="1" applyFont="1" applyBorder="1" applyAlignment="1">
      <alignment horizontal="center"/>
    </xf>
    <xf numFmtId="3" fontId="4" fillId="0" borderId="25" xfId="1" applyNumberFormat="1" applyFont="1" applyBorder="1" applyAlignment="1">
      <alignment horizontal="center"/>
    </xf>
    <xf numFmtId="3" fontId="4" fillId="0" borderId="26" xfId="1" applyNumberFormat="1" applyFont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4" fontId="2" fillId="8" borderId="8" xfId="1" applyNumberFormat="1" applyFill="1" applyBorder="1" applyAlignment="1">
      <alignment horizontal="center"/>
    </xf>
    <xf numFmtId="4" fontId="2" fillId="8" borderId="27" xfId="1" applyNumberFormat="1" applyFill="1" applyBorder="1" applyAlignment="1">
      <alignment horizontal="center"/>
    </xf>
    <xf numFmtId="4" fontId="2" fillId="8" borderId="0" xfId="1" applyNumberFormat="1" applyFill="1" applyAlignment="1">
      <alignment horizontal="center"/>
    </xf>
    <xf numFmtId="4" fontId="2" fillId="8" borderId="47" xfId="1" applyNumberFormat="1" applyFill="1" applyBorder="1" applyAlignment="1">
      <alignment horizontal="center"/>
    </xf>
    <xf numFmtId="4" fontId="2" fillId="8" borderId="37" xfId="1" applyNumberFormat="1" applyFill="1" applyBorder="1" applyAlignment="1">
      <alignment horizontal="center"/>
    </xf>
    <xf numFmtId="4" fontId="2" fillId="8" borderId="10" xfId="1" applyNumberFormat="1" applyFill="1" applyBorder="1" applyAlignment="1">
      <alignment horizontal="center"/>
    </xf>
    <xf numFmtId="4" fontId="2" fillId="8" borderId="48" xfId="1" applyNumberFormat="1" applyFill="1" applyBorder="1" applyAlignment="1">
      <alignment horizontal="center"/>
    </xf>
    <xf numFmtId="0" fontId="2" fillId="8" borderId="27" xfId="1" applyFill="1" applyBorder="1" applyAlignment="1">
      <alignment horizontal="center"/>
    </xf>
    <xf numFmtId="0" fontId="2" fillId="8" borderId="37" xfId="1" applyFill="1" applyBorder="1" applyAlignment="1">
      <alignment horizontal="center"/>
    </xf>
    <xf numFmtId="0" fontId="2" fillId="9" borderId="10" xfId="1" applyFill="1" applyBorder="1"/>
    <xf numFmtId="0" fontId="2" fillId="9" borderId="0" xfId="1" applyFill="1"/>
    <xf numFmtId="0" fontId="2" fillId="10" borderId="0" xfId="1" applyFill="1"/>
    <xf numFmtId="4" fontId="2" fillId="11" borderId="11" xfId="1" applyNumberFormat="1" applyFill="1" applyBorder="1" applyAlignment="1">
      <alignment horizontal="center"/>
    </xf>
    <xf numFmtId="4" fontId="2" fillId="11" borderId="37" xfId="1" applyNumberFormat="1" applyFill="1" applyBorder="1" applyAlignment="1">
      <alignment horizontal="center"/>
    </xf>
    <xf numFmtId="4" fontId="2" fillId="11" borderId="40" xfId="1" applyNumberFormat="1" applyFill="1" applyBorder="1" applyAlignment="1">
      <alignment horizontal="center"/>
    </xf>
    <xf numFmtId="4" fontId="2" fillId="0" borderId="48" xfId="1" applyNumberFormat="1" applyBorder="1" applyAlignment="1">
      <alignment horizontal="center"/>
    </xf>
    <xf numFmtId="4" fontId="2" fillId="11" borderId="10" xfId="1" applyNumberFormat="1" applyFill="1" applyBorder="1" applyAlignment="1">
      <alignment horizontal="center"/>
    </xf>
    <xf numFmtId="4" fontId="2" fillId="11" borderId="22" xfId="1" applyNumberFormat="1" applyFill="1" applyBorder="1" applyAlignment="1">
      <alignment horizontal="center"/>
    </xf>
    <xf numFmtId="4" fontId="2" fillId="0" borderId="9" xfId="1" applyNumberFormat="1" applyBorder="1" applyAlignment="1">
      <alignment horizontal="center"/>
    </xf>
    <xf numFmtId="4" fontId="2" fillId="11" borderId="48" xfId="1" applyNumberFormat="1" applyFill="1" applyBorder="1" applyAlignment="1">
      <alignment horizontal="center"/>
    </xf>
    <xf numFmtId="0" fontId="2" fillId="11" borderId="37" xfId="1" applyFill="1" applyBorder="1" applyAlignment="1">
      <alignment horizontal="center"/>
    </xf>
    <xf numFmtId="0" fontId="2" fillId="6" borderId="9" xfId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4" fontId="2" fillId="11" borderId="27" xfId="1" applyNumberFormat="1" applyFill="1" applyBorder="1" applyAlignment="1">
      <alignment horizontal="center"/>
    </xf>
    <xf numFmtId="4" fontId="2" fillId="11" borderId="39" xfId="1" applyNumberFormat="1" applyFill="1" applyBorder="1" applyAlignment="1">
      <alignment horizontal="center"/>
    </xf>
    <xf numFmtId="4" fontId="2" fillId="11" borderId="0" xfId="1" applyNumberFormat="1" applyFill="1" applyAlignment="1">
      <alignment horizontal="center"/>
    </xf>
    <xf numFmtId="4" fontId="2" fillId="11" borderId="21" xfId="1" applyNumberFormat="1" applyFill="1" applyBorder="1" applyAlignment="1">
      <alignment horizontal="center"/>
    </xf>
    <xf numFmtId="4" fontId="2" fillId="0" borderId="7" xfId="1" applyNumberFormat="1" applyBorder="1" applyAlignment="1">
      <alignment horizontal="center"/>
    </xf>
    <xf numFmtId="4" fontId="2" fillId="11" borderId="47" xfId="1" applyNumberFormat="1" applyFill="1" applyBorder="1" applyAlignment="1">
      <alignment horizontal="center"/>
    </xf>
    <xf numFmtId="0" fontId="2" fillId="11" borderId="27" xfId="1" applyFill="1" applyBorder="1" applyAlignment="1">
      <alignment horizontal="center"/>
    </xf>
    <xf numFmtId="0" fontId="2" fillId="11" borderId="8" xfId="1" applyFill="1" applyBorder="1"/>
    <xf numFmtId="0" fontId="2" fillId="11" borderId="27" xfId="1" applyFill="1" applyBorder="1"/>
    <xf numFmtId="0" fontId="2" fillId="11" borderId="39" xfId="1" applyFill="1" applyBorder="1"/>
    <xf numFmtId="0" fontId="2" fillId="0" borderId="8" xfId="1" applyBorder="1"/>
    <xf numFmtId="0" fontId="2" fillId="0" borderId="27" xfId="1" applyBorder="1"/>
    <xf numFmtId="4" fontId="2" fillId="0" borderId="39" xfId="1" applyNumberFormat="1" applyBorder="1"/>
    <xf numFmtId="0" fontId="2" fillId="11" borderId="38" xfId="1" applyFill="1" applyBorder="1"/>
    <xf numFmtId="4" fontId="2" fillId="11" borderId="17" xfId="1" applyNumberFormat="1" applyFill="1" applyBorder="1" applyAlignment="1">
      <alignment horizontal="center"/>
    </xf>
    <xf numFmtId="0" fontId="2" fillId="6" borderId="46" xfId="1" applyFill="1" applyBorder="1" applyAlignment="1">
      <alignment horizontal="center" vertical="center"/>
    </xf>
    <xf numFmtId="0" fontId="2" fillId="6" borderId="41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43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 wrapText="1"/>
    </xf>
    <xf numFmtId="0" fontId="2" fillId="6" borderId="46" xfId="1" applyFill="1" applyBorder="1" applyAlignment="1">
      <alignment horizontal="center" vertical="center" wrapText="1"/>
    </xf>
    <xf numFmtId="0" fontId="2" fillId="6" borderId="41" xfId="1" applyFill="1" applyBorder="1" applyAlignment="1">
      <alignment horizontal="center" vertical="center" wrapText="1"/>
    </xf>
    <xf numFmtId="0" fontId="2" fillId="6" borderId="45" xfId="1" applyFill="1" applyBorder="1" applyAlignment="1">
      <alignment horizontal="center" vertical="center" wrapText="1"/>
    </xf>
    <xf numFmtId="0" fontId="2" fillId="6" borderId="45" xfId="1" applyFill="1" applyBorder="1" applyAlignment="1">
      <alignment horizontal="center" vertical="center"/>
    </xf>
    <xf numFmtId="0" fontId="2" fillId="0" borderId="8" xfId="1" applyBorder="1" applyAlignment="1">
      <alignment horizontal="left"/>
    </xf>
    <xf numFmtId="0" fontId="2" fillId="0" borderId="39" xfId="1" applyBorder="1" applyAlignment="1">
      <alignment horizontal="right"/>
    </xf>
    <xf numFmtId="0" fontId="9" fillId="0" borderId="0" xfId="1" applyFont="1"/>
    <xf numFmtId="0" fontId="8" fillId="0" borderId="0" xfId="1" applyFont="1"/>
  </cellXfs>
  <cellStyles count="3">
    <cellStyle name="Normal" xfId="0" builtinId="0"/>
    <cellStyle name="Normal 2" xfId="1" xr:uid="{4846F58F-F4C4-48EA-9845-01B2A13231D4}"/>
    <cellStyle name="Standard 2" xfId="2" xr:uid="{963F8398-2F63-4576-BAF2-540048C4C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Homework%2005%20Solution%20(2).xlsx" TargetMode="External"/><Relationship Id="rId1" Type="http://schemas.openxmlformats.org/officeDocument/2006/relationships/externalLinkPath" Target="/Users/Lenovo/Downloads/Homework%2005%20Solu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rcise 18"/>
      <sheetName val="Exercie 18 b) optimized"/>
      <sheetName val="Exercise 18 c) optimized"/>
      <sheetName val="Exercise 19"/>
    </sheetNames>
    <sheetDataSet>
      <sheetData sheetId="0"/>
      <sheetData sheetId="1"/>
      <sheetData sheetId="2"/>
      <sheetData sheetId="3">
        <row r="8">
          <cell r="C8" t="str">
            <v>Demand</v>
          </cell>
          <cell r="N8" t="str">
            <v>Forecast</v>
          </cell>
        </row>
        <row r="9">
          <cell r="B9">
            <v>0</v>
          </cell>
        </row>
        <row r="10">
          <cell r="B10">
            <v>1</v>
          </cell>
          <cell r="C10">
            <v>10883</v>
          </cell>
        </row>
        <row r="11">
          <cell r="B11">
            <v>2</v>
          </cell>
          <cell r="C11">
            <v>9652</v>
          </cell>
        </row>
        <row r="12">
          <cell r="B12">
            <v>3</v>
          </cell>
          <cell r="C12">
            <v>8925</v>
          </cell>
        </row>
        <row r="13">
          <cell r="B13">
            <v>4</v>
          </cell>
          <cell r="C13">
            <v>7289</v>
          </cell>
        </row>
        <row r="14">
          <cell r="B14">
            <v>5</v>
          </cell>
          <cell r="C14">
            <v>11297</v>
          </cell>
        </row>
        <row r="15">
          <cell r="B15">
            <v>6</v>
          </cell>
          <cell r="C15">
            <v>9822</v>
          </cell>
        </row>
        <row r="16">
          <cell r="B16">
            <v>7</v>
          </cell>
          <cell r="C16">
            <v>9640</v>
          </cell>
        </row>
        <row r="17">
          <cell r="B17">
            <v>8</v>
          </cell>
          <cell r="C17">
            <v>7788</v>
          </cell>
        </row>
        <row r="18">
          <cell r="B18">
            <v>9</v>
          </cell>
          <cell r="C18">
            <v>11654</v>
          </cell>
        </row>
        <row r="19">
          <cell r="B19">
            <v>10</v>
          </cell>
          <cell r="C19">
            <v>10053</v>
          </cell>
        </row>
        <row r="20">
          <cell r="B20">
            <v>11</v>
          </cell>
          <cell r="C20">
            <v>10001</v>
          </cell>
        </row>
        <row r="21">
          <cell r="B21">
            <v>12</v>
          </cell>
          <cell r="C21">
            <v>8754</v>
          </cell>
        </row>
        <row r="22">
          <cell r="B22">
            <v>13</v>
          </cell>
          <cell r="C22">
            <v>12380</v>
          </cell>
        </row>
        <row r="23">
          <cell r="B23">
            <v>14</v>
          </cell>
          <cell r="C23">
            <v>10730</v>
          </cell>
        </row>
        <row r="24">
          <cell r="B24">
            <v>15</v>
          </cell>
          <cell r="C24">
            <v>10387</v>
          </cell>
        </row>
        <row r="25">
          <cell r="B25">
            <v>16</v>
          </cell>
          <cell r="C25">
            <v>9279</v>
          </cell>
        </row>
        <row r="26">
          <cell r="B26">
            <v>17</v>
          </cell>
          <cell r="C26">
            <v>12603</v>
          </cell>
        </row>
        <row r="27">
          <cell r="B27">
            <v>18</v>
          </cell>
          <cell r="C27">
            <v>10891</v>
          </cell>
        </row>
        <row r="28">
          <cell r="B28">
            <v>19</v>
          </cell>
          <cell r="C28">
            <v>10717</v>
          </cell>
        </row>
        <row r="29">
          <cell r="B29">
            <v>20</v>
          </cell>
          <cell r="C29">
            <v>9574</v>
          </cell>
        </row>
        <row r="30">
          <cell r="B30">
            <v>21</v>
          </cell>
          <cell r="C30">
            <v>13074</v>
          </cell>
        </row>
        <row r="31">
          <cell r="B31">
            <v>22</v>
          </cell>
          <cell r="C31">
            <v>11440</v>
          </cell>
        </row>
        <row r="32">
          <cell r="B32">
            <v>23</v>
          </cell>
          <cell r="C32">
            <v>10833</v>
          </cell>
        </row>
        <row r="33">
          <cell r="B33">
            <v>24</v>
          </cell>
          <cell r="C33">
            <v>9680</v>
          </cell>
        </row>
        <row r="34">
          <cell r="B34">
            <v>25</v>
          </cell>
          <cell r="C34">
            <v>13245</v>
          </cell>
        </row>
        <row r="35">
          <cell r="B35">
            <v>26</v>
          </cell>
          <cell r="C35">
            <v>11694</v>
          </cell>
        </row>
        <row r="36">
          <cell r="B36">
            <v>27</v>
          </cell>
          <cell r="C36">
            <v>11640</v>
          </cell>
        </row>
        <row r="37">
          <cell r="B37">
            <v>28</v>
          </cell>
          <cell r="C37">
            <v>10489</v>
          </cell>
        </row>
        <row r="38">
          <cell r="B38">
            <v>29</v>
          </cell>
          <cell r="C38">
            <v>14005</v>
          </cell>
        </row>
        <row r="39">
          <cell r="B39">
            <v>30</v>
          </cell>
          <cell r="C39">
            <v>12520</v>
          </cell>
        </row>
        <row r="40">
          <cell r="B40">
            <v>31</v>
          </cell>
          <cell r="C40">
            <v>12110</v>
          </cell>
        </row>
        <row r="41">
          <cell r="B41">
            <v>32</v>
          </cell>
          <cell r="C41">
            <v>11231</v>
          </cell>
        </row>
        <row r="42">
          <cell r="B42">
            <v>33</v>
          </cell>
          <cell r="C42">
            <v>14866</v>
          </cell>
        </row>
        <row r="43">
          <cell r="B43">
            <v>34</v>
          </cell>
          <cell r="C43">
            <v>13326</v>
          </cell>
        </row>
        <row r="44">
          <cell r="B44">
            <v>35</v>
          </cell>
          <cell r="C44">
            <v>12608</v>
          </cell>
        </row>
        <row r="45">
          <cell r="B45">
            <v>36</v>
          </cell>
          <cell r="C45">
            <v>11645</v>
          </cell>
        </row>
        <row r="46">
          <cell r="B46">
            <v>37</v>
          </cell>
          <cell r="C46">
            <v>15611</v>
          </cell>
        </row>
        <row r="47">
          <cell r="B47">
            <v>38</v>
          </cell>
          <cell r="C47">
            <v>13817</v>
          </cell>
        </row>
        <row r="48">
          <cell r="B48">
            <v>39</v>
          </cell>
          <cell r="C48">
            <v>13313</v>
          </cell>
        </row>
        <row r="49">
          <cell r="B49">
            <v>40</v>
          </cell>
          <cell r="C49">
            <v>11966</v>
          </cell>
        </row>
        <row r="50">
          <cell r="B50">
            <v>41</v>
          </cell>
          <cell r="C50">
            <v>15875</v>
          </cell>
        </row>
        <row r="51">
          <cell r="B51">
            <v>42</v>
          </cell>
          <cell r="C51">
            <v>14556</v>
          </cell>
        </row>
        <row r="52">
          <cell r="B52">
            <v>43</v>
          </cell>
          <cell r="C52">
            <v>13624</v>
          </cell>
        </row>
        <row r="53">
          <cell r="B53">
            <v>44</v>
          </cell>
          <cell r="C53">
            <v>12429</v>
          </cell>
        </row>
        <row r="54">
          <cell r="B54">
            <v>45</v>
          </cell>
          <cell r="C54">
            <v>16723</v>
          </cell>
        </row>
        <row r="55">
          <cell r="B55">
            <v>46</v>
          </cell>
          <cell r="C55">
            <v>14668</v>
          </cell>
        </row>
        <row r="56">
          <cell r="B56">
            <v>47</v>
          </cell>
          <cell r="C56">
            <v>13879</v>
          </cell>
        </row>
        <row r="57">
          <cell r="B57">
            <v>48</v>
          </cell>
          <cell r="C57">
            <v>12703</v>
          </cell>
        </row>
        <row r="58">
          <cell r="B58">
            <v>49</v>
          </cell>
          <cell r="C58">
            <v>17068</v>
          </cell>
        </row>
        <row r="59">
          <cell r="B59">
            <v>50</v>
          </cell>
          <cell r="C59">
            <v>15106</v>
          </cell>
        </row>
        <row r="60">
          <cell r="B60">
            <v>51</v>
          </cell>
          <cell r="C60">
            <v>14858</v>
          </cell>
        </row>
        <row r="61">
          <cell r="B61">
            <v>52</v>
          </cell>
          <cell r="C61">
            <v>13269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  <cell r="C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48A3-E0AC-4C1B-8F9D-57810ECFC7F0}">
  <dimension ref="A1:L48"/>
  <sheetViews>
    <sheetView topLeftCell="A12" workbookViewId="0">
      <selection activeCell="C34" sqref="C34"/>
    </sheetView>
  </sheetViews>
  <sheetFormatPr defaultColWidth="12" defaultRowHeight="15.6" x14ac:dyDescent="0.3"/>
  <cols>
    <col min="1" max="16384" width="12" style="38"/>
  </cols>
  <sheetData>
    <row r="1" spans="1:12" s="37" customFormat="1" x14ac:dyDescent="0.3">
      <c r="A1" s="37" t="s">
        <v>89</v>
      </c>
    </row>
    <row r="2" spans="1:12" s="135" customFormat="1" ht="16.2" thickBot="1" x14ac:dyDescent="0.35"/>
    <row r="3" spans="1:12" s="135" customFormat="1" x14ac:dyDescent="0.3">
      <c r="A3" s="167" t="s">
        <v>19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36"/>
    </row>
    <row r="4" spans="1:12" s="139" customFormat="1" x14ac:dyDescent="0.3">
      <c r="A4" s="137"/>
      <c r="B4" s="169" t="s">
        <v>20</v>
      </c>
      <c r="C4" s="169"/>
      <c r="D4" s="169"/>
      <c r="E4" s="169"/>
      <c r="F4" s="169" t="s">
        <v>21</v>
      </c>
      <c r="G4" s="169"/>
      <c r="H4" s="169"/>
      <c r="I4" s="169"/>
      <c r="J4" s="169"/>
      <c r="K4" s="169"/>
      <c r="L4" s="138"/>
    </row>
    <row r="5" spans="1:12" x14ac:dyDescent="0.3">
      <c r="A5" s="140"/>
      <c r="B5" s="63" t="s">
        <v>90</v>
      </c>
      <c r="C5" s="63" t="s">
        <v>91</v>
      </c>
      <c r="D5" s="63" t="s">
        <v>92</v>
      </c>
      <c r="E5" s="141" t="s">
        <v>93</v>
      </c>
      <c r="F5" s="63" t="s">
        <v>94</v>
      </c>
      <c r="G5" s="63" t="s">
        <v>95</v>
      </c>
      <c r="H5" s="63" t="s">
        <v>96</v>
      </c>
      <c r="I5" s="63" t="s">
        <v>97</v>
      </c>
      <c r="J5" s="63" t="s">
        <v>98</v>
      </c>
      <c r="K5" s="141" t="s">
        <v>99</v>
      </c>
      <c r="L5" s="142" t="s">
        <v>64</v>
      </c>
    </row>
    <row r="6" spans="1:12" x14ac:dyDescent="0.3">
      <c r="A6" s="75" t="s">
        <v>90</v>
      </c>
      <c r="B6" s="49"/>
      <c r="C6" s="49"/>
      <c r="D6" s="49"/>
      <c r="E6" s="50"/>
      <c r="F6" s="38">
        <v>15</v>
      </c>
      <c r="G6" s="38">
        <v>40</v>
      </c>
      <c r="H6" s="38">
        <v>35</v>
      </c>
      <c r="I6" s="38">
        <v>25</v>
      </c>
      <c r="J6" s="38">
        <v>30</v>
      </c>
      <c r="K6" s="61">
        <v>65</v>
      </c>
      <c r="L6" s="53"/>
    </row>
    <row r="7" spans="1:12" x14ac:dyDescent="0.3">
      <c r="A7" s="75" t="s">
        <v>91</v>
      </c>
      <c r="B7" s="49"/>
      <c r="C7" s="49"/>
      <c r="D7" s="49"/>
      <c r="E7" s="50"/>
      <c r="F7" s="38">
        <v>50</v>
      </c>
      <c r="G7" s="38">
        <v>30</v>
      </c>
      <c r="H7" s="38">
        <v>25</v>
      </c>
      <c r="I7" s="38">
        <v>60</v>
      </c>
      <c r="J7" s="38">
        <v>35</v>
      </c>
      <c r="K7" s="61">
        <v>40</v>
      </c>
      <c r="L7" s="53"/>
    </row>
    <row r="8" spans="1:12" x14ac:dyDescent="0.3">
      <c r="A8" s="75" t="s">
        <v>92</v>
      </c>
      <c r="B8" s="49"/>
      <c r="C8" s="49"/>
      <c r="D8" s="49"/>
      <c r="E8" s="50"/>
      <c r="F8" s="38">
        <v>60</v>
      </c>
      <c r="G8" s="38">
        <v>35</v>
      </c>
      <c r="H8" s="38">
        <v>40</v>
      </c>
      <c r="I8" s="38">
        <v>50</v>
      </c>
      <c r="J8" s="38">
        <v>25</v>
      </c>
      <c r="K8" s="61">
        <v>20</v>
      </c>
      <c r="L8" s="53"/>
    </row>
    <row r="9" spans="1:12" x14ac:dyDescent="0.3">
      <c r="A9" s="140" t="s">
        <v>93</v>
      </c>
      <c r="B9" s="56"/>
      <c r="C9" s="56"/>
      <c r="D9" s="56"/>
      <c r="E9" s="57"/>
      <c r="F9" s="63">
        <v>40</v>
      </c>
      <c r="G9" s="63">
        <v>60</v>
      </c>
      <c r="H9" s="63">
        <v>30</v>
      </c>
      <c r="I9" s="63">
        <v>35</v>
      </c>
      <c r="J9" s="63">
        <v>20</v>
      </c>
      <c r="K9" s="64">
        <v>55</v>
      </c>
      <c r="L9" s="41"/>
    </row>
    <row r="10" spans="1:12" x14ac:dyDescent="0.3">
      <c r="A10" s="75" t="s">
        <v>94</v>
      </c>
      <c r="B10" s="38">
        <v>15</v>
      </c>
      <c r="C10" s="38">
        <v>50</v>
      </c>
      <c r="D10" s="38">
        <v>60</v>
      </c>
      <c r="E10" s="61">
        <v>40</v>
      </c>
      <c r="F10" s="49"/>
      <c r="G10" s="49"/>
      <c r="H10" s="49"/>
      <c r="I10" s="49"/>
      <c r="J10" s="49"/>
      <c r="K10" s="50"/>
      <c r="L10" s="53">
        <v>100</v>
      </c>
    </row>
    <row r="11" spans="1:12" x14ac:dyDescent="0.3">
      <c r="A11" s="75" t="s">
        <v>95</v>
      </c>
      <c r="B11" s="38">
        <v>40</v>
      </c>
      <c r="C11" s="38">
        <v>30</v>
      </c>
      <c r="D11" s="38">
        <v>35</v>
      </c>
      <c r="E11" s="61">
        <v>60</v>
      </c>
      <c r="F11" s="49"/>
      <c r="G11" s="49"/>
      <c r="H11" s="49"/>
      <c r="I11" s="49"/>
      <c r="J11" s="49"/>
      <c r="K11" s="50"/>
      <c r="L11" s="53">
        <v>150</v>
      </c>
    </row>
    <row r="12" spans="1:12" x14ac:dyDescent="0.3">
      <c r="A12" s="75" t="s">
        <v>96</v>
      </c>
      <c r="B12" s="38">
        <v>35</v>
      </c>
      <c r="C12" s="38">
        <v>25</v>
      </c>
      <c r="D12" s="38">
        <v>40</v>
      </c>
      <c r="E12" s="61">
        <v>30</v>
      </c>
      <c r="F12" s="49"/>
      <c r="G12" s="49"/>
      <c r="H12" s="49"/>
      <c r="I12" s="49"/>
      <c r="J12" s="49"/>
      <c r="K12" s="50"/>
      <c r="L12" s="53">
        <v>200</v>
      </c>
    </row>
    <row r="13" spans="1:12" x14ac:dyDescent="0.3">
      <c r="A13" s="75" t="s">
        <v>97</v>
      </c>
      <c r="B13" s="38">
        <v>25</v>
      </c>
      <c r="C13" s="38">
        <v>60</v>
      </c>
      <c r="D13" s="38">
        <v>50</v>
      </c>
      <c r="E13" s="61">
        <v>35</v>
      </c>
      <c r="F13" s="49"/>
      <c r="G13" s="49"/>
      <c r="H13" s="49"/>
      <c r="I13" s="49"/>
      <c r="J13" s="49"/>
      <c r="K13" s="50"/>
      <c r="L13" s="53">
        <v>120</v>
      </c>
    </row>
    <row r="14" spans="1:12" x14ac:dyDescent="0.3">
      <c r="A14" s="75" t="s">
        <v>98</v>
      </c>
      <c r="B14" s="38">
        <v>30</v>
      </c>
      <c r="C14" s="38">
        <v>35</v>
      </c>
      <c r="D14" s="38">
        <v>25</v>
      </c>
      <c r="E14" s="61">
        <v>20</v>
      </c>
      <c r="F14" s="49"/>
      <c r="G14" s="49"/>
      <c r="H14" s="49"/>
      <c r="I14" s="49"/>
      <c r="J14" s="49"/>
      <c r="K14" s="50"/>
      <c r="L14" s="53">
        <v>170</v>
      </c>
    </row>
    <row r="15" spans="1:12" x14ac:dyDescent="0.3">
      <c r="A15" s="140" t="s">
        <v>99</v>
      </c>
      <c r="B15" s="63">
        <v>65</v>
      </c>
      <c r="C15" s="63">
        <v>40</v>
      </c>
      <c r="D15" s="63">
        <v>20</v>
      </c>
      <c r="E15" s="64">
        <v>55</v>
      </c>
      <c r="F15" s="56"/>
      <c r="G15" s="56"/>
      <c r="H15" s="56"/>
      <c r="I15" s="56"/>
      <c r="J15" s="56"/>
      <c r="K15" s="57"/>
      <c r="L15" s="41">
        <v>90</v>
      </c>
    </row>
    <row r="16" spans="1:12" ht="16.2" thickBot="1" x14ac:dyDescent="0.35">
      <c r="A16" s="66" t="s">
        <v>64</v>
      </c>
      <c r="B16" s="70"/>
      <c r="C16" s="70"/>
      <c r="D16" s="70"/>
      <c r="E16" s="143"/>
      <c r="F16" s="70">
        <v>100</v>
      </c>
      <c r="G16" s="70">
        <v>150</v>
      </c>
      <c r="H16" s="70">
        <v>200</v>
      </c>
      <c r="I16" s="70">
        <v>120</v>
      </c>
      <c r="J16" s="70">
        <v>170</v>
      </c>
      <c r="K16" s="143">
        <v>90</v>
      </c>
      <c r="L16" s="72"/>
    </row>
    <row r="18" spans="1:8" ht="16.2" thickBot="1" x14ac:dyDescent="0.35"/>
    <row r="19" spans="1:8" x14ac:dyDescent="0.3">
      <c r="A19" s="73" t="s">
        <v>38</v>
      </c>
      <c r="B19" s="74" t="s">
        <v>94</v>
      </c>
      <c r="C19" s="74" t="s">
        <v>95</v>
      </c>
      <c r="D19" s="74" t="s">
        <v>96</v>
      </c>
      <c r="E19" s="74" t="s">
        <v>97</v>
      </c>
      <c r="F19" s="74" t="s">
        <v>98</v>
      </c>
      <c r="G19" s="78" t="s">
        <v>99</v>
      </c>
      <c r="H19" s="39" t="s">
        <v>85</v>
      </c>
    </row>
    <row r="20" spans="1:8" x14ac:dyDescent="0.3">
      <c r="A20" s="75" t="s">
        <v>90</v>
      </c>
      <c r="B20" s="82">
        <v>1</v>
      </c>
      <c r="C20" s="82">
        <v>0</v>
      </c>
      <c r="D20" s="82">
        <v>0</v>
      </c>
      <c r="E20" s="82">
        <v>1</v>
      </c>
      <c r="F20" s="82">
        <v>0</v>
      </c>
      <c r="G20" s="83">
        <v>0</v>
      </c>
      <c r="H20" s="144">
        <v>1</v>
      </c>
    </row>
    <row r="21" spans="1:8" x14ac:dyDescent="0.3">
      <c r="A21" s="75" t="s">
        <v>91</v>
      </c>
      <c r="B21" s="82">
        <v>0</v>
      </c>
      <c r="C21" s="82">
        <v>1</v>
      </c>
      <c r="D21" s="82">
        <v>1</v>
      </c>
      <c r="E21" s="82">
        <v>0</v>
      </c>
      <c r="F21" s="82">
        <v>0</v>
      </c>
      <c r="G21" s="83">
        <v>0</v>
      </c>
      <c r="H21" s="144">
        <v>1</v>
      </c>
    </row>
    <row r="22" spans="1:8" x14ac:dyDescent="0.3">
      <c r="A22" s="75" t="s">
        <v>92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3">
        <v>1</v>
      </c>
      <c r="H22" s="144">
        <v>0</v>
      </c>
    </row>
    <row r="23" spans="1:8" x14ac:dyDescent="0.3">
      <c r="A23" s="140" t="s">
        <v>93</v>
      </c>
      <c r="B23" s="145">
        <v>0</v>
      </c>
      <c r="C23" s="145">
        <v>0</v>
      </c>
      <c r="D23" s="145">
        <v>0</v>
      </c>
      <c r="E23" s="145">
        <v>0</v>
      </c>
      <c r="F23" s="145">
        <v>1</v>
      </c>
      <c r="G23" s="146">
        <v>0</v>
      </c>
      <c r="H23" s="147">
        <v>0</v>
      </c>
    </row>
    <row r="24" spans="1:8" ht="16.2" thickBot="1" x14ac:dyDescent="0.35">
      <c r="A24" s="76"/>
      <c r="B24" s="70"/>
      <c r="C24" s="70"/>
      <c r="D24" s="70"/>
      <c r="E24" s="70"/>
      <c r="F24" s="70"/>
      <c r="G24" s="143"/>
      <c r="H24" s="72">
        <f>SUM(H20:H23)</f>
        <v>2</v>
      </c>
    </row>
    <row r="26" spans="1:8" ht="16.2" thickBot="1" x14ac:dyDescent="0.35"/>
    <row r="27" spans="1:8" x14ac:dyDescent="0.3">
      <c r="A27" s="73" t="s">
        <v>37</v>
      </c>
      <c r="B27" s="74" t="s">
        <v>94</v>
      </c>
      <c r="C27" s="74" t="s">
        <v>95</v>
      </c>
      <c r="D27" s="74" t="s">
        <v>96</v>
      </c>
      <c r="E27" s="74" t="s">
        <v>97</v>
      </c>
      <c r="F27" s="74" t="s">
        <v>98</v>
      </c>
      <c r="G27" s="39" t="s">
        <v>99</v>
      </c>
    </row>
    <row r="28" spans="1:8" x14ac:dyDescent="0.3">
      <c r="A28" s="75" t="s">
        <v>90</v>
      </c>
      <c r="B28" s="38">
        <f>F6*B20*F$16</f>
        <v>1500</v>
      </c>
      <c r="C28" s="38">
        <f t="shared" ref="C28:G31" si="0">G6*C20*G$16</f>
        <v>0</v>
      </c>
      <c r="D28" s="38">
        <f t="shared" si="0"/>
        <v>0</v>
      </c>
      <c r="E28" s="38">
        <f t="shared" si="0"/>
        <v>3000</v>
      </c>
      <c r="F28" s="38">
        <f t="shared" si="0"/>
        <v>0</v>
      </c>
      <c r="G28" s="38">
        <f t="shared" si="0"/>
        <v>0</v>
      </c>
    </row>
    <row r="29" spans="1:8" x14ac:dyDescent="0.3">
      <c r="A29" s="75" t="s">
        <v>91</v>
      </c>
      <c r="B29" s="38">
        <f t="shared" ref="B29:B31" si="1">F7*B21*F$16</f>
        <v>0</v>
      </c>
      <c r="C29" s="38">
        <f t="shared" si="0"/>
        <v>4500</v>
      </c>
      <c r="D29" s="38">
        <f t="shared" si="0"/>
        <v>5000</v>
      </c>
      <c r="E29" s="38">
        <f t="shared" si="0"/>
        <v>0</v>
      </c>
      <c r="F29" s="38">
        <f t="shared" si="0"/>
        <v>0</v>
      </c>
      <c r="G29" s="53">
        <f t="shared" si="0"/>
        <v>0</v>
      </c>
    </row>
    <row r="30" spans="1:8" x14ac:dyDescent="0.3">
      <c r="A30" s="75" t="s">
        <v>92</v>
      </c>
      <c r="B30" s="38">
        <f t="shared" si="1"/>
        <v>0</v>
      </c>
      <c r="C30" s="38">
        <f t="shared" si="0"/>
        <v>0</v>
      </c>
      <c r="D30" s="38">
        <f t="shared" si="0"/>
        <v>0</v>
      </c>
      <c r="E30" s="38">
        <f t="shared" si="0"/>
        <v>0</v>
      </c>
      <c r="F30" s="38">
        <f>J8*F22*J$16</f>
        <v>0</v>
      </c>
      <c r="G30" s="53">
        <f t="shared" si="0"/>
        <v>1800</v>
      </c>
    </row>
    <row r="31" spans="1:8" ht="16.2" thickBot="1" x14ac:dyDescent="0.35">
      <c r="A31" s="76" t="s">
        <v>93</v>
      </c>
      <c r="B31" s="38">
        <f t="shared" si="1"/>
        <v>0</v>
      </c>
      <c r="C31" s="38">
        <f t="shared" si="0"/>
        <v>0</v>
      </c>
      <c r="D31" s="70">
        <f t="shared" si="0"/>
        <v>0</v>
      </c>
      <c r="E31" s="70">
        <f t="shared" si="0"/>
        <v>0</v>
      </c>
      <c r="F31" s="70">
        <f t="shared" si="0"/>
        <v>3400</v>
      </c>
      <c r="G31" s="72">
        <f t="shared" si="0"/>
        <v>0</v>
      </c>
    </row>
    <row r="33" spans="1:7" ht="16.2" thickBot="1" x14ac:dyDescent="0.35"/>
    <row r="34" spans="1:7" ht="16.2" thickBot="1" x14ac:dyDescent="0.35">
      <c r="A34" s="94" t="s">
        <v>15</v>
      </c>
      <c r="B34" s="95">
        <f>SUM(B28:G31)</f>
        <v>19200</v>
      </c>
    </row>
    <row r="36" spans="1:7" ht="16.2" thickBot="1" x14ac:dyDescent="0.35"/>
    <row r="37" spans="1:7" x14ac:dyDescent="0.3">
      <c r="A37" s="96" t="s">
        <v>16</v>
      </c>
      <c r="B37" s="97">
        <f>H24</f>
        <v>2</v>
      </c>
      <c r="C37" s="97" t="s">
        <v>17</v>
      </c>
      <c r="D37" s="97">
        <v>2</v>
      </c>
      <c r="E37" s="97"/>
      <c r="F37" s="97"/>
      <c r="G37" s="98"/>
    </row>
    <row r="38" spans="1:7" x14ac:dyDescent="0.3">
      <c r="A38" s="75"/>
      <c r="B38" s="99"/>
      <c r="C38" s="99"/>
      <c r="D38" s="99"/>
      <c r="E38" s="99"/>
      <c r="F38" s="99"/>
      <c r="G38" s="100"/>
    </row>
    <row r="39" spans="1:7" x14ac:dyDescent="0.3">
      <c r="A39" s="75"/>
      <c r="B39" s="99"/>
      <c r="C39" s="99"/>
      <c r="D39" s="99"/>
      <c r="E39" s="99"/>
      <c r="F39" s="99"/>
      <c r="G39" s="100"/>
    </row>
    <row r="40" spans="1:7" x14ac:dyDescent="0.3">
      <c r="A40" s="75"/>
      <c r="B40" s="99">
        <f>SUM(B20:B23)</f>
        <v>1</v>
      </c>
      <c r="C40" s="99">
        <f>SUM(C20:C23)</f>
        <v>1</v>
      </c>
      <c r="D40" s="99">
        <f t="shared" ref="D40:F40" si="2">SUM(D20:D23)</f>
        <v>1</v>
      </c>
      <c r="E40" s="99">
        <f t="shared" si="2"/>
        <v>1</v>
      </c>
      <c r="F40" s="99">
        <f t="shared" si="2"/>
        <v>1</v>
      </c>
      <c r="G40" s="100">
        <f>SUM(G20:G23)</f>
        <v>1</v>
      </c>
    </row>
    <row r="41" spans="1:7" x14ac:dyDescent="0.3">
      <c r="A41" s="75"/>
      <c r="B41" s="99" t="s">
        <v>17</v>
      </c>
      <c r="C41" s="99" t="s">
        <v>17</v>
      </c>
      <c r="D41" s="99" t="s">
        <v>17</v>
      </c>
      <c r="E41" s="99" t="s">
        <v>17</v>
      </c>
      <c r="F41" s="99" t="s">
        <v>17</v>
      </c>
      <c r="G41" s="100" t="s">
        <v>17</v>
      </c>
    </row>
    <row r="42" spans="1:7" x14ac:dyDescent="0.3">
      <c r="A42" s="75"/>
      <c r="B42" s="99">
        <v>1</v>
      </c>
      <c r="C42" s="99">
        <v>1</v>
      </c>
      <c r="D42" s="99">
        <v>1</v>
      </c>
      <c r="E42" s="99">
        <v>1</v>
      </c>
      <c r="F42" s="99">
        <v>1</v>
      </c>
      <c r="G42" s="100">
        <v>1</v>
      </c>
    </row>
    <row r="43" spans="1:7" x14ac:dyDescent="0.3">
      <c r="A43" s="75"/>
      <c r="B43" s="99"/>
      <c r="C43" s="99"/>
      <c r="D43" s="99"/>
      <c r="E43" s="99"/>
      <c r="F43" s="99"/>
      <c r="G43" s="100"/>
    </row>
    <row r="44" spans="1:7" x14ac:dyDescent="0.3">
      <c r="A44" s="75"/>
      <c r="B44" s="99"/>
      <c r="C44" s="99"/>
      <c r="D44" s="99"/>
      <c r="E44" s="99"/>
      <c r="F44" s="99"/>
      <c r="G44" s="100"/>
    </row>
    <row r="45" spans="1:7" x14ac:dyDescent="0.3">
      <c r="A45" s="75"/>
      <c r="B45" s="99">
        <f>B20-$H20</f>
        <v>0</v>
      </c>
      <c r="C45" s="99">
        <f t="shared" ref="C45:G47" si="3">C20-$H20</f>
        <v>-1</v>
      </c>
      <c r="D45" s="99">
        <f t="shared" si="3"/>
        <v>-1</v>
      </c>
      <c r="E45" s="99">
        <f t="shared" si="3"/>
        <v>0</v>
      </c>
      <c r="F45" s="99">
        <f t="shared" si="3"/>
        <v>-1</v>
      </c>
      <c r="G45" s="99">
        <f t="shared" si="3"/>
        <v>-1</v>
      </c>
    </row>
    <row r="46" spans="1:7" x14ac:dyDescent="0.3">
      <c r="A46" s="75"/>
      <c r="B46" s="99">
        <f t="shared" ref="B46:G48" si="4">B21-$H21</f>
        <v>-1</v>
      </c>
      <c r="C46" s="99">
        <f t="shared" si="4"/>
        <v>0</v>
      </c>
      <c r="D46" s="99">
        <f t="shared" si="3"/>
        <v>0</v>
      </c>
      <c r="E46" s="99">
        <f t="shared" si="3"/>
        <v>-1</v>
      </c>
      <c r="F46" s="99">
        <f t="shared" si="3"/>
        <v>-1</v>
      </c>
      <c r="G46" s="100">
        <f>G21-$H21</f>
        <v>-1</v>
      </c>
    </row>
    <row r="47" spans="1:7" x14ac:dyDescent="0.3">
      <c r="A47" s="75"/>
      <c r="B47" s="99">
        <f t="shared" si="4"/>
        <v>0</v>
      </c>
      <c r="C47" s="99">
        <f t="shared" si="4"/>
        <v>0</v>
      </c>
      <c r="D47" s="99">
        <f t="shared" si="3"/>
        <v>0</v>
      </c>
      <c r="E47" s="99">
        <f t="shared" si="3"/>
        <v>0</v>
      </c>
      <c r="F47" s="99">
        <f t="shared" si="3"/>
        <v>0</v>
      </c>
      <c r="G47" s="100">
        <f t="shared" si="3"/>
        <v>1</v>
      </c>
    </row>
    <row r="48" spans="1:7" ht="16.2" thickBot="1" x14ac:dyDescent="0.35">
      <c r="A48" s="76"/>
      <c r="B48" s="99">
        <f t="shared" si="4"/>
        <v>0</v>
      </c>
      <c r="C48" s="99">
        <f t="shared" si="4"/>
        <v>0</v>
      </c>
      <c r="D48" s="99">
        <f t="shared" si="4"/>
        <v>0</v>
      </c>
      <c r="E48" s="99">
        <f t="shared" si="4"/>
        <v>0</v>
      </c>
      <c r="F48" s="99">
        <f t="shared" si="4"/>
        <v>1</v>
      </c>
      <c r="G48" s="99">
        <f t="shared" si="4"/>
        <v>0</v>
      </c>
    </row>
  </sheetData>
  <mergeCells count="3">
    <mergeCell ref="A3:K3"/>
    <mergeCell ref="B4:E4"/>
    <mergeCell ref="F4:K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18A6-73D6-46F6-B8E3-9F6A05786DE6}">
  <dimension ref="A1:N41"/>
  <sheetViews>
    <sheetView topLeftCell="A18" workbookViewId="0"/>
  </sheetViews>
  <sheetFormatPr defaultColWidth="12" defaultRowHeight="15.6" x14ac:dyDescent="0.3"/>
  <cols>
    <col min="1" max="1" width="13.109375" style="3" bestFit="1" customWidth="1"/>
    <col min="2" max="5" width="13.109375" style="3" customWidth="1"/>
    <col min="6" max="16384" width="12" style="3"/>
  </cols>
  <sheetData>
    <row r="1" spans="1:14" s="114" customFormat="1" x14ac:dyDescent="0.3">
      <c r="A1" s="113" t="s">
        <v>68</v>
      </c>
    </row>
    <row r="2" spans="1:14" ht="16.2" thickBot="1" x14ac:dyDescent="0.35"/>
    <row r="3" spans="1:14" s="114" customFormat="1" x14ac:dyDescent="0.3">
      <c r="A3" s="170" t="s">
        <v>19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</row>
    <row r="4" spans="1:14" s="116" customFormat="1" x14ac:dyDescent="0.3">
      <c r="A4" s="115"/>
      <c r="B4" s="173" t="s">
        <v>69</v>
      </c>
      <c r="C4" s="173"/>
      <c r="D4" s="173"/>
      <c r="E4" s="174"/>
      <c r="F4" s="173" t="s">
        <v>21</v>
      </c>
      <c r="G4" s="173"/>
      <c r="H4" s="173"/>
      <c r="I4" s="173"/>
      <c r="J4" s="173"/>
      <c r="K4" s="173"/>
      <c r="L4" s="173"/>
      <c r="M4" s="173"/>
      <c r="N4" s="175"/>
    </row>
    <row r="5" spans="1:14" x14ac:dyDescent="0.3">
      <c r="A5" s="117"/>
      <c r="B5" s="118" t="s">
        <v>70</v>
      </c>
      <c r="C5" s="118" t="s">
        <v>71</v>
      </c>
      <c r="D5" s="118" t="s">
        <v>72</v>
      </c>
      <c r="E5" s="119" t="s">
        <v>73</v>
      </c>
      <c r="F5" s="118" t="s">
        <v>74</v>
      </c>
      <c r="G5" s="118" t="s">
        <v>75</v>
      </c>
      <c r="H5" s="118" t="s">
        <v>76</v>
      </c>
      <c r="I5" s="118" t="s">
        <v>77</v>
      </c>
      <c r="J5" s="118" t="s">
        <v>78</v>
      </c>
      <c r="K5" s="118" t="s">
        <v>79</v>
      </c>
      <c r="L5" s="118" t="s">
        <v>80</v>
      </c>
      <c r="M5" s="118" t="s">
        <v>81</v>
      </c>
      <c r="N5" s="120" t="s">
        <v>82</v>
      </c>
    </row>
    <row r="6" spans="1:14" x14ac:dyDescent="0.3">
      <c r="A6" s="27" t="s">
        <v>70</v>
      </c>
      <c r="B6" s="121"/>
      <c r="C6" s="121"/>
      <c r="D6" s="121"/>
      <c r="E6" s="122"/>
      <c r="F6" s="3">
        <v>14</v>
      </c>
      <c r="G6" s="3">
        <v>7</v>
      </c>
      <c r="H6" s="3">
        <v>11</v>
      </c>
      <c r="I6" s="3">
        <v>35</v>
      </c>
      <c r="J6" s="3">
        <v>44</v>
      </c>
      <c r="K6" s="3">
        <v>45</v>
      </c>
      <c r="L6" s="3">
        <v>10</v>
      </c>
      <c r="M6" s="3">
        <v>42</v>
      </c>
      <c r="N6" s="8">
        <v>25</v>
      </c>
    </row>
    <row r="7" spans="1:14" x14ac:dyDescent="0.3">
      <c r="A7" s="27" t="s">
        <v>71</v>
      </c>
      <c r="B7" s="121"/>
      <c r="C7" s="121"/>
      <c r="D7" s="121"/>
      <c r="E7" s="122"/>
      <c r="F7" s="3">
        <v>9</v>
      </c>
      <c r="G7" s="3">
        <v>16</v>
      </c>
      <c r="H7" s="3">
        <v>32</v>
      </c>
      <c r="I7" s="3">
        <v>18</v>
      </c>
      <c r="J7" s="3">
        <v>20</v>
      </c>
      <c r="K7" s="3">
        <v>25</v>
      </c>
      <c r="L7" s="3">
        <v>18</v>
      </c>
      <c r="M7" s="3">
        <v>36</v>
      </c>
      <c r="N7" s="8">
        <v>29</v>
      </c>
    </row>
    <row r="8" spans="1:14" x14ac:dyDescent="0.3">
      <c r="A8" s="27" t="s">
        <v>72</v>
      </c>
      <c r="B8" s="121"/>
      <c r="C8" s="121"/>
      <c r="D8" s="121"/>
      <c r="E8" s="122"/>
      <c r="F8" s="3">
        <v>10</v>
      </c>
      <c r="G8" s="3">
        <v>48</v>
      </c>
      <c r="H8" s="3">
        <v>28</v>
      </c>
      <c r="I8" s="3">
        <v>43</v>
      </c>
      <c r="J8" s="3">
        <v>39</v>
      </c>
      <c r="K8" s="3">
        <v>44</v>
      </c>
      <c r="L8" s="3">
        <v>38</v>
      </c>
      <c r="M8" s="3">
        <v>46</v>
      </c>
      <c r="N8" s="8">
        <v>12</v>
      </c>
    </row>
    <row r="9" spans="1:14" x14ac:dyDescent="0.3">
      <c r="A9" s="123" t="s">
        <v>73</v>
      </c>
      <c r="B9" s="5"/>
      <c r="C9" s="5"/>
      <c r="D9" s="5"/>
      <c r="E9" s="124"/>
      <c r="F9" s="125">
        <v>34</v>
      </c>
      <c r="G9" s="125">
        <v>12</v>
      </c>
      <c r="H9" s="125">
        <v>30</v>
      </c>
      <c r="I9" s="125">
        <v>41</v>
      </c>
      <c r="J9" s="125">
        <v>11</v>
      </c>
      <c r="K9" s="125">
        <v>28</v>
      </c>
      <c r="L9" s="125">
        <v>20</v>
      </c>
      <c r="M9" s="125">
        <v>13</v>
      </c>
      <c r="N9" s="126">
        <v>42</v>
      </c>
    </row>
    <row r="10" spans="1:14" x14ac:dyDescent="0.3">
      <c r="A10" s="27" t="s">
        <v>74</v>
      </c>
      <c r="B10" s="3">
        <v>14</v>
      </c>
      <c r="C10" s="3">
        <v>9</v>
      </c>
      <c r="D10" s="3">
        <v>10</v>
      </c>
      <c r="E10" s="30">
        <v>34</v>
      </c>
      <c r="F10" s="121"/>
      <c r="G10" s="121"/>
      <c r="H10" s="121"/>
      <c r="I10" s="121"/>
      <c r="J10" s="121"/>
      <c r="K10" s="121"/>
      <c r="L10" s="121"/>
      <c r="M10" s="121"/>
      <c r="N10" s="127"/>
    </row>
    <row r="11" spans="1:14" x14ac:dyDescent="0.3">
      <c r="A11" s="27" t="s">
        <v>75</v>
      </c>
      <c r="B11" s="3">
        <v>7</v>
      </c>
      <c r="C11" s="3">
        <v>16</v>
      </c>
      <c r="D11" s="3">
        <v>48</v>
      </c>
      <c r="E11" s="30">
        <v>12</v>
      </c>
      <c r="F11" s="121"/>
      <c r="G11" s="121"/>
      <c r="H11" s="121"/>
      <c r="I11" s="121"/>
      <c r="J11" s="121"/>
      <c r="K11" s="121"/>
      <c r="L11" s="121"/>
      <c r="M11" s="121"/>
      <c r="N11" s="127"/>
    </row>
    <row r="12" spans="1:14" x14ac:dyDescent="0.3">
      <c r="A12" s="27" t="s">
        <v>76</v>
      </c>
      <c r="B12" s="3">
        <v>11</v>
      </c>
      <c r="C12" s="3">
        <v>32</v>
      </c>
      <c r="D12" s="3">
        <v>28</v>
      </c>
      <c r="E12" s="30">
        <v>30</v>
      </c>
      <c r="F12" s="121"/>
      <c r="G12" s="121"/>
      <c r="H12" s="121"/>
      <c r="I12" s="121"/>
      <c r="J12" s="121"/>
      <c r="K12" s="121"/>
      <c r="L12" s="121"/>
      <c r="M12" s="121"/>
      <c r="N12" s="127"/>
    </row>
    <row r="13" spans="1:14" x14ac:dyDescent="0.3">
      <c r="A13" s="27" t="s">
        <v>77</v>
      </c>
      <c r="B13" s="3">
        <v>35</v>
      </c>
      <c r="C13" s="3">
        <v>18</v>
      </c>
      <c r="D13" s="3">
        <v>43</v>
      </c>
      <c r="E13" s="30">
        <v>41</v>
      </c>
      <c r="F13" s="121"/>
      <c r="G13" s="121"/>
      <c r="H13" s="121"/>
      <c r="I13" s="121"/>
      <c r="J13" s="121"/>
      <c r="K13" s="121"/>
      <c r="L13" s="121"/>
      <c r="M13" s="121"/>
      <c r="N13" s="127"/>
    </row>
    <row r="14" spans="1:14" x14ac:dyDescent="0.3">
      <c r="A14" s="27" t="s">
        <v>78</v>
      </c>
      <c r="B14" s="3">
        <v>44</v>
      </c>
      <c r="C14" s="3">
        <v>20</v>
      </c>
      <c r="D14" s="3">
        <v>39</v>
      </c>
      <c r="E14" s="30">
        <v>11</v>
      </c>
      <c r="F14" s="121"/>
      <c r="G14" s="121"/>
      <c r="H14" s="121"/>
      <c r="I14" s="121"/>
      <c r="J14" s="121"/>
      <c r="K14" s="121"/>
      <c r="L14" s="121"/>
      <c r="M14" s="121"/>
      <c r="N14" s="127"/>
    </row>
    <row r="15" spans="1:14" x14ac:dyDescent="0.3">
      <c r="A15" s="27" t="s">
        <v>79</v>
      </c>
      <c r="B15" s="3">
        <v>45</v>
      </c>
      <c r="C15" s="3">
        <v>25</v>
      </c>
      <c r="D15" s="3">
        <v>44</v>
      </c>
      <c r="E15" s="30">
        <v>28</v>
      </c>
      <c r="F15" s="121"/>
      <c r="G15" s="121"/>
      <c r="H15" s="121"/>
      <c r="I15" s="121"/>
      <c r="J15" s="121"/>
      <c r="K15" s="121"/>
      <c r="L15" s="121"/>
      <c r="M15" s="121"/>
      <c r="N15" s="127"/>
    </row>
    <row r="16" spans="1:14" x14ac:dyDescent="0.3">
      <c r="A16" s="27" t="s">
        <v>80</v>
      </c>
      <c r="B16" s="3">
        <v>10</v>
      </c>
      <c r="C16" s="3">
        <v>18</v>
      </c>
      <c r="D16" s="3">
        <v>38</v>
      </c>
      <c r="E16" s="30">
        <v>20</v>
      </c>
      <c r="F16" s="121"/>
      <c r="G16" s="121"/>
      <c r="H16" s="121"/>
      <c r="I16" s="121"/>
      <c r="J16" s="121"/>
      <c r="K16" s="121"/>
      <c r="L16" s="121"/>
      <c r="M16" s="121"/>
      <c r="N16" s="127"/>
    </row>
    <row r="17" spans="1:14" x14ac:dyDescent="0.3">
      <c r="A17" s="27" t="s">
        <v>81</v>
      </c>
      <c r="B17" s="3">
        <v>42</v>
      </c>
      <c r="C17" s="3">
        <v>36</v>
      </c>
      <c r="D17" s="3">
        <v>46</v>
      </c>
      <c r="E17" s="30">
        <v>13</v>
      </c>
      <c r="F17" s="121"/>
      <c r="G17" s="121"/>
      <c r="H17" s="121"/>
      <c r="I17" s="121"/>
      <c r="J17" s="121"/>
      <c r="K17" s="121"/>
      <c r="L17" s="121"/>
      <c r="M17" s="121"/>
      <c r="N17" s="127"/>
    </row>
    <row r="18" spans="1:14" x14ac:dyDescent="0.3">
      <c r="A18" s="123" t="s">
        <v>82</v>
      </c>
      <c r="B18" s="125">
        <v>25</v>
      </c>
      <c r="C18" s="125">
        <v>29</v>
      </c>
      <c r="D18" s="125">
        <v>12</v>
      </c>
      <c r="E18" s="128">
        <v>42</v>
      </c>
      <c r="F18" s="5"/>
      <c r="G18" s="5"/>
      <c r="H18" s="5"/>
      <c r="I18" s="5"/>
      <c r="J18" s="5"/>
      <c r="K18" s="5"/>
      <c r="L18" s="5"/>
      <c r="M18" s="5"/>
      <c r="N18" s="6"/>
    </row>
    <row r="19" spans="1:14" x14ac:dyDescent="0.3">
      <c r="A19" s="129" t="s">
        <v>35</v>
      </c>
      <c r="B19" s="118">
        <v>110</v>
      </c>
      <c r="C19" s="118">
        <v>180</v>
      </c>
      <c r="D19" s="118">
        <v>220</v>
      </c>
      <c r="E19" s="119">
        <v>270</v>
      </c>
      <c r="F19" s="118"/>
      <c r="G19" s="118"/>
      <c r="H19" s="118"/>
      <c r="I19" s="118"/>
      <c r="J19" s="118"/>
      <c r="K19" s="118"/>
      <c r="L19" s="118"/>
      <c r="M19" s="118"/>
      <c r="N19" s="120"/>
    </row>
    <row r="20" spans="1:14" ht="16.2" thickBot="1" x14ac:dyDescent="0.35">
      <c r="A20" s="130" t="s">
        <v>83</v>
      </c>
      <c r="B20" s="10"/>
      <c r="C20" s="10"/>
      <c r="D20" s="10"/>
      <c r="E20" s="35"/>
      <c r="F20" s="10">
        <v>85</v>
      </c>
      <c r="G20" s="10">
        <v>102</v>
      </c>
      <c r="H20" s="10">
        <v>115</v>
      </c>
      <c r="I20" s="10">
        <v>158</v>
      </c>
      <c r="J20" s="10">
        <v>190</v>
      </c>
      <c r="K20" s="10">
        <v>91</v>
      </c>
      <c r="L20" s="10">
        <v>162</v>
      </c>
      <c r="M20" s="10">
        <v>120</v>
      </c>
      <c r="N20" s="11">
        <v>130</v>
      </c>
    </row>
    <row r="22" spans="1:14" ht="16.2" thickBot="1" x14ac:dyDescent="0.35"/>
    <row r="23" spans="1:14" x14ac:dyDescent="0.3">
      <c r="A23" s="103" t="s">
        <v>84</v>
      </c>
      <c r="B23" s="104" t="s">
        <v>74</v>
      </c>
      <c r="C23" s="104" t="s">
        <v>75</v>
      </c>
      <c r="D23" s="104" t="s">
        <v>76</v>
      </c>
      <c r="E23" s="104" t="s">
        <v>77</v>
      </c>
      <c r="F23" s="104" t="s">
        <v>78</v>
      </c>
      <c r="G23" s="104" t="s">
        <v>79</v>
      </c>
      <c r="H23" s="104" t="s">
        <v>80</v>
      </c>
      <c r="I23" s="131" t="s">
        <v>81</v>
      </c>
      <c r="J23" s="131" t="s">
        <v>82</v>
      </c>
      <c r="K23" s="131" t="s">
        <v>35</v>
      </c>
      <c r="L23" s="105" t="s">
        <v>85</v>
      </c>
    </row>
    <row r="24" spans="1:14" x14ac:dyDescent="0.3">
      <c r="A24" s="27" t="s">
        <v>70</v>
      </c>
      <c r="B24" s="3">
        <f>IF(F6&lt;=$C$33,1,0)</f>
        <v>1</v>
      </c>
      <c r="C24" s="3">
        <f t="shared" ref="C24:J27" si="0">IF(G6&lt;=$C$33,1,0)</f>
        <v>1</v>
      </c>
      <c r="D24" s="3">
        <f t="shared" si="0"/>
        <v>1</v>
      </c>
      <c r="E24" s="3">
        <f t="shared" si="0"/>
        <v>0</v>
      </c>
      <c r="F24" s="3">
        <f t="shared" si="0"/>
        <v>0</v>
      </c>
      <c r="G24" s="3">
        <f>IF(K6&lt;=$C$33,1,0)</f>
        <v>0</v>
      </c>
      <c r="H24" s="3">
        <f t="shared" si="0"/>
        <v>1</v>
      </c>
      <c r="I24" s="30">
        <f t="shared" si="0"/>
        <v>0</v>
      </c>
      <c r="J24" s="30">
        <f t="shared" si="0"/>
        <v>0</v>
      </c>
      <c r="K24" s="30">
        <v>110</v>
      </c>
      <c r="L24" s="16">
        <v>1</v>
      </c>
    </row>
    <row r="25" spans="1:14" x14ac:dyDescent="0.3">
      <c r="A25" s="27" t="s">
        <v>71</v>
      </c>
      <c r="B25" s="3">
        <f t="shared" ref="B25:B27" si="1">IF(F7&lt;=$C$33,1,0)</f>
        <v>1</v>
      </c>
      <c r="C25" s="3">
        <f t="shared" si="0"/>
        <v>1</v>
      </c>
      <c r="D25" s="3">
        <f t="shared" si="0"/>
        <v>0</v>
      </c>
      <c r="E25" s="3">
        <f t="shared" si="0"/>
        <v>1</v>
      </c>
      <c r="F25" s="3">
        <f t="shared" si="0"/>
        <v>1</v>
      </c>
      <c r="G25" s="3">
        <f t="shared" si="0"/>
        <v>0</v>
      </c>
      <c r="H25" s="3">
        <f t="shared" si="0"/>
        <v>1</v>
      </c>
      <c r="I25" s="30">
        <f t="shared" si="0"/>
        <v>0</v>
      </c>
      <c r="J25" s="30">
        <f t="shared" si="0"/>
        <v>0</v>
      </c>
      <c r="K25" s="30">
        <v>180</v>
      </c>
      <c r="L25" s="16">
        <v>1</v>
      </c>
    </row>
    <row r="26" spans="1:14" x14ac:dyDescent="0.3">
      <c r="A26" s="27" t="s">
        <v>72</v>
      </c>
      <c r="B26" s="3">
        <f t="shared" si="1"/>
        <v>1</v>
      </c>
      <c r="C26" s="3">
        <f t="shared" si="0"/>
        <v>0</v>
      </c>
      <c r="D26" s="3">
        <f t="shared" si="0"/>
        <v>0</v>
      </c>
      <c r="E26" s="3">
        <f t="shared" si="0"/>
        <v>0</v>
      </c>
      <c r="F26" s="3">
        <f t="shared" si="0"/>
        <v>0</v>
      </c>
      <c r="G26" s="3">
        <f t="shared" si="0"/>
        <v>0</v>
      </c>
      <c r="H26" s="3">
        <f t="shared" si="0"/>
        <v>0</v>
      </c>
      <c r="I26" s="30">
        <f t="shared" si="0"/>
        <v>0</v>
      </c>
      <c r="J26" s="30">
        <f t="shared" si="0"/>
        <v>1</v>
      </c>
      <c r="K26" s="30">
        <v>220</v>
      </c>
      <c r="L26" s="16">
        <v>0</v>
      </c>
    </row>
    <row r="27" spans="1:14" ht="16.2" thickBot="1" x14ac:dyDescent="0.35">
      <c r="A27" s="32" t="s">
        <v>73</v>
      </c>
      <c r="B27" s="10">
        <f t="shared" si="1"/>
        <v>0</v>
      </c>
      <c r="C27" s="10">
        <f t="shared" si="0"/>
        <v>1</v>
      </c>
      <c r="D27" s="10">
        <f t="shared" si="0"/>
        <v>0</v>
      </c>
      <c r="E27" s="10">
        <f t="shared" si="0"/>
        <v>0</v>
      </c>
      <c r="F27" s="10">
        <f t="shared" si="0"/>
        <v>1</v>
      </c>
      <c r="G27" s="10">
        <f t="shared" si="0"/>
        <v>0</v>
      </c>
      <c r="H27" s="10">
        <f t="shared" si="0"/>
        <v>1</v>
      </c>
      <c r="I27" s="35">
        <f t="shared" si="0"/>
        <v>1</v>
      </c>
      <c r="J27" s="35">
        <f t="shared" si="0"/>
        <v>0</v>
      </c>
      <c r="K27" s="35">
        <v>270</v>
      </c>
      <c r="L27" s="18">
        <v>0</v>
      </c>
    </row>
    <row r="29" spans="1:14" ht="16.2" thickBot="1" x14ac:dyDescent="0.35"/>
    <row r="30" spans="1:14" ht="16.2" thickBot="1" x14ac:dyDescent="0.35">
      <c r="A30" s="19" t="s">
        <v>86</v>
      </c>
      <c r="B30" s="132">
        <v>0</v>
      </c>
      <c r="C30" s="132">
        <v>0</v>
      </c>
      <c r="D30" s="132">
        <v>0</v>
      </c>
      <c r="E30" s="132">
        <v>0</v>
      </c>
      <c r="F30" s="132">
        <v>0</v>
      </c>
      <c r="G30" s="132">
        <v>1</v>
      </c>
      <c r="H30" s="132">
        <v>0</v>
      </c>
      <c r="I30" s="132">
        <v>1</v>
      </c>
      <c r="J30" s="133">
        <v>1</v>
      </c>
    </row>
    <row r="32" spans="1:14" ht="16.2" thickBot="1" x14ac:dyDescent="0.35"/>
    <row r="33" spans="1:10" ht="16.2" thickBot="1" x14ac:dyDescent="0.35">
      <c r="A33" s="176" t="s">
        <v>87</v>
      </c>
      <c r="B33" s="177"/>
      <c r="C33" s="134">
        <v>20</v>
      </c>
    </row>
    <row r="35" spans="1:10" ht="16.2" thickBot="1" x14ac:dyDescent="0.35"/>
    <row r="36" spans="1:10" ht="16.2" thickBot="1" x14ac:dyDescent="0.35">
      <c r="A36" s="19" t="s">
        <v>15</v>
      </c>
      <c r="B36" s="20">
        <f>SUMPRODUCT(K24:K27,L24:L27)+SUMPRODUCT(F20:N20,B30:J30)</f>
        <v>631</v>
      </c>
    </row>
    <row r="38" spans="1:10" ht="16.2" thickBot="1" x14ac:dyDescent="0.35"/>
    <row r="39" spans="1:10" x14ac:dyDescent="0.3">
      <c r="A39" s="21" t="s">
        <v>16</v>
      </c>
      <c r="B39" s="22">
        <f>SUMPRODUCT(B24:B27,$L$24:$L$27)+B$30</f>
        <v>2</v>
      </c>
      <c r="C39" s="22">
        <f t="shared" ref="C39:I39" si="2">SUMPRODUCT(C24:C27,$L$24:$L$27)+C$30</f>
        <v>2</v>
      </c>
      <c r="D39" s="22">
        <f t="shared" si="2"/>
        <v>1</v>
      </c>
      <c r="E39" s="22">
        <f t="shared" si="2"/>
        <v>1</v>
      </c>
      <c r="F39" s="22">
        <f t="shared" si="2"/>
        <v>1</v>
      </c>
      <c r="G39" s="22">
        <f t="shared" si="2"/>
        <v>1</v>
      </c>
      <c r="H39" s="22">
        <f>SUMPRODUCT(H24:H27,$L$24:$L$27)+H$30</f>
        <v>2</v>
      </c>
      <c r="I39" s="22">
        <f t="shared" si="2"/>
        <v>1</v>
      </c>
      <c r="J39" s="26">
        <f>SUMPRODUCT(J24:J27,$L$24:$L$27)+J$30</f>
        <v>1</v>
      </c>
    </row>
    <row r="40" spans="1:10" x14ac:dyDescent="0.3">
      <c r="A40" s="27"/>
      <c r="B40" s="28" t="s">
        <v>88</v>
      </c>
      <c r="C40" s="28" t="s">
        <v>88</v>
      </c>
      <c r="D40" s="28" t="s">
        <v>88</v>
      </c>
      <c r="E40" s="28" t="s">
        <v>88</v>
      </c>
      <c r="F40" s="28" t="s">
        <v>88</v>
      </c>
      <c r="G40" s="28" t="s">
        <v>88</v>
      </c>
      <c r="H40" s="28" t="s">
        <v>88</v>
      </c>
      <c r="I40" s="28" t="s">
        <v>88</v>
      </c>
      <c r="J40" s="31" t="s">
        <v>88</v>
      </c>
    </row>
    <row r="41" spans="1:10" ht="16.2" thickBot="1" x14ac:dyDescent="0.35">
      <c r="A41" s="32"/>
      <c r="B41" s="33">
        <v>1</v>
      </c>
      <c r="C41" s="33">
        <v>1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  <c r="I41" s="33">
        <v>1</v>
      </c>
      <c r="J41" s="36">
        <v>1</v>
      </c>
    </row>
  </sheetData>
  <mergeCells count="4">
    <mergeCell ref="A3:N3"/>
    <mergeCell ref="B4:E4"/>
    <mergeCell ref="F4:N4"/>
    <mergeCell ref="A33:B3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C6BC-8544-4510-83FD-E8F88F3D9777}">
  <dimension ref="A1:Y41"/>
  <sheetViews>
    <sheetView topLeftCell="A6" workbookViewId="0">
      <selection activeCell="M30" sqref="M30"/>
    </sheetView>
  </sheetViews>
  <sheetFormatPr defaultColWidth="12" defaultRowHeight="15.6" x14ac:dyDescent="0.3"/>
  <cols>
    <col min="1" max="1" width="13.33203125" style="38" customWidth="1"/>
    <col min="2" max="4" width="12" style="38"/>
    <col min="5" max="5" width="13.109375" style="38" bestFit="1" customWidth="1"/>
    <col min="6" max="16384" width="12" style="38"/>
  </cols>
  <sheetData>
    <row r="1" spans="1:25" x14ac:dyDescent="0.3">
      <c r="A1" s="37" t="s">
        <v>18</v>
      </c>
    </row>
    <row r="2" spans="1:25" ht="16.2" thickBot="1" x14ac:dyDescent="0.35"/>
    <row r="3" spans="1:25" x14ac:dyDescent="0.3">
      <c r="A3" s="167" t="s">
        <v>19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78"/>
      <c r="O3" s="39"/>
    </row>
    <row r="4" spans="1:25" x14ac:dyDescent="0.3">
      <c r="A4" s="40"/>
      <c r="B4" s="179" t="s">
        <v>20</v>
      </c>
      <c r="C4" s="169"/>
      <c r="D4" s="169"/>
      <c r="E4" s="180"/>
      <c r="F4" s="169" t="s">
        <v>21</v>
      </c>
      <c r="G4" s="169"/>
      <c r="H4" s="169"/>
      <c r="I4" s="169"/>
      <c r="J4" s="169"/>
      <c r="K4" s="169"/>
      <c r="L4" s="169"/>
      <c r="M4" s="169"/>
      <c r="N4" s="180"/>
      <c r="O4" s="41"/>
    </row>
    <row r="5" spans="1:25" x14ac:dyDescent="0.3">
      <c r="A5" s="40"/>
      <c r="B5" s="42" t="s">
        <v>22</v>
      </c>
      <c r="C5" s="43" t="s">
        <v>23</v>
      </c>
      <c r="D5" s="43" t="s">
        <v>24</v>
      </c>
      <c r="E5" s="44" t="s">
        <v>25</v>
      </c>
      <c r="F5" s="45" t="s">
        <v>26</v>
      </c>
      <c r="G5" s="45" t="s">
        <v>27</v>
      </c>
      <c r="H5" s="45" t="s">
        <v>28</v>
      </c>
      <c r="I5" s="45" t="s">
        <v>29</v>
      </c>
      <c r="J5" s="45" t="s">
        <v>30</v>
      </c>
      <c r="K5" s="45" t="s">
        <v>31</v>
      </c>
      <c r="L5" s="45" t="s">
        <v>32</v>
      </c>
      <c r="M5" s="45" t="s">
        <v>33</v>
      </c>
      <c r="N5" s="44" t="s">
        <v>34</v>
      </c>
      <c r="O5" s="46" t="s">
        <v>35</v>
      </c>
    </row>
    <row r="6" spans="1:25" x14ac:dyDescent="0.3">
      <c r="A6" s="47" t="s">
        <v>22</v>
      </c>
      <c r="B6" s="48"/>
      <c r="C6" s="49"/>
      <c r="D6" s="49"/>
      <c r="E6" s="50"/>
      <c r="F6" s="51">
        <v>30</v>
      </c>
      <c r="G6" s="51">
        <v>40</v>
      </c>
      <c r="H6" s="51">
        <v>35</v>
      </c>
      <c r="I6" s="51">
        <v>40</v>
      </c>
      <c r="J6" s="51">
        <v>35</v>
      </c>
      <c r="K6" s="51">
        <v>38</v>
      </c>
      <c r="L6" s="51">
        <v>30</v>
      </c>
      <c r="M6" s="51">
        <v>32</v>
      </c>
      <c r="N6" s="52">
        <v>55</v>
      </c>
      <c r="O6" s="53">
        <v>18000</v>
      </c>
      <c r="Q6" s="51"/>
      <c r="R6" s="51"/>
      <c r="S6" s="51"/>
      <c r="T6" s="51"/>
      <c r="U6" s="51"/>
      <c r="V6" s="51"/>
      <c r="W6" s="51"/>
      <c r="X6" s="51"/>
      <c r="Y6" s="51"/>
    </row>
    <row r="7" spans="1:25" x14ac:dyDescent="0.3">
      <c r="A7" s="47" t="s">
        <v>23</v>
      </c>
      <c r="B7" s="48"/>
      <c r="C7" s="49"/>
      <c r="D7" s="49"/>
      <c r="E7" s="50"/>
      <c r="F7" s="51">
        <v>32</v>
      </c>
      <c r="G7" s="51">
        <v>40</v>
      </c>
      <c r="H7" s="51">
        <v>33</v>
      </c>
      <c r="I7" s="51">
        <v>45</v>
      </c>
      <c r="J7" s="51">
        <v>35</v>
      </c>
      <c r="K7" s="51">
        <v>35</v>
      </c>
      <c r="L7" s="51">
        <v>33</v>
      </c>
      <c r="M7" s="51">
        <v>30</v>
      </c>
      <c r="N7" s="52">
        <v>28</v>
      </c>
      <c r="O7" s="53">
        <v>18000</v>
      </c>
    </row>
    <row r="8" spans="1:25" x14ac:dyDescent="0.3">
      <c r="A8" s="47" t="s">
        <v>24</v>
      </c>
      <c r="B8" s="48"/>
      <c r="C8" s="49"/>
      <c r="D8" s="49"/>
      <c r="E8" s="50"/>
      <c r="F8" s="51">
        <v>28</v>
      </c>
      <c r="G8" s="51">
        <v>30</v>
      </c>
      <c r="H8" s="51">
        <v>32</v>
      </c>
      <c r="I8" s="51">
        <v>30</v>
      </c>
      <c r="J8" s="51">
        <v>25</v>
      </c>
      <c r="K8" s="51">
        <v>28</v>
      </c>
      <c r="L8" s="51">
        <v>30</v>
      </c>
      <c r="M8" s="51">
        <v>35</v>
      </c>
      <c r="N8" s="52">
        <v>40</v>
      </c>
      <c r="O8" s="53">
        <v>18000</v>
      </c>
    </row>
    <row r="9" spans="1:25" x14ac:dyDescent="0.3">
      <c r="A9" s="54" t="s">
        <v>25</v>
      </c>
      <c r="B9" s="55"/>
      <c r="C9" s="56"/>
      <c r="D9" s="56"/>
      <c r="E9" s="57"/>
      <c r="F9" s="58">
        <v>25</v>
      </c>
      <c r="G9" s="58">
        <v>35</v>
      </c>
      <c r="H9" s="58">
        <v>30</v>
      </c>
      <c r="I9" s="58">
        <v>45</v>
      </c>
      <c r="J9" s="58">
        <v>33</v>
      </c>
      <c r="K9" s="58">
        <v>40</v>
      </c>
      <c r="L9" s="58">
        <v>42</v>
      </c>
      <c r="M9" s="58">
        <v>30</v>
      </c>
      <c r="N9" s="59">
        <v>25</v>
      </c>
      <c r="O9" s="41">
        <v>18000</v>
      </c>
    </row>
    <row r="10" spans="1:25" x14ac:dyDescent="0.3">
      <c r="A10" s="47" t="s">
        <v>26</v>
      </c>
      <c r="B10" s="60">
        <v>25</v>
      </c>
      <c r="C10" s="38">
        <v>35</v>
      </c>
      <c r="D10" s="38">
        <v>22</v>
      </c>
      <c r="E10" s="61">
        <v>15</v>
      </c>
      <c r="F10" s="49"/>
      <c r="G10" s="49"/>
      <c r="H10" s="49"/>
      <c r="I10" s="49"/>
      <c r="J10" s="49"/>
      <c r="K10" s="49"/>
      <c r="L10" s="49"/>
      <c r="M10" s="49"/>
      <c r="N10" s="50"/>
      <c r="O10" s="53"/>
    </row>
    <row r="11" spans="1:25" x14ac:dyDescent="0.3">
      <c r="A11" s="47" t="s">
        <v>27</v>
      </c>
      <c r="B11" s="60">
        <v>55</v>
      </c>
      <c r="C11" s="38">
        <v>50</v>
      </c>
      <c r="D11" s="38">
        <v>15</v>
      </c>
      <c r="E11" s="61">
        <v>35</v>
      </c>
      <c r="F11" s="49"/>
      <c r="G11" s="49"/>
      <c r="H11" s="49"/>
      <c r="I11" s="49"/>
      <c r="J11" s="49"/>
      <c r="K11" s="49"/>
      <c r="L11" s="49"/>
      <c r="M11" s="49"/>
      <c r="N11" s="50"/>
      <c r="O11" s="53"/>
    </row>
    <row r="12" spans="1:25" x14ac:dyDescent="0.3">
      <c r="A12" s="47" t="s">
        <v>28</v>
      </c>
      <c r="B12" s="60">
        <v>30</v>
      </c>
      <c r="C12" s="38">
        <v>40</v>
      </c>
      <c r="D12" s="38">
        <v>32</v>
      </c>
      <c r="E12" s="61">
        <v>25</v>
      </c>
      <c r="F12" s="49"/>
      <c r="G12" s="49"/>
      <c r="H12" s="49"/>
      <c r="I12" s="49"/>
      <c r="J12" s="49"/>
      <c r="K12" s="49"/>
      <c r="L12" s="49"/>
      <c r="M12" s="49"/>
      <c r="N12" s="50"/>
      <c r="O12" s="53"/>
    </row>
    <row r="13" spans="1:25" x14ac:dyDescent="0.3">
      <c r="A13" s="47" t="s">
        <v>29</v>
      </c>
      <c r="B13" s="60">
        <v>45</v>
      </c>
      <c r="C13" s="38">
        <v>55</v>
      </c>
      <c r="D13" s="38">
        <v>27</v>
      </c>
      <c r="E13" s="61">
        <v>55</v>
      </c>
      <c r="F13" s="49"/>
      <c r="G13" s="49"/>
      <c r="H13" s="49"/>
      <c r="I13" s="49"/>
      <c r="J13" s="49"/>
      <c r="K13" s="49"/>
      <c r="L13" s="49"/>
      <c r="M13" s="49"/>
      <c r="N13" s="50"/>
      <c r="O13" s="53"/>
    </row>
    <row r="14" spans="1:25" x14ac:dyDescent="0.3">
      <c r="A14" s="47" t="s">
        <v>30</v>
      </c>
      <c r="B14" s="60">
        <v>35</v>
      </c>
      <c r="C14" s="38">
        <v>45</v>
      </c>
      <c r="D14" s="38">
        <v>20</v>
      </c>
      <c r="E14" s="61">
        <v>30</v>
      </c>
      <c r="F14" s="49"/>
      <c r="G14" s="49"/>
      <c r="H14" s="49"/>
      <c r="I14" s="49"/>
      <c r="J14" s="49"/>
      <c r="K14" s="49"/>
      <c r="L14" s="49"/>
      <c r="M14" s="49"/>
      <c r="N14" s="50"/>
      <c r="O14" s="53"/>
    </row>
    <row r="15" spans="1:25" x14ac:dyDescent="0.3">
      <c r="A15" s="47" t="s">
        <v>31</v>
      </c>
      <c r="B15" s="60">
        <v>40</v>
      </c>
      <c r="C15" s="38">
        <v>30</v>
      </c>
      <c r="D15" s="38">
        <v>15</v>
      </c>
      <c r="E15" s="61">
        <v>45</v>
      </c>
      <c r="F15" s="49"/>
      <c r="G15" s="49"/>
      <c r="H15" s="49"/>
      <c r="I15" s="49"/>
      <c r="J15" s="49"/>
      <c r="K15" s="49"/>
      <c r="L15" s="49"/>
      <c r="M15" s="49"/>
      <c r="N15" s="50"/>
      <c r="O15" s="53"/>
    </row>
    <row r="16" spans="1:25" x14ac:dyDescent="0.3">
      <c r="A16" s="47" t="s">
        <v>32</v>
      </c>
      <c r="B16" s="60">
        <v>22</v>
      </c>
      <c r="C16" s="38">
        <v>38</v>
      </c>
      <c r="D16" s="38">
        <v>25</v>
      </c>
      <c r="E16" s="61">
        <v>50</v>
      </c>
      <c r="F16" s="49"/>
      <c r="G16" s="49"/>
      <c r="H16" s="49"/>
      <c r="I16" s="49"/>
      <c r="J16" s="49"/>
      <c r="K16" s="49"/>
      <c r="L16" s="49"/>
      <c r="M16" s="49"/>
      <c r="N16" s="50"/>
      <c r="O16" s="53"/>
    </row>
    <row r="17" spans="1:15" x14ac:dyDescent="0.3">
      <c r="A17" s="47" t="s">
        <v>33</v>
      </c>
      <c r="B17" s="60">
        <v>28</v>
      </c>
      <c r="C17" s="38">
        <v>22</v>
      </c>
      <c r="D17" s="38">
        <v>30</v>
      </c>
      <c r="E17" s="61">
        <v>22</v>
      </c>
      <c r="F17" s="49"/>
      <c r="G17" s="49"/>
      <c r="H17" s="49"/>
      <c r="I17" s="49"/>
      <c r="J17" s="49"/>
      <c r="K17" s="49"/>
      <c r="L17" s="49"/>
      <c r="M17" s="49"/>
      <c r="N17" s="50"/>
      <c r="O17" s="53"/>
    </row>
    <row r="18" spans="1:15" x14ac:dyDescent="0.3">
      <c r="A18" s="54" t="s">
        <v>34</v>
      </c>
      <c r="B18" s="62">
        <v>65</v>
      </c>
      <c r="C18" s="63">
        <v>20</v>
      </c>
      <c r="D18" s="63">
        <v>40</v>
      </c>
      <c r="E18" s="64">
        <v>18</v>
      </c>
      <c r="F18" s="56"/>
      <c r="G18" s="56"/>
      <c r="H18" s="56"/>
      <c r="I18" s="56"/>
      <c r="J18" s="56"/>
      <c r="K18" s="56"/>
      <c r="L18" s="56"/>
      <c r="M18" s="56"/>
      <c r="N18" s="57"/>
      <c r="O18" s="65"/>
    </row>
    <row r="19" spans="1:15" ht="16.2" thickBot="1" x14ac:dyDescent="0.35">
      <c r="A19" s="66" t="s">
        <v>36</v>
      </c>
      <c r="B19" s="67">
        <v>1200</v>
      </c>
      <c r="C19" s="68">
        <v>1200</v>
      </c>
      <c r="D19" s="68">
        <v>1200</v>
      </c>
      <c r="E19" s="69">
        <v>1200</v>
      </c>
      <c r="F19" s="70">
        <v>150</v>
      </c>
      <c r="G19" s="70">
        <v>125</v>
      </c>
      <c r="H19" s="70">
        <v>110</v>
      </c>
      <c r="I19" s="70">
        <v>180</v>
      </c>
      <c r="J19" s="70">
        <v>90</v>
      </c>
      <c r="K19" s="70">
        <v>160</v>
      </c>
      <c r="L19" s="70">
        <v>130</v>
      </c>
      <c r="M19" s="70">
        <v>150</v>
      </c>
      <c r="N19" s="71">
        <v>180</v>
      </c>
      <c r="O19" s="72"/>
    </row>
    <row r="21" spans="1:15" ht="16.2" thickBot="1" x14ac:dyDescent="0.35"/>
    <row r="22" spans="1:15" x14ac:dyDescent="0.3">
      <c r="A22" s="73" t="s">
        <v>37</v>
      </c>
      <c r="B22" s="74" t="s">
        <v>26</v>
      </c>
      <c r="C22" s="74" t="s">
        <v>27</v>
      </c>
      <c r="D22" s="74" t="s">
        <v>28</v>
      </c>
      <c r="E22" s="74" t="s">
        <v>29</v>
      </c>
      <c r="F22" s="74" t="s">
        <v>30</v>
      </c>
      <c r="G22" s="74" t="s">
        <v>31</v>
      </c>
      <c r="H22" s="74" t="s">
        <v>32</v>
      </c>
      <c r="I22" s="74" t="s">
        <v>33</v>
      </c>
      <c r="J22" s="39" t="s">
        <v>34</v>
      </c>
    </row>
    <row r="23" spans="1:15" x14ac:dyDescent="0.3">
      <c r="A23" s="75" t="s">
        <v>22</v>
      </c>
      <c r="B23" s="38">
        <f>F6*F$19</f>
        <v>4500</v>
      </c>
      <c r="C23" s="38">
        <f t="shared" ref="C23:J26" si="0">G6*G$19</f>
        <v>5000</v>
      </c>
      <c r="D23" s="38">
        <f t="shared" si="0"/>
        <v>3850</v>
      </c>
      <c r="E23" s="38">
        <f t="shared" si="0"/>
        <v>7200</v>
      </c>
      <c r="F23" s="38">
        <f t="shared" si="0"/>
        <v>3150</v>
      </c>
      <c r="G23" s="38">
        <f t="shared" si="0"/>
        <v>6080</v>
      </c>
      <c r="H23" s="38">
        <f t="shared" si="0"/>
        <v>3900</v>
      </c>
      <c r="I23" s="38">
        <f t="shared" si="0"/>
        <v>4800</v>
      </c>
      <c r="J23" s="53">
        <f t="shared" si="0"/>
        <v>9900</v>
      </c>
    </row>
    <row r="24" spans="1:15" x14ac:dyDescent="0.3">
      <c r="A24" s="75" t="s">
        <v>23</v>
      </c>
      <c r="B24" s="38">
        <f t="shared" ref="B24:B26" si="1">F7*F$19</f>
        <v>4800</v>
      </c>
      <c r="C24" s="38">
        <f t="shared" si="0"/>
        <v>5000</v>
      </c>
      <c r="D24" s="38">
        <f t="shared" si="0"/>
        <v>3630</v>
      </c>
      <c r="E24" s="38">
        <f t="shared" si="0"/>
        <v>8100</v>
      </c>
      <c r="F24" s="38">
        <f t="shared" si="0"/>
        <v>3150</v>
      </c>
      <c r="G24" s="38">
        <f t="shared" si="0"/>
        <v>5600</v>
      </c>
      <c r="H24" s="38">
        <f t="shared" si="0"/>
        <v>4290</v>
      </c>
      <c r="I24" s="38">
        <f t="shared" si="0"/>
        <v>4500</v>
      </c>
      <c r="J24" s="53">
        <f t="shared" si="0"/>
        <v>5040</v>
      </c>
    </row>
    <row r="25" spans="1:15" x14ac:dyDescent="0.3">
      <c r="A25" s="75" t="s">
        <v>24</v>
      </c>
      <c r="B25" s="38">
        <f t="shared" si="1"/>
        <v>4200</v>
      </c>
      <c r="C25" s="38">
        <f t="shared" si="0"/>
        <v>3750</v>
      </c>
      <c r="D25" s="38">
        <f t="shared" si="0"/>
        <v>3520</v>
      </c>
      <c r="E25" s="38">
        <f t="shared" si="0"/>
        <v>5400</v>
      </c>
      <c r="F25" s="38">
        <f t="shared" si="0"/>
        <v>2250</v>
      </c>
      <c r="G25" s="38">
        <f t="shared" si="0"/>
        <v>4480</v>
      </c>
      <c r="H25" s="38">
        <f t="shared" si="0"/>
        <v>3900</v>
      </c>
      <c r="I25" s="38">
        <f>M8*M$19</f>
        <v>5250</v>
      </c>
      <c r="J25" s="53">
        <f t="shared" si="0"/>
        <v>7200</v>
      </c>
    </row>
    <row r="26" spans="1:15" ht="16.2" thickBot="1" x14ac:dyDescent="0.35">
      <c r="A26" s="76" t="s">
        <v>25</v>
      </c>
      <c r="B26" s="70">
        <f t="shared" si="1"/>
        <v>3750</v>
      </c>
      <c r="C26" s="70">
        <f t="shared" si="0"/>
        <v>4375</v>
      </c>
      <c r="D26" s="70">
        <f t="shared" si="0"/>
        <v>3300</v>
      </c>
      <c r="E26" s="70">
        <f t="shared" si="0"/>
        <v>8100</v>
      </c>
      <c r="F26" s="70">
        <f t="shared" si="0"/>
        <v>2970</v>
      </c>
      <c r="G26" s="70">
        <f t="shared" si="0"/>
        <v>6400</v>
      </c>
      <c r="H26" s="70">
        <f t="shared" si="0"/>
        <v>5460</v>
      </c>
      <c r="I26" s="70">
        <f t="shared" si="0"/>
        <v>4500</v>
      </c>
      <c r="J26" s="72">
        <f t="shared" si="0"/>
        <v>4500</v>
      </c>
    </row>
    <row r="28" spans="1:15" ht="16.2" thickBot="1" x14ac:dyDescent="0.35">
      <c r="L28" s="77"/>
      <c r="M28" s="51"/>
    </row>
    <row r="29" spans="1:15" x14ac:dyDescent="0.3">
      <c r="A29" s="73" t="s">
        <v>38</v>
      </c>
      <c r="B29" s="74" t="s">
        <v>26</v>
      </c>
      <c r="C29" s="74" t="s">
        <v>27</v>
      </c>
      <c r="D29" s="74" t="s">
        <v>28</v>
      </c>
      <c r="E29" s="74" t="s">
        <v>29</v>
      </c>
      <c r="F29" s="74" t="s">
        <v>30</v>
      </c>
      <c r="G29" s="74" t="s">
        <v>31</v>
      </c>
      <c r="H29" s="74" t="s">
        <v>32</v>
      </c>
      <c r="I29" s="74" t="s">
        <v>33</v>
      </c>
      <c r="J29" s="78" t="s">
        <v>34</v>
      </c>
      <c r="K29" s="79" t="s">
        <v>39</v>
      </c>
      <c r="L29" s="79" t="s">
        <v>40</v>
      </c>
      <c r="M29" s="80" t="s">
        <v>41</v>
      </c>
      <c r="N29" s="81" t="s">
        <v>42</v>
      </c>
    </row>
    <row r="30" spans="1:15" x14ac:dyDescent="0.3">
      <c r="A30" s="75" t="s">
        <v>22</v>
      </c>
      <c r="B30" s="82">
        <v>0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3">
        <v>0</v>
      </c>
      <c r="K30" s="84">
        <v>0</v>
      </c>
      <c r="L30" s="85">
        <v>1200</v>
      </c>
      <c r="M30" s="86">
        <f>SUMPRODUCT($F$19:$N$19,B30:J30)</f>
        <v>0</v>
      </c>
      <c r="N30" s="87">
        <f>L30*K30</f>
        <v>0</v>
      </c>
    </row>
    <row r="31" spans="1:15" x14ac:dyDescent="0.3">
      <c r="A31" s="75" t="s">
        <v>23</v>
      </c>
      <c r="B31" s="82">
        <v>0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3">
        <v>0</v>
      </c>
      <c r="K31" s="84">
        <v>0</v>
      </c>
      <c r="L31" s="85">
        <v>1200</v>
      </c>
      <c r="M31" s="86">
        <f t="shared" ref="M31:M33" si="2">SUMPRODUCT($F$19:$N$19,B31:J31)</f>
        <v>0</v>
      </c>
      <c r="N31" s="87">
        <f>L31*K31</f>
        <v>0</v>
      </c>
    </row>
    <row r="32" spans="1:15" x14ac:dyDescent="0.3">
      <c r="A32" s="75" t="s">
        <v>24</v>
      </c>
      <c r="B32" s="82">
        <v>0</v>
      </c>
      <c r="C32" s="82">
        <v>1</v>
      </c>
      <c r="D32" s="82">
        <v>0</v>
      </c>
      <c r="E32" s="82">
        <v>1</v>
      </c>
      <c r="F32" s="82">
        <v>1</v>
      </c>
      <c r="G32" s="82">
        <v>1</v>
      </c>
      <c r="H32" s="82">
        <v>1</v>
      </c>
      <c r="I32" s="82">
        <v>0</v>
      </c>
      <c r="J32" s="83">
        <v>0</v>
      </c>
      <c r="K32" s="84">
        <v>1</v>
      </c>
      <c r="L32" s="85">
        <v>1200</v>
      </c>
      <c r="M32" s="86">
        <f t="shared" si="2"/>
        <v>685</v>
      </c>
      <c r="N32" s="87">
        <f t="shared" ref="N32:N33" si="3">L32*K32</f>
        <v>1200</v>
      </c>
    </row>
    <row r="33" spans="1:14" ht="16.2" thickBot="1" x14ac:dyDescent="0.35">
      <c r="A33" s="76" t="s">
        <v>25</v>
      </c>
      <c r="B33" s="88">
        <v>1</v>
      </c>
      <c r="C33" s="88">
        <v>0</v>
      </c>
      <c r="D33" s="88">
        <v>1</v>
      </c>
      <c r="E33" s="88">
        <v>0</v>
      </c>
      <c r="F33" s="88">
        <v>0</v>
      </c>
      <c r="G33" s="88">
        <v>0</v>
      </c>
      <c r="H33" s="88">
        <v>0</v>
      </c>
      <c r="I33" s="88">
        <v>1</v>
      </c>
      <c r="J33" s="89">
        <v>1</v>
      </c>
      <c r="K33" s="90">
        <v>1</v>
      </c>
      <c r="L33" s="91">
        <v>1200</v>
      </c>
      <c r="M33" s="92">
        <f t="shared" si="2"/>
        <v>590</v>
      </c>
      <c r="N33" s="93">
        <f t="shared" si="3"/>
        <v>1200</v>
      </c>
    </row>
    <row r="35" spans="1:14" ht="16.2" thickBot="1" x14ac:dyDescent="0.35"/>
    <row r="36" spans="1:14" ht="16.2" thickBot="1" x14ac:dyDescent="0.35">
      <c r="A36" s="94" t="s">
        <v>15</v>
      </c>
      <c r="B36" s="95">
        <f>SUMPRODUCT(B23:J26,B30:J33)+SUMPRODUCT(O6:O9,K30:K33)</f>
        <v>71830</v>
      </c>
    </row>
    <row r="38" spans="1:14" ht="16.2" thickBot="1" x14ac:dyDescent="0.35"/>
    <row r="39" spans="1:14" x14ac:dyDescent="0.3">
      <c r="A39" s="96" t="s">
        <v>16</v>
      </c>
      <c r="B39" s="97">
        <f>SUM(B30:B33)</f>
        <v>1</v>
      </c>
      <c r="C39" s="97">
        <f>SUM(C30:C33)</f>
        <v>1</v>
      </c>
      <c r="D39" s="97">
        <f t="shared" ref="D39:I39" si="4">SUM(D30:D33)</f>
        <v>1</v>
      </c>
      <c r="E39" s="97">
        <f t="shared" si="4"/>
        <v>1</v>
      </c>
      <c r="F39" s="97">
        <f t="shared" si="4"/>
        <v>1</v>
      </c>
      <c r="G39" s="97">
        <f t="shared" si="4"/>
        <v>1</v>
      </c>
      <c r="H39" s="97">
        <f t="shared" si="4"/>
        <v>1</v>
      </c>
      <c r="I39" s="97">
        <f t="shared" si="4"/>
        <v>1</v>
      </c>
      <c r="J39" s="98">
        <f>SUM(J30:J33)</f>
        <v>1</v>
      </c>
    </row>
    <row r="40" spans="1:14" x14ac:dyDescent="0.3">
      <c r="A40" s="75"/>
      <c r="B40" s="99" t="s">
        <v>17</v>
      </c>
      <c r="C40" s="99" t="s">
        <v>17</v>
      </c>
      <c r="D40" s="99" t="s">
        <v>17</v>
      </c>
      <c r="E40" s="99" t="s">
        <v>17</v>
      </c>
      <c r="F40" s="99" t="s">
        <v>17</v>
      </c>
      <c r="G40" s="99" t="s">
        <v>17</v>
      </c>
      <c r="H40" s="99" t="s">
        <v>17</v>
      </c>
      <c r="I40" s="99" t="s">
        <v>17</v>
      </c>
      <c r="J40" s="100" t="s">
        <v>17</v>
      </c>
    </row>
    <row r="41" spans="1:14" ht="16.2" thickBot="1" x14ac:dyDescent="0.35">
      <c r="A41" s="76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2">
        <v>1</v>
      </c>
    </row>
  </sheetData>
  <mergeCells count="3">
    <mergeCell ref="A3:N3"/>
    <mergeCell ref="B4:E4"/>
    <mergeCell ref="F4:N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45D5-7951-4307-9700-C83083DF6045}">
  <dimension ref="A1:Z53"/>
  <sheetViews>
    <sheetView workbookViewId="0">
      <selection activeCell="U33" sqref="U33"/>
    </sheetView>
  </sheetViews>
  <sheetFormatPr defaultColWidth="12" defaultRowHeight="15.6" x14ac:dyDescent="0.3"/>
  <cols>
    <col min="1" max="16384" width="12" style="3"/>
  </cols>
  <sheetData>
    <row r="1" spans="1:17" s="2" customFormat="1" x14ac:dyDescent="0.3">
      <c r="A1" s="1" t="s">
        <v>0</v>
      </c>
    </row>
    <row r="2" spans="1:17" ht="16.2" thickBot="1" x14ac:dyDescent="0.35"/>
    <row r="3" spans="1:17" x14ac:dyDescent="0.3">
      <c r="A3" s="181" t="s">
        <v>1</v>
      </c>
      <c r="B3" s="182"/>
      <c r="C3" s="182"/>
      <c r="D3" s="182"/>
      <c r="E3" s="182"/>
      <c r="F3" s="182"/>
      <c r="G3" s="182"/>
      <c r="H3" s="183"/>
    </row>
    <row r="4" spans="1:17" x14ac:dyDescent="0.3">
      <c r="A4" s="4"/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6">
        <v>6</v>
      </c>
    </row>
    <row r="5" spans="1:17" x14ac:dyDescent="0.3">
      <c r="A5" s="7">
        <v>0</v>
      </c>
      <c r="B5" s="3">
        <v>0</v>
      </c>
      <c r="C5" s="3">
        <v>30</v>
      </c>
      <c r="D5" s="3">
        <v>26</v>
      </c>
      <c r="E5" s="3">
        <v>32</v>
      </c>
      <c r="F5" s="3">
        <v>28</v>
      </c>
      <c r="G5" s="3">
        <v>35</v>
      </c>
      <c r="H5" s="8">
        <v>38</v>
      </c>
    </row>
    <row r="6" spans="1:17" x14ac:dyDescent="0.3">
      <c r="A6" s="7">
        <v>1</v>
      </c>
      <c r="B6" s="3">
        <v>30</v>
      </c>
      <c r="C6" s="3">
        <v>0</v>
      </c>
      <c r="D6" s="3">
        <v>33</v>
      </c>
      <c r="E6" s="3">
        <v>29</v>
      </c>
      <c r="F6" s="3">
        <v>26</v>
      </c>
      <c r="G6" s="3">
        <v>31</v>
      </c>
      <c r="H6" s="8">
        <v>37</v>
      </c>
    </row>
    <row r="7" spans="1:17" x14ac:dyDescent="0.3">
      <c r="A7" s="7">
        <v>2</v>
      </c>
      <c r="B7" s="3">
        <v>26</v>
      </c>
      <c r="C7" s="3">
        <v>33</v>
      </c>
      <c r="D7" s="3">
        <v>0</v>
      </c>
      <c r="E7" s="3">
        <v>28</v>
      </c>
      <c r="F7" s="3">
        <v>32</v>
      </c>
      <c r="G7" s="3">
        <v>25</v>
      </c>
      <c r="H7" s="8">
        <v>29</v>
      </c>
    </row>
    <row r="8" spans="1:17" x14ac:dyDescent="0.3">
      <c r="A8" s="7">
        <v>3</v>
      </c>
      <c r="B8" s="3">
        <v>32</v>
      </c>
      <c r="C8" s="3">
        <v>29</v>
      </c>
      <c r="D8" s="3">
        <v>28</v>
      </c>
      <c r="E8" s="3">
        <v>0</v>
      </c>
      <c r="F8" s="3">
        <v>27</v>
      </c>
      <c r="G8" s="3">
        <v>33</v>
      </c>
      <c r="H8" s="8">
        <v>31</v>
      </c>
    </row>
    <row r="9" spans="1:17" x14ac:dyDescent="0.3">
      <c r="A9" s="7">
        <v>4</v>
      </c>
      <c r="B9" s="3">
        <v>28</v>
      </c>
      <c r="C9" s="3">
        <v>26</v>
      </c>
      <c r="D9" s="3">
        <v>32</v>
      </c>
      <c r="E9" s="3">
        <v>27</v>
      </c>
      <c r="F9" s="3">
        <v>0</v>
      </c>
      <c r="G9" s="3">
        <v>29</v>
      </c>
      <c r="H9" s="8">
        <v>34</v>
      </c>
    </row>
    <row r="10" spans="1:17" x14ac:dyDescent="0.3">
      <c r="A10" s="7">
        <v>5</v>
      </c>
      <c r="B10" s="3">
        <v>35</v>
      </c>
      <c r="C10" s="3">
        <v>31</v>
      </c>
      <c r="D10" s="3">
        <v>25</v>
      </c>
      <c r="E10" s="3">
        <v>33</v>
      </c>
      <c r="F10" s="3">
        <v>29</v>
      </c>
      <c r="G10" s="3">
        <v>0</v>
      </c>
      <c r="H10" s="8">
        <v>27</v>
      </c>
    </row>
    <row r="11" spans="1:17" ht="16.2" thickBot="1" x14ac:dyDescent="0.35">
      <c r="A11" s="9">
        <v>6</v>
      </c>
      <c r="B11" s="10">
        <v>38</v>
      </c>
      <c r="C11" s="10">
        <v>37</v>
      </c>
      <c r="D11" s="10">
        <v>29</v>
      </c>
      <c r="E11" s="10">
        <v>31</v>
      </c>
      <c r="F11" s="10">
        <v>34</v>
      </c>
      <c r="G11" s="10">
        <v>27</v>
      </c>
      <c r="H11" s="11">
        <v>0</v>
      </c>
    </row>
    <row r="12" spans="1:17" ht="16.2" thickBot="1" x14ac:dyDescent="0.35"/>
    <row r="13" spans="1:17" x14ac:dyDescent="0.3">
      <c r="A13" s="181" t="s">
        <v>2</v>
      </c>
      <c r="B13" s="182"/>
      <c r="C13" s="182"/>
      <c r="D13" s="182"/>
      <c r="E13" s="182"/>
      <c r="F13" s="182"/>
      <c r="G13" s="182"/>
      <c r="H13" s="183"/>
      <c r="J13" s="181" t="s">
        <v>3</v>
      </c>
      <c r="K13" s="182"/>
      <c r="L13" s="182"/>
      <c r="M13" s="182"/>
      <c r="N13" s="182"/>
      <c r="O13" s="182"/>
      <c r="P13" s="182"/>
      <c r="Q13" s="183"/>
    </row>
    <row r="14" spans="1:17" x14ac:dyDescent="0.3">
      <c r="A14" s="12" t="s">
        <v>4</v>
      </c>
      <c r="B14" s="13">
        <v>0</v>
      </c>
      <c r="C14" s="13">
        <v>1</v>
      </c>
      <c r="D14" s="13">
        <v>2</v>
      </c>
      <c r="E14" s="13">
        <v>3</v>
      </c>
      <c r="F14" s="13">
        <v>4</v>
      </c>
      <c r="G14" s="13">
        <v>5</v>
      </c>
      <c r="H14" s="14">
        <v>6</v>
      </c>
      <c r="J14" s="4" t="s">
        <v>4</v>
      </c>
      <c r="K14" s="5">
        <v>0</v>
      </c>
      <c r="L14" s="5">
        <v>1</v>
      </c>
      <c r="M14" s="5">
        <v>2</v>
      </c>
      <c r="N14" s="5">
        <v>3</v>
      </c>
      <c r="O14" s="5">
        <v>4</v>
      </c>
      <c r="P14" s="5">
        <v>5</v>
      </c>
      <c r="Q14" s="6">
        <v>6</v>
      </c>
    </row>
    <row r="15" spans="1:17" x14ac:dyDescent="0.3">
      <c r="A15" s="7" t="s">
        <v>5</v>
      </c>
      <c r="B15" s="3">
        <v>130</v>
      </c>
      <c r="C15" s="3">
        <v>0</v>
      </c>
      <c r="D15" s="3">
        <v>0</v>
      </c>
      <c r="E15" s="3">
        <v>153</v>
      </c>
      <c r="F15" s="3">
        <v>0</v>
      </c>
      <c r="G15" s="3">
        <v>0</v>
      </c>
      <c r="H15" s="8">
        <v>0</v>
      </c>
      <c r="J15" s="7" t="s">
        <v>5</v>
      </c>
      <c r="K15" s="3">
        <v>0</v>
      </c>
      <c r="L15" s="3">
        <v>300</v>
      </c>
      <c r="M15" s="3">
        <v>240</v>
      </c>
      <c r="N15" s="3">
        <v>0</v>
      </c>
      <c r="O15" s="3">
        <v>120</v>
      </c>
      <c r="P15" s="3">
        <v>0</v>
      </c>
      <c r="Q15" s="8">
        <v>0</v>
      </c>
    </row>
    <row r="16" spans="1:17" x14ac:dyDescent="0.3">
      <c r="A16" s="7" t="s">
        <v>6</v>
      </c>
      <c r="B16" s="3">
        <v>0</v>
      </c>
      <c r="C16" s="3">
        <v>90</v>
      </c>
      <c r="D16" s="3">
        <v>0</v>
      </c>
      <c r="E16" s="3">
        <v>0</v>
      </c>
      <c r="F16" s="3">
        <v>0</v>
      </c>
      <c r="G16" s="3">
        <v>67</v>
      </c>
      <c r="H16" s="8">
        <v>126</v>
      </c>
      <c r="J16" s="7" t="s">
        <v>6</v>
      </c>
      <c r="K16" s="3">
        <v>300</v>
      </c>
      <c r="L16" s="3">
        <v>0</v>
      </c>
      <c r="M16" s="3">
        <v>0</v>
      </c>
      <c r="N16" s="3">
        <v>130</v>
      </c>
      <c r="O16" s="3">
        <v>0</v>
      </c>
      <c r="P16" s="3">
        <v>0</v>
      </c>
      <c r="Q16" s="8">
        <v>230</v>
      </c>
    </row>
    <row r="17" spans="1:26" ht="16.2" thickBot="1" x14ac:dyDescent="0.35">
      <c r="A17" s="9" t="s">
        <v>7</v>
      </c>
      <c r="B17" s="10">
        <v>0</v>
      </c>
      <c r="C17" s="10">
        <v>0</v>
      </c>
      <c r="D17" s="10">
        <v>1</v>
      </c>
      <c r="E17" s="10">
        <v>0</v>
      </c>
      <c r="F17" s="10">
        <v>1</v>
      </c>
      <c r="G17" s="10">
        <v>0</v>
      </c>
      <c r="H17" s="11">
        <v>0</v>
      </c>
      <c r="J17" s="9" t="s">
        <v>7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</v>
      </c>
      <c r="Q17" s="11">
        <v>0</v>
      </c>
    </row>
    <row r="19" spans="1:26" ht="16.2" thickBot="1" x14ac:dyDescent="0.35"/>
    <row r="20" spans="1:26" x14ac:dyDescent="0.3">
      <c r="A20" s="181" t="s">
        <v>8</v>
      </c>
      <c r="B20" s="182"/>
      <c r="C20" s="182"/>
      <c r="D20" s="182"/>
      <c r="E20" s="182"/>
      <c r="F20" s="182"/>
      <c r="G20" s="182"/>
      <c r="H20" s="183"/>
      <c r="J20" s="181" t="s">
        <v>9</v>
      </c>
      <c r="K20" s="182"/>
      <c r="L20" s="182"/>
      <c r="M20" s="182"/>
      <c r="N20" s="182"/>
      <c r="O20" s="182"/>
      <c r="P20" s="182"/>
      <c r="Q20" s="183"/>
      <c r="S20" s="181" t="s">
        <v>10</v>
      </c>
      <c r="T20" s="182"/>
      <c r="U20" s="182"/>
      <c r="V20" s="182"/>
      <c r="W20" s="182"/>
      <c r="X20" s="182"/>
      <c r="Y20" s="182"/>
      <c r="Z20" s="183"/>
    </row>
    <row r="21" spans="1:26" x14ac:dyDescent="0.3">
      <c r="A21" s="4" t="s">
        <v>11</v>
      </c>
      <c r="B21" s="5">
        <v>0</v>
      </c>
      <c r="C21" s="5">
        <v>1</v>
      </c>
      <c r="D21" s="5">
        <v>2</v>
      </c>
      <c r="E21" s="5">
        <v>3</v>
      </c>
      <c r="F21" s="5">
        <v>4</v>
      </c>
      <c r="G21" s="5">
        <v>5</v>
      </c>
      <c r="H21" s="6">
        <v>6</v>
      </c>
      <c r="J21" s="4" t="s">
        <v>11</v>
      </c>
      <c r="K21" s="5">
        <v>0</v>
      </c>
      <c r="L21" s="5">
        <v>1</v>
      </c>
      <c r="M21" s="5">
        <v>2</v>
      </c>
      <c r="N21" s="5">
        <v>3</v>
      </c>
      <c r="O21" s="5">
        <v>4</v>
      </c>
      <c r="P21" s="5">
        <v>5</v>
      </c>
      <c r="Q21" s="6">
        <v>6</v>
      </c>
      <c r="S21" s="4" t="s">
        <v>11</v>
      </c>
      <c r="T21" s="5">
        <v>0</v>
      </c>
      <c r="U21" s="5">
        <v>1</v>
      </c>
      <c r="V21" s="5">
        <v>2</v>
      </c>
      <c r="W21" s="5">
        <v>3</v>
      </c>
      <c r="X21" s="5">
        <v>4</v>
      </c>
      <c r="Y21" s="5">
        <v>5</v>
      </c>
      <c r="Z21" s="6">
        <v>6</v>
      </c>
    </row>
    <row r="22" spans="1:26" x14ac:dyDescent="0.3">
      <c r="A22" s="7">
        <v>0</v>
      </c>
      <c r="B22" s="3">
        <v>0</v>
      </c>
      <c r="C22" s="3">
        <v>50</v>
      </c>
      <c r="D22" s="3">
        <v>50</v>
      </c>
      <c r="E22" s="3">
        <v>50</v>
      </c>
      <c r="F22" s="3">
        <v>50</v>
      </c>
      <c r="G22" s="3">
        <v>50</v>
      </c>
      <c r="H22" s="8">
        <v>50</v>
      </c>
      <c r="J22" s="7">
        <v>0</v>
      </c>
      <c r="K22" s="3">
        <v>0</v>
      </c>
      <c r="L22" s="3">
        <v>90</v>
      </c>
      <c r="M22" s="3">
        <v>90</v>
      </c>
      <c r="N22" s="3">
        <v>90</v>
      </c>
      <c r="O22" s="3">
        <v>90</v>
      </c>
      <c r="P22" s="3">
        <v>90</v>
      </c>
      <c r="Q22" s="8">
        <v>90</v>
      </c>
      <c r="S22" s="7">
        <v>0</v>
      </c>
      <c r="T22" s="3">
        <v>0</v>
      </c>
      <c r="U22" s="3">
        <v>120</v>
      </c>
      <c r="V22" s="3">
        <v>120</v>
      </c>
      <c r="W22" s="3">
        <v>120</v>
      </c>
      <c r="X22" s="3">
        <v>120</v>
      </c>
      <c r="Y22" s="3">
        <v>120</v>
      </c>
      <c r="Z22" s="8">
        <v>120</v>
      </c>
    </row>
    <row r="23" spans="1:26" x14ac:dyDescent="0.3">
      <c r="A23" s="7">
        <v>1</v>
      </c>
      <c r="B23" s="3">
        <v>50</v>
      </c>
      <c r="C23" s="3">
        <v>0</v>
      </c>
      <c r="D23" s="3">
        <v>50</v>
      </c>
      <c r="E23" s="3">
        <v>50</v>
      </c>
      <c r="F23" s="3">
        <v>50</v>
      </c>
      <c r="G23" s="3">
        <v>50</v>
      </c>
      <c r="H23" s="8">
        <v>50</v>
      </c>
      <c r="J23" s="7">
        <v>1</v>
      </c>
      <c r="K23" s="3">
        <v>90</v>
      </c>
      <c r="L23" s="3">
        <v>0</v>
      </c>
      <c r="M23" s="3">
        <v>90</v>
      </c>
      <c r="N23" s="3">
        <v>90</v>
      </c>
      <c r="O23" s="3">
        <v>90</v>
      </c>
      <c r="P23" s="3">
        <v>90</v>
      </c>
      <c r="Q23" s="8">
        <v>90</v>
      </c>
      <c r="S23" s="7">
        <v>1</v>
      </c>
      <c r="T23" s="3">
        <v>120</v>
      </c>
      <c r="U23" s="3">
        <v>0</v>
      </c>
      <c r="V23" s="3">
        <v>120</v>
      </c>
      <c r="W23" s="3">
        <v>120</v>
      </c>
      <c r="X23" s="3">
        <v>120</v>
      </c>
      <c r="Y23" s="3">
        <v>120</v>
      </c>
      <c r="Z23" s="8">
        <v>120</v>
      </c>
    </row>
    <row r="24" spans="1:26" x14ac:dyDescent="0.3">
      <c r="A24" s="7">
        <v>2</v>
      </c>
      <c r="B24" s="3">
        <v>50</v>
      </c>
      <c r="C24" s="3">
        <v>50</v>
      </c>
      <c r="D24" s="3">
        <v>0</v>
      </c>
      <c r="E24" s="3">
        <v>50</v>
      </c>
      <c r="F24" s="3">
        <v>50</v>
      </c>
      <c r="G24" s="3">
        <v>50</v>
      </c>
      <c r="H24" s="8">
        <v>50</v>
      </c>
      <c r="J24" s="7">
        <v>2</v>
      </c>
      <c r="K24" s="3">
        <v>90</v>
      </c>
      <c r="L24" s="3">
        <v>90</v>
      </c>
      <c r="M24" s="3">
        <v>0</v>
      </c>
      <c r="N24" s="3">
        <v>90</v>
      </c>
      <c r="O24" s="3">
        <v>90</v>
      </c>
      <c r="P24" s="3">
        <v>90</v>
      </c>
      <c r="Q24" s="8">
        <v>90</v>
      </c>
      <c r="S24" s="7">
        <v>2</v>
      </c>
      <c r="T24" s="3">
        <v>120</v>
      </c>
      <c r="U24" s="3">
        <v>120</v>
      </c>
      <c r="V24" s="3">
        <v>0</v>
      </c>
      <c r="W24" s="3">
        <v>120</v>
      </c>
      <c r="X24" s="3">
        <v>120</v>
      </c>
      <c r="Y24" s="3">
        <v>120</v>
      </c>
      <c r="Z24" s="8">
        <v>120</v>
      </c>
    </row>
    <row r="25" spans="1:26" x14ac:dyDescent="0.3">
      <c r="A25" s="7">
        <v>3</v>
      </c>
      <c r="B25" s="3">
        <v>50</v>
      </c>
      <c r="C25" s="3">
        <v>50</v>
      </c>
      <c r="D25" s="3">
        <v>50</v>
      </c>
      <c r="E25" s="3">
        <v>0</v>
      </c>
      <c r="F25" s="3">
        <v>50</v>
      </c>
      <c r="G25" s="3">
        <v>50</v>
      </c>
      <c r="H25" s="8">
        <v>50</v>
      </c>
      <c r="J25" s="7">
        <v>3</v>
      </c>
      <c r="K25" s="3">
        <v>90</v>
      </c>
      <c r="L25" s="3">
        <v>90</v>
      </c>
      <c r="M25" s="3">
        <v>90</v>
      </c>
      <c r="N25" s="3">
        <v>0</v>
      </c>
      <c r="O25" s="3">
        <v>90</v>
      </c>
      <c r="P25" s="3">
        <v>90</v>
      </c>
      <c r="Q25" s="8">
        <v>90</v>
      </c>
      <c r="S25" s="7">
        <v>3</v>
      </c>
      <c r="T25" s="3">
        <v>120</v>
      </c>
      <c r="U25" s="3">
        <v>120</v>
      </c>
      <c r="V25" s="3">
        <v>120</v>
      </c>
      <c r="W25" s="3">
        <v>0</v>
      </c>
      <c r="X25" s="3">
        <v>120</v>
      </c>
      <c r="Y25" s="3">
        <v>120</v>
      </c>
      <c r="Z25" s="8">
        <v>120</v>
      </c>
    </row>
    <row r="26" spans="1:26" x14ac:dyDescent="0.3">
      <c r="A26" s="7">
        <v>4</v>
      </c>
      <c r="B26" s="3">
        <v>50</v>
      </c>
      <c r="C26" s="3">
        <v>50</v>
      </c>
      <c r="D26" s="3">
        <v>50</v>
      </c>
      <c r="E26" s="3">
        <v>50</v>
      </c>
      <c r="F26" s="3">
        <v>0</v>
      </c>
      <c r="G26" s="3">
        <v>50</v>
      </c>
      <c r="H26" s="8">
        <v>50</v>
      </c>
      <c r="J26" s="7">
        <v>4</v>
      </c>
      <c r="K26" s="3">
        <v>90</v>
      </c>
      <c r="L26" s="3">
        <v>90</v>
      </c>
      <c r="M26" s="3">
        <v>90</v>
      </c>
      <c r="N26" s="3">
        <v>90</v>
      </c>
      <c r="O26" s="3">
        <v>0</v>
      </c>
      <c r="P26" s="3">
        <v>90</v>
      </c>
      <c r="Q26" s="8">
        <v>90</v>
      </c>
      <c r="S26" s="7">
        <v>4</v>
      </c>
      <c r="T26" s="3">
        <v>120</v>
      </c>
      <c r="U26" s="3">
        <v>120</v>
      </c>
      <c r="V26" s="3">
        <v>120</v>
      </c>
      <c r="W26" s="3">
        <v>120</v>
      </c>
      <c r="X26" s="3">
        <v>0</v>
      </c>
      <c r="Y26" s="3">
        <v>120</v>
      </c>
      <c r="Z26" s="8">
        <v>120</v>
      </c>
    </row>
    <row r="27" spans="1:26" x14ac:dyDescent="0.3">
      <c r="A27" s="7">
        <v>5</v>
      </c>
      <c r="B27" s="3">
        <v>50</v>
      </c>
      <c r="C27" s="3">
        <v>50</v>
      </c>
      <c r="D27" s="3">
        <v>50</v>
      </c>
      <c r="E27" s="3">
        <v>50</v>
      </c>
      <c r="F27" s="3">
        <v>50</v>
      </c>
      <c r="G27" s="3">
        <v>0</v>
      </c>
      <c r="H27" s="8">
        <v>50</v>
      </c>
      <c r="J27" s="7">
        <v>5</v>
      </c>
      <c r="K27" s="3">
        <v>90</v>
      </c>
      <c r="L27" s="3">
        <v>90</v>
      </c>
      <c r="M27" s="3">
        <v>90</v>
      </c>
      <c r="N27" s="3">
        <v>90</v>
      </c>
      <c r="O27" s="3">
        <v>90</v>
      </c>
      <c r="P27" s="3">
        <v>0</v>
      </c>
      <c r="Q27" s="8">
        <v>90</v>
      </c>
      <c r="S27" s="7">
        <v>5</v>
      </c>
      <c r="T27" s="3">
        <v>120</v>
      </c>
      <c r="U27" s="3">
        <v>120</v>
      </c>
      <c r="V27" s="3">
        <v>120</v>
      </c>
      <c r="W27" s="3">
        <v>120</v>
      </c>
      <c r="X27" s="3">
        <v>120</v>
      </c>
      <c r="Y27" s="3">
        <v>0</v>
      </c>
      <c r="Z27" s="8">
        <v>120</v>
      </c>
    </row>
    <row r="28" spans="1:26" ht="16.2" thickBot="1" x14ac:dyDescent="0.35">
      <c r="A28" s="9">
        <v>6</v>
      </c>
      <c r="B28" s="10">
        <v>50</v>
      </c>
      <c r="C28" s="10">
        <v>50</v>
      </c>
      <c r="D28" s="10">
        <v>50</v>
      </c>
      <c r="E28" s="10">
        <v>50</v>
      </c>
      <c r="F28" s="10">
        <v>50</v>
      </c>
      <c r="G28" s="10">
        <v>50</v>
      </c>
      <c r="H28" s="11">
        <v>0</v>
      </c>
      <c r="J28" s="9">
        <v>6</v>
      </c>
      <c r="K28" s="10">
        <v>90</v>
      </c>
      <c r="L28" s="10">
        <v>90</v>
      </c>
      <c r="M28" s="10">
        <v>90</v>
      </c>
      <c r="N28" s="10">
        <v>90</v>
      </c>
      <c r="O28" s="10">
        <v>90</v>
      </c>
      <c r="P28" s="10">
        <v>90</v>
      </c>
      <c r="Q28" s="11">
        <v>0</v>
      </c>
      <c r="S28" s="9">
        <v>6</v>
      </c>
      <c r="T28" s="10">
        <v>120</v>
      </c>
      <c r="U28" s="10">
        <v>120</v>
      </c>
      <c r="V28" s="10">
        <v>120</v>
      </c>
      <c r="W28" s="10">
        <v>120</v>
      </c>
      <c r="X28" s="10">
        <v>120</v>
      </c>
      <c r="Y28" s="10">
        <v>120</v>
      </c>
      <c r="Z28" s="11">
        <v>0</v>
      </c>
    </row>
    <row r="30" spans="1:26" ht="16.2" thickBot="1" x14ac:dyDescent="0.35"/>
    <row r="31" spans="1:26" x14ac:dyDescent="0.3">
      <c r="A31" s="181" t="s">
        <v>12</v>
      </c>
      <c r="B31" s="182"/>
      <c r="C31" s="182"/>
      <c r="D31" s="182"/>
      <c r="E31" s="182"/>
      <c r="F31" s="182"/>
      <c r="G31" s="182"/>
      <c r="H31" s="183"/>
      <c r="J31" s="181" t="s">
        <v>13</v>
      </c>
      <c r="K31" s="182"/>
      <c r="L31" s="182"/>
      <c r="M31" s="182"/>
      <c r="N31" s="182"/>
      <c r="O31" s="182"/>
      <c r="P31" s="182"/>
      <c r="Q31" s="183"/>
      <c r="S31" s="181" t="s">
        <v>14</v>
      </c>
      <c r="T31" s="182"/>
      <c r="U31" s="182"/>
      <c r="V31" s="182"/>
      <c r="W31" s="182"/>
      <c r="X31" s="182"/>
      <c r="Y31" s="182"/>
      <c r="Z31" s="183"/>
    </row>
    <row r="32" spans="1:26" x14ac:dyDescent="0.3">
      <c r="A32" s="4" t="s">
        <v>11</v>
      </c>
      <c r="B32" s="5">
        <v>0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6">
        <v>6</v>
      </c>
      <c r="J32" s="4" t="s">
        <v>11</v>
      </c>
      <c r="K32" s="5">
        <v>0</v>
      </c>
      <c r="L32" s="5">
        <v>1</v>
      </c>
      <c r="M32" s="5">
        <v>2</v>
      </c>
      <c r="N32" s="5">
        <v>3</v>
      </c>
      <c r="O32" s="5">
        <v>4</v>
      </c>
      <c r="P32" s="5">
        <v>5</v>
      </c>
      <c r="Q32" s="6">
        <v>6</v>
      </c>
      <c r="S32" s="4" t="s">
        <v>11</v>
      </c>
      <c r="T32" s="5">
        <v>0</v>
      </c>
      <c r="U32" s="5">
        <v>1</v>
      </c>
      <c r="V32" s="5">
        <v>2</v>
      </c>
      <c r="W32" s="5">
        <v>3</v>
      </c>
      <c r="X32" s="5">
        <v>4</v>
      </c>
      <c r="Y32" s="5">
        <v>5</v>
      </c>
      <c r="Z32" s="6">
        <v>6</v>
      </c>
    </row>
    <row r="33" spans="1:26" x14ac:dyDescent="0.3">
      <c r="A33" s="7">
        <v>0</v>
      </c>
      <c r="B33" s="15">
        <v>0</v>
      </c>
      <c r="C33" s="15">
        <v>40</v>
      </c>
      <c r="D33" s="15">
        <v>23</v>
      </c>
      <c r="E33" s="15">
        <v>0</v>
      </c>
      <c r="F33" s="15">
        <v>0</v>
      </c>
      <c r="G33" s="15">
        <v>17</v>
      </c>
      <c r="H33" s="16">
        <v>50</v>
      </c>
      <c r="J33" s="7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v>0</v>
      </c>
      <c r="S33" s="7">
        <v>0</v>
      </c>
      <c r="T33" s="3">
        <f t="shared" ref="T33:Z39" si="0">SUM(B33,K33)</f>
        <v>0</v>
      </c>
      <c r="U33" s="3">
        <f t="shared" si="0"/>
        <v>40</v>
      </c>
      <c r="V33" s="3">
        <f t="shared" si="0"/>
        <v>23</v>
      </c>
      <c r="W33" s="3">
        <f t="shared" si="0"/>
        <v>0</v>
      </c>
      <c r="X33" s="3">
        <f t="shared" si="0"/>
        <v>0</v>
      </c>
      <c r="Y33" s="3">
        <f t="shared" si="0"/>
        <v>17</v>
      </c>
      <c r="Z33" s="8">
        <f t="shared" si="0"/>
        <v>50</v>
      </c>
    </row>
    <row r="34" spans="1:26" x14ac:dyDescent="0.3">
      <c r="A34" s="7">
        <v>1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6">
        <v>0</v>
      </c>
      <c r="J34" s="7">
        <v>1</v>
      </c>
      <c r="K34" s="15">
        <v>90</v>
      </c>
      <c r="L34" s="15">
        <v>0</v>
      </c>
      <c r="M34" s="15">
        <v>0</v>
      </c>
      <c r="N34" s="15">
        <v>90</v>
      </c>
      <c r="O34" s="15">
        <v>0</v>
      </c>
      <c r="P34" s="15">
        <v>30</v>
      </c>
      <c r="Q34" s="16">
        <v>90</v>
      </c>
      <c r="S34" s="7">
        <v>1</v>
      </c>
      <c r="T34" s="3">
        <f t="shared" si="0"/>
        <v>90</v>
      </c>
      <c r="U34" s="3">
        <f t="shared" si="0"/>
        <v>0</v>
      </c>
      <c r="V34" s="3">
        <f t="shared" si="0"/>
        <v>0</v>
      </c>
      <c r="W34" s="3">
        <f t="shared" si="0"/>
        <v>90</v>
      </c>
      <c r="X34" s="3">
        <f t="shared" si="0"/>
        <v>0</v>
      </c>
      <c r="Y34" s="3">
        <f t="shared" si="0"/>
        <v>30</v>
      </c>
      <c r="Z34" s="8">
        <f t="shared" si="0"/>
        <v>90</v>
      </c>
    </row>
    <row r="35" spans="1:26" x14ac:dyDescent="0.3">
      <c r="A35" s="7">
        <v>2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6">
        <v>26</v>
      </c>
      <c r="J35" s="7">
        <v>2</v>
      </c>
      <c r="K35" s="15">
        <v>90</v>
      </c>
      <c r="L35" s="15">
        <v>0</v>
      </c>
      <c r="M35" s="15">
        <v>0</v>
      </c>
      <c r="N35" s="15">
        <v>60</v>
      </c>
      <c r="O35" s="15">
        <v>0</v>
      </c>
      <c r="P35" s="15">
        <v>0</v>
      </c>
      <c r="Q35" s="16">
        <v>90</v>
      </c>
      <c r="S35" s="7">
        <v>2</v>
      </c>
      <c r="T35" s="3">
        <f t="shared" si="0"/>
        <v>90</v>
      </c>
      <c r="U35" s="3">
        <f t="shared" si="0"/>
        <v>0</v>
      </c>
      <c r="V35" s="3">
        <f t="shared" si="0"/>
        <v>0</v>
      </c>
      <c r="W35" s="3">
        <f t="shared" si="0"/>
        <v>60</v>
      </c>
      <c r="X35" s="3">
        <f t="shared" si="0"/>
        <v>0</v>
      </c>
      <c r="Y35" s="3">
        <f t="shared" si="0"/>
        <v>0</v>
      </c>
      <c r="Z35" s="8">
        <f t="shared" si="0"/>
        <v>116</v>
      </c>
    </row>
    <row r="36" spans="1:26" x14ac:dyDescent="0.3">
      <c r="A36" s="7">
        <v>3</v>
      </c>
      <c r="B36" s="15">
        <v>0</v>
      </c>
      <c r="C36" s="15">
        <v>50</v>
      </c>
      <c r="D36" s="15">
        <v>3</v>
      </c>
      <c r="E36" s="15">
        <v>0</v>
      </c>
      <c r="F36" s="15">
        <v>0</v>
      </c>
      <c r="G36" s="15">
        <v>50</v>
      </c>
      <c r="H36" s="16">
        <v>50</v>
      </c>
      <c r="J36" s="7">
        <v>3</v>
      </c>
      <c r="K36" s="15">
        <v>20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6">
        <v>0</v>
      </c>
      <c r="S36" s="7">
        <v>3</v>
      </c>
      <c r="T36" s="3">
        <f t="shared" si="0"/>
        <v>20</v>
      </c>
      <c r="U36" s="3">
        <f t="shared" si="0"/>
        <v>50</v>
      </c>
      <c r="V36" s="3">
        <f t="shared" si="0"/>
        <v>3</v>
      </c>
      <c r="W36" s="3">
        <f t="shared" si="0"/>
        <v>0</v>
      </c>
      <c r="X36" s="3">
        <f t="shared" si="0"/>
        <v>0</v>
      </c>
      <c r="Y36" s="3">
        <f t="shared" si="0"/>
        <v>50</v>
      </c>
      <c r="Z36" s="8">
        <f t="shared" si="0"/>
        <v>50</v>
      </c>
    </row>
    <row r="37" spans="1:26" x14ac:dyDescent="0.3">
      <c r="A37" s="7">
        <v>4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6">
        <v>0</v>
      </c>
      <c r="J37" s="7">
        <v>4</v>
      </c>
      <c r="K37" s="15">
        <v>90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v>30</v>
      </c>
      <c r="S37" s="7">
        <v>4</v>
      </c>
      <c r="T37" s="3">
        <f t="shared" si="0"/>
        <v>90</v>
      </c>
      <c r="U37" s="3">
        <f t="shared" si="0"/>
        <v>0</v>
      </c>
      <c r="V37" s="3">
        <f t="shared" si="0"/>
        <v>0</v>
      </c>
      <c r="W37" s="3">
        <f t="shared" si="0"/>
        <v>0</v>
      </c>
      <c r="X37" s="3">
        <f t="shared" si="0"/>
        <v>0</v>
      </c>
      <c r="Y37" s="3">
        <f t="shared" si="0"/>
        <v>0</v>
      </c>
      <c r="Z37" s="8">
        <f t="shared" si="0"/>
        <v>30</v>
      </c>
    </row>
    <row r="38" spans="1:26" x14ac:dyDescent="0.3">
      <c r="A38" s="7">
        <v>5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6">
        <v>0</v>
      </c>
      <c r="J38" s="7">
        <v>5</v>
      </c>
      <c r="K38" s="15">
        <v>10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6">
        <v>20</v>
      </c>
      <c r="S38" s="7">
        <v>5</v>
      </c>
      <c r="T38" s="3">
        <f t="shared" si="0"/>
        <v>10</v>
      </c>
      <c r="U38" s="3">
        <f t="shared" si="0"/>
        <v>0</v>
      </c>
      <c r="V38" s="3">
        <f t="shared" si="0"/>
        <v>0</v>
      </c>
      <c r="W38" s="3">
        <f t="shared" si="0"/>
        <v>0</v>
      </c>
      <c r="X38" s="3">
        <f t="shared" si="0"/>
        <v>0</v>
      </c>
      <c r="Y38" s="3">
        <f t="shared" si="0"/>
        <v>0</v>
      </c>
      <c r="Z38" s="8">
        <f t="shared" si="0"/>
        <v>20</v>
      </c>
    </row>
    <row r="39" spans="1:26" ht="16.2" thickBot="1" x14ac:dyDescent="0.35">
      <c r="A39" s="9">
        <v>6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8">
        <v>0</v>
      </c>
      <c r="J39" s="9">
        <v>6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8">
        <v>0</v>
      </c>
      <c r="S39" s="9">
        <v>6</v>
      </c>
      <c r="T39" s="10">
        <f t="shared" si="0"/>
        <v>0</v>
      </c>
      <c r="U39" s="10">
        <f t="shared" si="0"/>
        <v>0</v>
      </c>
      <c r="V39" s="10">
        <f t="shared" si="0"/>
        <v>0</v>
      </c>
      <c r="W39" s="10">
        <f t="shared" si="0"/>
        <v>0</v>
      </c>
      <c r="X39" s="10">
        <f t="shared" si="0"/>
        <v>0</v>
      </c>
      <c r="Y39" s="10">
        <f t="shared" si="0"/>
        <v>0</v>
      </c>
      <c r="Z39" s="11">
        <f t="shared" si="0"/>
        <v>0</v>
      </c>
    </row>
    <row r="41" spans="1:26" ht="16.2" thickBot="1" x14ac:dyDescent="0.35"/>
    <row r="42" spans="1:26" ht="16.2" thickBot="1" x14ac:dyDescent="0.35">
      <c r="A42" s="19" t="s">
        <v>15</v>
      </c>
      <c r="B42" s="20">
        <f>SUMPRODUCT(B5:H11,B33:H39)+SUMPRODUCT(B5:H11,K33:Q39)</f>
        <v>31051</v>
      </c>
    </row>
    <row r="44" spans="1:26" ht="16.2" thickBot="1" x14ac:dyDescent="0.35"/>
    <row r="45" spans="1:26" x14ac:dyDescent="0.3">
      <c r="A45" s="21" t="s">
        <v>16</v>
      </c>
      <c r="B45" s="22">
        <f>SUM(B33:H33)-SUM(B33:B39)</f>
        <v>130</v>
      </c>
      <c r="C45" s="22" t="s">
        <v>17</v>
      </c>
      <c r="D45" s="23">
        <f>B15</f>
        <v>130</v>
      </c>
      <c r="E45" s="24"/>
      <c r="F45" s="24"/>
      <c r="G45" s="24"/>
      <c r="H45" s="24"/>
      <c r="I45" s="25"/>
      <c r="J45" s="22">
        <f>SUM(K34:Q34)-SUM(L33:L39)</f>
        <v>300</v>
      </c>
      <c r="K45" s="22" t="s">
        <v>17</v>
      </c>
      <c r="L45" s="26">
        <f>L15</f>
        <v>300</v>
      </c>
    </row>
    <row r="46" spans="1:26" x14ac:dyDescent="0.3">
      <c r="A46" s="27"/>
      <c r="B46" s="28">
        <f>SUM(B36:H36)-SUM(E33:E39)</f>
        <v>153</v>
      </c>
      <c r="C46" s="28" t="s">
        <v>17</v>
      </c>
      <c r="D46" s="29">
        <f>E15</f>
        <v>153</v>
      </c>
      <c r="I46" s="30"/>
      <c r="J46" s="28">
        <f>SUM(K35:Q35)-SUM(M33:M39)</f>
        <v>240</v>
      </c>
      <c r="K46" s="28" t="s">
        <v>17</v>
      </c>
      <c r="L46" s="31">
        <f>M15</f>
        <v>240</v>
      </c>
    </row>
    <row r="47" spans="1:26" x14ac:dyDescent="0.3">
      <c r="A47" s="27"/>
      <c r="B47" s="28"/>
      <c r="C47" s="28"/>
      <c r="D47" s="29"/>
      <c r="I47" s="30"/>
      <c r="J47" s="28">
        <f>SUM(K37:Q37)-SUM(O33:O39)</f>
        <v>120</v>
      </c>
      <c r="K47" s="28" t="s">
        <v>17</v>
      </c>
      <c r="L47" s="31">
        <f>O15</f>
        <v>120</v>
      </c>
    </row>
    <row r="48" spans="1:26" x14ac:dyDescent="0.3">
      <c r="A48" s="27"/>
      <c r="B48" s="28">
        <f>SUM(B34:H34)-SUM(C33:C39)</f>
        <v>-90</v>
      </c>
      <c r="C48" s="28" t="s">
        <v>17</v>
      </c>
      <c r="D48" s="29">
        <f>-C16</f>
        <v>-90</v>
      </c>
      <c r="I48" s="30"/>
      <c r="J48" s="28"/>
      <c r="K48" s="28"/>
      <c r="L48" s="31"/>
    </row>
    <row r="49" spans="1:12" x14ac:dyDescent="0.3">
      <c r="A49" s="27"/>
      <c r="B49" s="28">
        <f>SUM(B38:H38)-SUM(G33:G39)</f>
        <v>-67</v>
      </c>
      <c r="C49" s="28" t="s">
        <v>17</v>
      </c>
      <c r="D49" s="29">
        <f>-G16</f>
        <v>-67</v>
      </c>
      <c r="I49" s="30"/>
      <c r="J49" s="28">
        <f>SUM(K33:Q33)-SUM(K33:K39)</f>
        <v>-300</v>
      </c>
      <c r="K49" s="28" t="s">
        <v>17</v>
      </c>
      <c r="L49" s="31">
        <f>-K16</f>
        <v>-300</v>
      </c>
    </row>
    <row r="50" spans="1:12" x14ac:dyDescent="0.3">
      <c r="A50" s="27"/>
      <c r="B50" s="28">
        <f>SUM(B39:H39)-SUM(H33:H39)</f>
        <v>-126</v>
      </c>
      <c r="C50" s="28" t="s">
        <v>17</v>
      </c>
      <c r="D50" s="29">
        <f>-H16</f>
        <v>-126</v>
      </c>
      <c r="I50" s="30"/>
      <c r="J50" s="28">
        <f>SUM(K36:Q36)-SUM(N33:N39)</f>
        <v>-130</v>
      </c>
      <c r="K50" s="28" t="s">
        <v>17</v>
      </c>
      <c r="L50" s="31">
        <f>-N16</f>
        <v>-130</v>
      </c>
    </row>
    <row r="51" spans="1:12" x14ac:dyDescent="0.3">
      <c r="A51" s="27"/>
      <c r="B51" s="28"/>
      <c r="C51" s="28"/>
      <c r="D51" s="29"/>
      <c r="I51" s="30"/>
      <c r="J51" s="28">
        <f>SUM(K39:Q39)-SUM(Q33:Q39)</f>
        <v>-230</v>
      </c>
      <c r="K51" s="28" t="s">
        <v>17</v>
      </c>
      <c r="L51" s="31">
        <f>-Q16</f>
        <v>-230</v>
      </c>
    </row>
    <row r="52" spans="1:12" x14ac:dyDescent="0.3">
      <c r="A52" s="27"/>
      <c r="B52" s="28">
        <f>SUM(B35:H35)-SUM(D33:D39)</f>
        <v>0</v>
      </c>
      <c r="C52" s="28" t="s">
        <v>17</v>
      </c>
      <c r="D52" s="29">
        <v>0</v>
      </c>
      <c r="I52" s="30"/>
      <c r="J52" s="28"/>
      <c r="K52" s="28"/>
      <c r="L52" s="31"/>
    </row>
    <row r="53" spans="1:12" ht="16.2" thickBot="1" x14ac:dyDescent="0.35">
      <c r="A53" s="32"/>
      <c r="B53" s="33">
        <f>SUM(B37:H37)-SUM(F33:F39)</f>
        <v>0</v>
      </c>
      <c r="C53" s="33" t="s">
        <v>17</v>
      </c>
      <c r="D53" s="34">
        <v>0</v>
      </c>
      <c r="E53" s="10"/>
      <c r="F53" s="10"/>
      <c r="G53" s="10"/>
      <c r="H53" s="10"/>
      <c r="I53" s="35"/>
      <c r="J53" s="33">
        <f>SUM(K38:Q38)-SUM(P33:P39)</f>
        <v>0</v>
      </c>
      <c r="K53" s="33" t="s">
        <v>17</v>
      </c>
      <c r="L53" s="36">
        <v>0</v>
      </c>
    </row>
  </sheetData>
  <mergeCells count="9">
    <mergeCell ref="A31:H31"/>
    <mergeCell ref="J31:Q31"/>
    <mergeCell ref="S31:Z31"/>
    <mergeCell ref="A3:H3"/>
    <mergeCell ref="A13:H13"/>
    <mergeCell ref="J13:Q13"/>
    <mergeCell ref="A20:H20"/>
    <mergeCell ref="J20:Q20"/>
    <mergeCell ref="S20:Z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8D16-0050-40B6-BCD5-FD27C14F0924}">
  <dimension ref="A1:X51"/>
  <sheetViews>
    <sheetView workbookViewId="0"/>
  </sheetViews>
  <sheetFormatPr defaultColWidth="12" defaultRowHeight="15.6" x14ac:dyDescent="0.3"/>
  <cols>
    <col min="1" max="1" width="12.77734375" style="3" customWidth="1"/>
    <col min="2" max="7" width="12" style="3"/>
    <col min="8" max="8" width="15.5546875" style="3" bestFit="1" customWidth="1"/>
    <col min="9" max="16384" width="12" style="3"/>
  </cols>
  <sheetData>
    <row r="1" spans="1:24" s="2" customFormat="1" x14ac:dyDescent="0.3">
      <c r="A1" s="1" t="s">
        <v>100</v>
      </c>
    </row>
    <row r="2" spans="1:24" ht="16.2" thickBot="1" x14ac:dyDescent="0.35"/>
    <row r="3" spans="1:24" x14ac:dyDescent="0.3">
      <c r="A3" s="103"/>
      <c r="B3" s="104" t="s">
        <v>43</v>
      </c>
      <c r="C3" s="104" t="s">
        <v>44</v>
      </c>
      <c r="D3" s="104" t="s">
        <v>45</v>
      </c>
      <c r="E3" s="104" t="s">
        <v>46</v>
      </c>
      <c r="F3" s="105" t="s">
        <v>47</v>
      </c>
    </row>
    <row r="4" spans="1:24" x14ac:dyDescent="0.3">
      <c r="A4" s="27" t="s">
        <v>43</v>
      </c>
      <c r="B4" s="3" t="s">
        <v>48</v>
      </c>
      <c r="C4" s="3" t="s">
        <v>49</v>
      </c>
      <c r="D4" s="3" t="s">
        <v>50</v>
      </c>
      <c r="E4" s="3" t="s">
        <v>50</v>
      </c>
      <c r="F4" s="8" t="s">
        <v>51</v>
      </c>
    </row>
    <row r="5" spans="1:24" x14ac:dyDescent="0.3">
      <c r="A5" s="27" t="s">
        <v>44</v>
      </c>
      <c r="B5" s="3" t="str">
        <f>C4</f>
        <v>1 day</v>
      </c>
      <c r="C5" s="3" t="s">
        <v>48</v>
      </c>
      <c r="D5" s="3" t="s">
        <v>50</v>
      </c>
      <c r="E5" s="3" t="s">
        <v>50</v>
      </c>
      <c r="F5" s="8" t="s">
        <v>51</v>
      </c>
    </row>
    <row r="6" spans="1:24" x14ac:dyDescent="0.3">
      <c r="A6" s="27" t="s">
        <v>45</v>
      </c>
      <c r="B6" s="3" t="str">
        <f>D4</f>
        <v>2 days (TN)</v>
      </c>
      <c r="C6" s="3" t="str">
        <f>D5</f>
        <v>2 days (TN)</v>
      </c>
      <c r="D6" s="3" t="s">
        <v>48</v>
      </c>
      <c r="E6" s="3" t="s">
        <v>49</v>
      </c>
      <c r="F6" s="8" t="s">
        <v>50</v>
      </c>
    </row>
    <row r="7" spans="1:24" x14ac:dyDescent="0.3">
      <c r="A7" s="27" t="s">
        <v>46</v>
      </c>
      <c r="B7" s="3" t="str">
        <f>E4</f>
        <v>2 days (TN)</v>
      </c>
      <c r="C7" s="3" t="str">
        <f>E5</f>
        <v>2 days (TN)</v>
      </c>
      <c r="D7" s="3" t="str">
        <f>E6</f>
        <v>1 day</v>
      </c>
      <c r="E7" s="3" t="s">
        <v>48</v>
      </c>
      <c r="F7" s="8" t="s">
        <v>50</v>
      </c>
    </row>
    <row r="8" spans="1:24" ht="16.2" thickBot="1" x14ac:dyDescent="0.35">
      <c r="A8" s="32" t="s">
        <v>47</v>
      </c>
      <c r="B8" s="10" t="str">
        <f>F4</f>
        <v>1 day (TN)</v>
      </c>
      <c r="C8" s="10" t="str">
        <f>F5</f>
        <v>1 day (TN)</v>
      </c>
      <c r="D8" s="10" t="str">
        <f>F6</f>
        <v>2 days (TN)</v>
      </c>
      <c r="E8" s="10" t="str">
        <f>F7</f>
        <v>2 days (TN)</v>
      </c>
      <c r="F8" s="11" t="s">
        <v>48</v>
      </c>
    </row>
    <row r="10" spans="1:24" ht="16.2" thickBot="1" x14ac:dyDescent="0.35"/>
    <row r="11" spans="1:24" ht="16.2" thickBot="1" x14ac:dyDescent="0.35">
      <c r="A11" s="103" t="s">
        <v>52</v>
      </c>
      <c r="B11" s="104" t="s">
        <v>43</v>
      </c>
      <c r="C11" s="104" t="s">
        <v>44</v>
      </c>
      <c r="D11" s="104" t="s">
        <v>45</v>
      </c>
      <c r="E11" s="104" t="s">
        <v>46</v>
      </c>
      <c r="F11" s="105" t="s">
        <v>47</v>
      </c>
      <c r="H11" s="103" t="s">
        <v>53</v>
      </c>
      <c r="I11" s="104" t="s">
        <v>43</v>
      </c>
      <c r="J11" s="104" t="s">
        <v>44</v>
      </c>
      <c r="K11" s="104" t="s">
        <v>45</v>
      </c>
      <c r="L11" s="104" t="s">
        <v>46</v>
      </c>
      <c r="M11" s="105" t="s">
        <v>47</v>
      </c>
      <c r="S11" s="103"/>
      <c r="T11" s="104" t="s">
        <v>43</v>
      </c>
      <c r="U11" s="104" t="s">
        <v>44</v>
      </c>
      <c r="V11" s="104" t="s">
        <v>45</v>
      </c>
      <c r="W11" s="104" t="s">
        <v>46</v>
      </c>
      <c r="X11" s="105" t="s">
        <v>47</v>
      </c>
    </row>
    <row r="12" spans="1:24" x14ac:dyDescent="0.3">
      <c r="A12" s="27" t="s">
        <v>43</v>
      </c>
      <c r="B12" s="15">
        <v>0</v>
      </c>
      <c r="C12" s="15">
        <v>0</v>
      </c>
      <c r="D12" s="15">
        <v>1</v>
      </c>
      <c r="E12" s="15">
        <v>0</v>
      </c>
      <c r="F12" s="16">
        <v>0</v>
      </c>
      <c r="H12" s="27" t="s">
        <v>43</v>
      </c>
      <c r="I12" s="15">
        <v>1</v>
      </c>
      <c r="J12" s="15">
        <v>0</v>
      </c>
      <c r="K12" s="15">
        <v>0</v>
      </c>
      <c r="L12" s="15">
        <v>0</v>
      </c>
      <c r="M12" s="16">
        <v>0</v>
      </c>
      <c r="O12" s="21" t="s">
        <v>43</v>
      </c>
      <c r="P12" s="106">
        <f>SUM(B12:F12)+SUM(I12:M12)</f>
        <v>2</v>
      </c>
      <c r="Q12" s="26">
        <v>2</v>
      </c>
      <c r="S12" s="27" t="s">
        <v>43</v>
      </c>
      <c r="T12" s="28">
        <v>0</v>
      </c>
      <c r="U12" s="28">
        <v>0</v>
      </c>
      <c r="V12" s="28">
        <v>1</v>
      </c>
      <c r="W12" s="28">
        <v>0</v>
      </c>
      <c r="X12" s="31">
        <v>0</v>
      </c>
    </row>
    <row r="13" spans="1:24" x14ac:dyDescent="0.3">
      <c r="A13" s="27" t="s">
        <v>44</v>
      </c>
      <c r="B13" s="15">
        <v>0</v>
      </c>
      <c r="C13" s="15">
        <v>0</v>
      </c>
      <c r="D13" s="15">
        <v>0</v>
      </c>
      <c r="E13" s="15">
        <v>0</v>
      </c>
      <c r="F13" s="16">
        <v>0</v>
      </c>
      <c r="H13" s="27" t="s">
        <v>44</v>
      </c>
      <c r="I13" s="15">
        <v>0</v>
      </c>
      <c r="J13" s="15">
        <v>1</v>
      </c>
      <c r="K13" s="15">
        <v>0</v>
      </c>
      <c r="L13" s="15">
        <v>0</v>
      </c>
      <c r="M13" s="16">
        <v>0</v>
      </c>
      <c r="O13" s="27" t="s">
        <v>44</v>
      </c>
      <c r="P13" s="107">
        <f>SUM(B13:F13)+SUM(I13:M13)</f>
        <v>1</v>
      </c>
      <c r="Q13" s="31">
        <v>1</v>
      </c>
      <c r="S13" s="27" t="s">
        <v>44</v>
      </c>
      <c r="T13" s="28">
        <v>0</v>
      </c>
      <c r="U13" s="28">
        <v>0</v>
      </c>
      <c r="V13" s="28">
        <v>0</v>
      </c>
      <c r="W13" s="28">
        <v>0</v>
      </c>
      <c r="X13" s="31">
        <v>0</v>
      </c>
    </row>
    <row r="14" spans="1:24" x14ac:dyDescent="0.3">
      <c r="A14" s="27" t="s">
        <v>45</v>
      </c>
      <c r="B14" s="15">
        <v>0</v>
      </c>
      <c r="C14" s="15">
        <v>0</v>
      </c>
      <c r="D14" s="15">
        <v>0</v>
      </c>
      <c r="E14" s="15">
        <v>0</v>
      </c>
      <c r="F14" s="16">
        <v>0</v>
      </c>
      <c r="H14" s="27" t="s">
        <v>45</v>
      </c>
      <c r="I14" s="15">
        <v>0</v>
      </c>
      <c r="J14" s="15">
        <v>0</v>
      </c>
      <c r="K14" s="15">
        <v>0</v>
      </c>
      <c r="L14" s="15">
        <v>0</v>
      </c>
      <c r="M14" s="16">
        <v>0</v>
      </c>
      <c r="O14" s="27" t="s">
        <v>45</v>
      </c>
      <c r="P14" s="107">
        <f>SUM(B14:F14)+SUM(I14:M14)</f>
        <v>0</v>
      </c>
      <c r="Q14" s="31">
        <v>0</v>
      </c>
      <c r="S14" s="27" t="s">
        <v>45</v>
      </c>
      <c r="T14" s="28">
        <v>0</v>
      </c>
      <c r="U14" s="28">
        <v>1</v>
      </c>
      <c r="V14" s="28">
        <v>0</v>
      </c>
      <c r="W14" s="28">
        <v>0</v>
      </c>
      <c r="X14" s="31">
        <v>0</v>
      </c>
    </row>
    <row r="15" spans="1:24" x14ac:dyDescent="0.3">
      <c r="A15" s="27" t="s">
        <v>46</v>
      </c>
      <c r="B15" s="15">
        <v>0</v>
      </c>
      <c r="C15" s="15">
        <v>0</v>
      </c>
      <c r="D15" s="15">
        <v>0</v>
      </c>
      <c r="E15" s="15">
        <v>0</v>
      </c>
      <c r="F15" s="16">
        <v>0</v>
      </c>
      <c r="H15" s="27" t="s">
        <v>46</v>
      </c>
      <c r="I15" s="15">
        <v>0</v>
      </c>
      <c r="J15" s="15">
        <v>0</v>
      </c>
      <c r="K15" s="15">
        <v>0</v>
      </c>
      <c r="L15" s="15">
        <v>0</v>
      </c>
      <c r="M15" s="16">
        <v>0</v>
      </c>
      <c r="O15" s="27" t="s">
        <v>46</v>
      </c>
      <c r="P15" s="107">
        <f>SUM(B15:F15)+SUM(I15:M15)</f>
        <v>0</v>
      </c>
      <c r="Q15" s="31">
        <v>0</v>
      </c>
      <c r="S15" s="27" t="s">
        <v>46</v>
      </c>
      <c r="T15" s="28">
        <v>0</v>
      </c>
      <c r="U15" s="28">
        <v>0</v>
      </c>
      <c r="V15" s="28">
        <v>0</v>
      </c>
      <c r="W15" s="28">
        <v>0</v>
      </c>
      <c r="X15" s="31">
        <v>2</v>
      </c>
    </row>
    <row r="16" spans="1:24" ht="16.2" thickBot="1" x14ac:dyDescent="0.35">
      <c r="A16" s="32" t="s">
        <v>47</v>
      </c>
      <c r="B16" s="17">
        <v>0</v>
      </c>
      <c r="C16" s="17">
        <v>0</v>
      </c>
      <c r="D16" s="17">
        <v>0</v>
      </c>
      <c r="E16" s="17">
        <v>0</v>
      </c>
      <c r="F16" s="18">
        <v>0</v>
      </c>
      <c r="H16" s="32" t="s">
        <v>47</v>
      </c>
      <c r="I16" s="17">
        <v>0</v>
      </c>
      <c r="J16" s="17">
        <v>0</v>
      </c>
      <c r="K16" s="17">
        <v>0</v>
      </c>
      <c r="L16" s="17">
        <v>0</v>
      </c>
      <c r="M16" s="18">
        <v>1</v>
      </c>
      <c r="O16" s="32" t="s">
        <v>47</v>
      </c>
      <c r="P16" s="108">
        <f>SUM(B16:F16)+SUM(I16:M16)</f>
        <v>1</v>
      </c>
      <c r="Q16" s="36">
        <v>1</v>
      </c>
      <c r="S16" s="32" t="s">
        <v>47</v>
      </c>
      <c r="T16" s="33">
        <v>0</v>
      </c>
      <c r="U16" s="33">
        <v>0</v>
      </c>
      <c r="V16" s="33">
        <v>0</v>
      </c>
      <c r="W16" s="33">
        <v>0</v>
      </c>
      <c r="X16" s="36">
        <v>0</v>
      </c>
    </row>
    <row r="18" spans="1:24" ht="16.2" thickBot="1" x14ac:dyDescent="0.35"/>
    <row r="19" spans="1:24" ht="16.2" thickBot="1" x14ac:dyDescent="0.35">
      <c r="A19" s="103" t="s">
        <v>54</v>
      </c>
      <c r="B19" s="104" t="s">
        <v>43</v>
      </c>
      <c r="C19" s="104" t="s">
        <v>44</v>
      </c>
      <c r="D19" s="104" t="s">
        <v>45</v>
      </c>
      <c r="E19" s="104" t="s">
        <v>46</v>
      </c>
      <c r="F19" s="105" t="s">
        <v>47</v>
      </c>
      <c r="H19" s="103" t="s">
        <v>55</v>
      </c>
      <c r="I19" s="104" t="s">
        <v>43</v>
      </c>
      <c r="J19" s="104" t="s">
        <v>44</v>
      </c>
      <c r="K19" s="104" t="s">
        <v>45</v>
      </c>
      <c r="L19" s="104" t="s">
        <v>46</v>
      </c>
      <c r="M19" s="105" t="s">
        <v>47</v>
      </c>
      <c r="S19" s="103"/>
      <c r="T19" s="104" t="s">
        <v>43</v>
      </c>
      <c r="U19" s="104" t="s">
        <v>44</v>
      </c>
      <c r="V19" s="104" t="s">
        <v>45</v>
      </c>
      <c r="W19" s="104" t="s">
        <v>46</v>
      </c>
      <c r="X19" s="105" t="s">
        <v>47</v>
      </c>
    </row>
    <row r="20" spans="1:24" x14ac:dyDescent="0.3">
      <c r="A20" s="27" t="s">
        <v>43</v>
      </c>
      <c r="B20" s="15">
        <v>0</v>
      </c>
      <c r="C20" s="15">
        <v>0</v>
      </c>
      <c r="D20" s="15">
        <v>0</v>
      </c>
      <c r="E20" s="15">
        <v>1</v>
      </c>
      <c r="F20" s="16">
        <v>0</v>
      </c>
      <c r="H20" s="27" t="s">
        <v>43</v>
      </c>
      <c r="I20" s="15">
        <v>0</v>
      </c>
      <c r="J20" s="15">
        <v>0</v>
      </c>
      <c r="K20" s="15">
        <v>0</v>
      </c>
      <c r="L20" s="15">
        <v>0</v>
      </c>
      <c r="M20" s="16">
        <v>0</v>
      </c>
      <c r="O20" s="21" t="s">
        <v>43</v>
      </c>
      <c r="P20" s="106">
        <f>SUM(B20:F20)+SUM(I20:M20)-B13-B16-I12-I13-I16</f>
        <v>0</v>
      </c>
      <c r="Q20" s="26">
        <v>0</v>
      </c>
      <c r="S20" s="27" t="s">
        <v>43</v>
      </c>
      <c r="T20" s="28">
        <v>0</v>
      </c>
      <c r="U20" s="28">
        <v>0</v>
      </c>
      <c r="V20" s="28">
        <v>0</v>
      </c>
      <c r="W20" s="28">
        <v>1</v>
      </c>
      <c r="X20" s="31">
        <v>0</v>
      </c>
    </row>
    <row r="21" spans="1:24" x14ac:dyDescent="0.3">
      <c r="A21" s="27" t="s">
        <v>44</v>
      </c>
      <c r="B21" s="15">
        <v>0</v>
      </c>
      <c r="C21" s="15">
        <v>0</v>
      </c>
      <c r="D21" s="15">
        <v>0</v>
      </c>
      <c r="E21" s="15">
        <v>0</v>
      </c>
      <c r="F21" s="16">
        <v>0</v>
      </c>
      <c r="H21" s="27" t="s">
        <v>44</v>
      </c>
      <c r="I21" s="15">
        <v>0</v>
      </c>
      <c r="J21" s="15">
        <v>1</v>
      </c>
      <c r="K21" s="15">
        <v>0</v>
      </c>
      <c r="L21" s="15">
        <v>0</v>
      </c>
      <c r="M21" s="16">
        <v>0</v>
      </c>
      <c r="O21" s="27" t="s">
        <v>44</v>
      </c>
      <c r="P21" s="107">
        <f>SUM(B21:F21)+SUM(I21:M21)-C12-C16-J12-J13-J16</f>
        <v>0</v>
      </c>
      <c r="Q21" s="31">
        <v>0</v>
      </c>
      <c r="S21" s="27" t="s">
        <v>44</v>
      </c>
      <c r="T21" s="28">
        <v>0</v>
      </c>
      <c r="U21" s="28">
        <v>0</v>
      </c>
      <c r="V21" s="28">
        <v>1</v>
      </c>
      <c r="W21" s="28">
        <v>0</v>
      </c>
      <c r="X21" s="31">
        <v>0</v>
      </c>
    </row>
    <row r="22" spans="1:24" x14ac:dyDescent="0.3">
      <c r="A22" s="27" t="s">
        <v>45</v>
      </c>
      <c r="B22" s="15">
        <v>0</v>
      </c>
      <c r="C22" s="15">
        <v>0</v>
      </c>
      <c r="D22" s="15">
        <v>0</v>
      </c>
      <c r="E22" s="15">
        <v>0</v>
      </c>
      <c r="F22" s="16">
        <v>1</v>
      </c>
      <c r="H22" s="27" t="s">
        <v>45</v>
      </c>
      <c r="I22" s="15">
        <v>0</v>
      </c>
      <c r="J22" s="15">
        <v>0</v>
      </c>
      <c r="K22" s="15">
        <v>0</v>
      </c>
      <c r="L22" s="15">
        <v>0</v>
      </c>
      <c r="M22" s="16">
        <v>0</v>
      </c>
      <c r="O22" s="27" t="s">
        <v>45</v>
      </c>
      <c r="P22" s="107">
        <f>SUM(B22:F22)+SUM(I22:M22)-D15-K14-K15</f>
        <v>1</v>
      </c>
      <c r="Q22" s="31">
        <v>1</v>
      </c>
      <c r="S22" s="27" t="s">
        <v>45</v>
      </c>
      <c r="T22" s="28">
        <v>0</v>
      </c>
      <c r="U22" s="28">
        <v>0</v>
      </c>
      <c r="V22" s="28">
        <v>0</v>
      </c>
      <c r="W22" s="28">
        <v>0</v>
      </c>
      <c r="X22" s="31">
        <v>2</v>
      </c>
    </row>
    <row r="23" spans="1:24" x14ac:dyDescent="0.3">
      <c r="A23" s="27" t="s">
        <v>46</v>
      </c>
      <c r="B23" s="15">
        <v>0</v>
      </c>
      <c r="C23" s="15">
        <v>0</v>
      </c>
      <c r="D23" s="15">
        <v>0</v>
      </c>
      <c r="E23" s="15">
        <v>0</v>
      </c>
      <c r="F23" s="16">
        <v>0</v>
      </c>
      <c r="H23" s="27" t="s">
        <v>46</v>
      </c>
      <c r="I23" s="15">
        <v>0</v>
      </c>
      <c r="J23" s="15">
        <v>0</v>
      </c>
      <c r="K23" s="15">
        <v>0</v>
      </c>
      <c r="L23" s="15">
        <v>2</v>
      </c>
      <c r="M23" s="16">
        <v>0</v>
      </c>
      <c r="O23" s="27" t="s">
        <v>46</v>
      </c>
      <c r="P23" s="107">
        <f>SUM(B23:F23)+SUM(I23:M23)-E14-L14-L15</f>
        <v>2</v>
      </c>
      <c r="Q23" s="31">
        <v>2</v>
      </c>
      <c r="S23" s="27" t="s">
        <v>46</v>
      </c>
      <c r="T23" s="28">
        <v>0</v>
      </c>
      <c r="U23" s="28">
        <v>0</v>
      </c>
      <c r="V23" s="28">
        <v>0</v>
      </c>
      <c r="W23" s="28">
        <v>0</v>
      </c>
      <c r="X23" s="31">
        <v>0</v>
      </c>
    </row>
    <row r="24" spans="1:24" ht="16.2" thickBot="1" x14ac:dyDescent="0.35">
      <c r="A24" s="32" t="s">
        <v>47</v>
      </c>
      <c r="B24" s="17">
        <v>1</v>
      </c>
      <c r="C24" s="17">
        <v>0</v>
      </c>
      <c r="D24" s="17">
        <v>0</v>
      </c>
      <c r="E24" s="17">
        <v>0</v>
      </c>
      <c r="F24" s="18">
        <v>0</v>
      </c>
      <c r="H24" s="32" t="s">
        <v>47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  <c r="O24" s="32" t="s">
        <v>47</v>
      </c>
      <c r="P24" s="108">
        <f>SUM(B24:F24)+SUM(I24:M24)-F12-F13-M12-M13-M16</f>
        <v>0</v>
      </c>
      <c r="Q24" s="36">
        <v>0</v>
      </c>
      <c r="S24" s="32" t="s">
        <v>47</v>
      </c>
      <c r="T24" s="33">
        <v>1</v>
      </c>
      <c r="U24" s="33">
        <v>0</v>
      </c>
      <c r="V24" s="33">
        <v>0</v>
      </c>
      <c r="W24" s="33">
        <v>0</v>
      </c>
      <c r="X24" s="36">
        <v>0</v>
      </c>
    </row>
    <row r="26" spans="1:24" ht="16.2" thickBot="1" x14ac:dyDescent="0.35"/>
    <row r="27" spans="1:24" ht="16.2" thickBot="1" x14ac:dyDescent="0.35">
      <c r="A27" s="103" t="s">
        <v>56</v>
      </c>
      <c r="B27" s="104" t="s">
        <v>43</v>
      </c>
      <c r="C27" s="104" t="s">
        <v>44</v>
      </c>
      <c r="D27" s="104" t="s">
        <v>45</v>
      </c>
      <c r="E27" s="104" t="s">
        <v>46</v>
      </c>
      <c r="F27" s="105" t="s">
        <v>47</v>
      </c>
      <c r="H27" s="103" t="s">
        <v>57</v>
      </c>
      <c r="I27" s="104" t="s">
        <v>43</v>
      </c>
      <c r="J27" s="104" t="s">
        <v>44</v>
      </c>
      <c r="K27" s="104" t="s">
        <v>45</v>
      </c>
      <c r="L27" s="104" t="s">
        <v>46</v>
      </c>
      <c r="M27" s="105" t="s">
        <v>47</v>
      </c>
      <c r="S27" s="103"/>
      <c r="T27" s="104" t="s">
        <v>43</v>
      </c>
      <c r="U27" s="104" t="s">
        <v>44</v>
      </c>
      <c r="V27" s="104" t="s">
        <v>45</v>
      </c>
      <c r="W27" s="104" t="s">
        <v>46</v>
      </c>
      <c r="X27" s="105" t="s">
        <v>47</v>
      </c>
    </row>
    <row r="28" spans="1:24" x14ac:dyDescent="0.3">
      <c r="A28" s="27" t="s">
        <v>43</v>
      </c>
      <c r="B28" s="15">
        <v>0</v>
      </c>
      <c r="C28" s="15">
        <v>0</v>
      </c>
      <c r="D28" s="15">
        <v>0</v>
      </c>
      <c r="E28" s="15">
        <v>0</v>
      </c>
      <c r="F28" s="16">
        <v>1</v>
      </c>
      <c r="H28" s="27" t="s">
        <v>43</v>
      </c>
      <c r="I28" s="15">
        <v>0</v>
      </c>
      <c r="J28" s="15">
        <v>0</v>
      </c>
      <c r="K28" s="15">
        <v>0</v>
      </c>
      <c r="L28" s="15">
        <v>0</v>
      </c>
      <c r="M28" s="16">
        <v>0</v>
      </c>
      <c r="O28" s="21" t="s">
        <v>43</v>
      </c>
      <c r="P28" s="106">
        <f>SUM(B28:F28)+SUM(I28:M28)-B14-B15-I14-I15-B21-B24-I20-I21-I24</f>
        <v>0</v>
      </c>
      <c r="Q28" s="26">
        <v>0</v>
      </c>
      <c r="S28" s="27" t="s">
        <v>43</v>
      </c>
      <c r="T28" s="28">
        <v>0</v>
      </c>
      <c r="U28" s="28">
        <v>0</v>
      </c>
      <c r="V28" s="28">
        <v>0</v>
      </c>
      <c r="W28" s="28">
        <v>0</v>
      </c>
      <c r="X28" s="31">
        <v>1</v>
      </c>
    </row>
    <row r="29" spans="1:24" x14ac:dyDescent="0.3">
      <c r="A29" s="27" t="s">
        <v>44</v>
      </c>
      <c r="B29" s="15">
        <v>0</v>
      </c>
      <c r="C29" s="15">
        <v>0</v>
      </c>
      <c r="D29" s="15">
        <v>0</v>
      </c>
      <c r="E29" s="15">
        <v>0</v>
      </c>
      <c r="F29" s="16">
        <v>0</v>
      </c>
      <c r="H29" s="27" t="s">
        <v>44</v>
      </c>
      <c r="I29" s="15">
        <v>0</v>
      </c>
      <c r="J29" s="15">
        <v>0</v>
      </c>
      <c r="K29" s="15">
        <v>0</v>
      </c>
      <c r="L29" s="15">
        <v>0</v>
      </c>
      <c r="M29" s="16">
        <v>0</v>
      </c>
      <c r="O29" s="27" t="s">
        <v>44</v>
      </c>
      <c r="P29" s="107">
        <f>SUM(B29:F29)+SUM(I29:M29)-C14-C15-J14-J15-C20-C24-J20-J21-J24</f>
        <v>-1</v>
      </c>
      <c r="Q29" s="31">
        <v>-1</v>
      </c>
      <c r="S29" s="27" t="s">
        <v>44</v>
      </c>
      <c r="T29" s="28">
        <v>1</v>
      </c>
      <c r="U29" s="28">
        <v>0</v>
      </c>
      <c r="V29" s="28">
        <v>0</v>
      </c>
      <c r="W29" s="28">
        <v>0</v>
      </c>
      <c r="X29" s="31">
        <v>0</v>
      </c>
    </row>
    <row r="30" spans="1:24" x14ac:dyDescent="0.3">
      <c r="A30" s="27" t="s">
        <v>45</v>
      </c>
      <c r="B30" s="15">
        <v>0</v>
      </c>
      <c r="C30" s="15">
        <v>0</v>
      </c>
      <c r="D30" s="15">
        <v>0</v>
      </c>
      <c r="E30" s="15">
        <v>1</v>
      </c>
      <c r="F30" s="16">
        <v>0</v>
      </c>
      <c r="H30" s="27" t="s">
        <v>45</v>
      </c>
      <c r="I30" s="15">
        <v>0</v>
      </c>
      <c r="J30" s="15">
        <v>0</v>
      </c>
      <c r="K30" s="15">
        <v>0</v>
      </c>
      <c r="L30" s="15">
        <v>0</v>
      </c>
      <c r="M30" s="16">
        <v>0</v>
      </c>
      <c r="O30" s="27" t="s">
        <v>45</v>
      </c>
      <c r="P30" s="107">
        <f>SUM(B30:F30)+SUM(I30:M30)-D12-D13-D16-K12-K13-K16-D23-K22-K23</f>
        <v>0</v>
      </c>
      <c r="Q30" s="31">
        <v>0</v>
      </c>
      <c r="S30" s="27" t="s">
        <v>45</v>
      </c>
      <c r="T30" s="28">
        <v>0</v>
      </c>
      <c r="U30" s="28">
        <v>0</v>
      </c>
      <c r="V30" s="28">
        <v>0</v>
      </c>
      <c r="W30" s="28">
        <v>1</v>
      </c>
      <c r="X30" s="31">
        <v>0</v>
      </c>
    </row>
    <row r="31" spans="1:24" x14ac:dyDescent="0.3">
      <c r="A31" s="27" t="s">
        <v>46</v>
      </c>
      <c r="B31" s="15">
        <v>0</v>
      </c>
      <c r="C31" s="15">
        <v>1</v>
      </c>
      <c r="D31" s="15">
        <v>0</v>
      </c>
      <c r="E31" s="15">
        <v>0</v>
      </c>
      <c r="F31" s="16">
        <v>0</v>
      </c>
      <c r="H31" s="27" t="s">
        <v>46</v>
      </c>
      <c r="I31" s="15">
        <v>0</v>
      </c>
      <c r="J31" s="15">
        <v>0</v>
      </c>
      <c r="K31" s="15">
        <v>0</v>
      </c>
      <c r="L31" s="15">
        <v>1</v>
      </c>
      <c r="M31" s="16">
        <v>0</v>
      </c>
      <c r="O31" s="27" t="s">
        <v>46</v>
      </c>
      <c r="P31" s="107">
        <f>SUM(B31:F31)+SUM(I31:M31)-E12-E13-E16-L12-L13-L16-E22-L22-L23</f>
        <v>0</v>
      </c>
      <c r="Q31" s="31">
        <v>0</v>
      </c>
      <c r="S31" s="27" t="s">
        <v>46</v>
      </c>
      <c r="T31" s="28">
        <v>0</v>
      </c>
      <c r="U31" s="28">
        <v>1</v>
      </c>
      <c r="V31" s="28">
        <v>0</v>
      </c>
      <c r="W31" s="28">
        <v>0</v>
      </c>
      <c r="X31" s="31">
        <v>0</v>
      </c>
    </row>
    <row r="32" spans="1:24" ht="16.2" thickBot="1" x14ac:dyDescent="0.35">
      <c r="A32" s="32" t="s">
        <v>47</v>
      </c>
      <c r="B32" s="17">
        <v>0</v>
      </c>
      <c r="C32" s="17">
        <v>0</v>
      </c>
      <c r="D32" s="17">
        <v>0</v>
      </c>
      <c r="E32" s="17">
        <v>0</v>
      </c>
      <c r="F32" s="18">
        <v>0</v>
      </c>
      <c r="H32" s="32" t="s">
        <v>47</v>
      </c>
      <c r="I32" s="17">
        <v>0</v>
      </c>
      <c r="J32" s="17">
        <v>0</v>
      </c>
      <c r="K32" s="17">
        <v>0</v>
      </c>
      <c r="L32" s="17">
        <v>0</v>
      </c>
      <c r="M32" s="18">
        <v>0</v>
      </c>
      <c r="O32" s="32" t="s">
        <v>47</v>
      </c>
      <c r="P32" s="108">
        <f>SUM(B32:F32)+SUM(I32:M32)-F14-F15-M14-M15-F20-F21-M20-M21-M24</f>
        <v>0</v>
      </c>
      <c r="Q32" s="36">
        <v>0</v>
      </c>
      <c r="S32" s="32" t="s">
        <v>47</v>
      </c>
      <c r="T32" s="33">
        <v>0</v>
      </c>
      <c r="U32" s="33">
        <v>0</v>
      </c>
      <c r="V32" s="33">
        <v>1</v>
      </c>
      <c r="W32" s="33">
        <v>0</v>
      </c>
      <c r="X32" s="36">
        <v>0</v>
      </c>
    </row>
    <row r="34" spans="1:13" ht="16.2" thickBot="1" x14ac:dyDescent="0.35"/>
    <row r="35" spans="1:13" x14ac:dyDescent="0.3">
      <c r="A35" s="103" t="s">
        <v>58</v>
      </c>
      <c r="B35" s="104" t="s">
        <v>43</v>
      </c>
      <c r="C35" s="104" t="s">
        <v>44</v>
      </c>
      <c r="D35" s="104" t="s">
        <v>45</v>
      </c>
      <c r="E35" s="104" t="s">
        <v>46</v>
      </c>
      <c r="F35" s="105" t="s">
        <v>47</v>
      </c>
      <c r="H35" s="103" t="s">
        <v>59</v>
      </c>
      <c r="I35" s="104" t="s">
        <v>43</v>
      </c>
      <c r="J35" s="104" t="s">
        <v>44</v>
      </c>
      <c r="K35" s="104" t="s">
        <v>45</v>
      </c>
      <c r="L35" s="104" t="s">
        <v>46</v>
      </c>
      <c r="M35" s="105" t="s">
        <v>47</v>
      </c>
    </row>
    <row r="36" spans="1:13" x14ac:dyDescent="0.3">
      <c r="A36" s="27" t="s">
        <v>43</v>
      </c>
      <c r="B36" s="3">
        <f>SUM(B12,B20,B28)</f>
        <v>0</v>
      </c>
      <c r="C36" s="3">
        <f t="shared" ref="C36:F40" si="0">SUM(C12,C20,C28)</f>
        <v>0</v>
      </c>
      <c r="D36" s="3">
        <f t="shared" si="0"/>
        <v>1</v>
      </c>
      <c r="E36" s="3">
        <f t="shared" si="0"/>
        <v>1</v>
      </c>
      <c r="F36" s="3">
        <f t="shared" si="0"/>
        <v>1</v>
      </c>
      <c r="H36" s="27" t="s">
        <v>43</v>
      </c>
      <c r="I36" s="3">
        <f t="shared" ref="I36:M40" si="1">SUM(I12,I20,I28)</f>
        <v>1</v>
      </c>
      <c r="J36" s="3">
        <f t="shared" si="1"/>
        <v>0</v>
      </c>
      <c r="K36" s="3">
        <f t="shared" si="1"/>
        <v>0</v>
      </c>
      <c r="L36" s="3">
        <f t="shared" si="1"/>
        <v>0</v>
      </c>
      <c r="M36" s="8">
        <f t="shared" si="1"/>
        <v>0</v>
      </c>
    </row>
    <row r="37" spans="1:13" x14ac:dyDescent="0.3">
      <c r="A37" s="27" t="s">
        <v>44</v>
      </c>
      <c r="B37" s="3">
        <f t="shared" ref="B37:B40" si="2">SUM(B13,B21,B29)</f>
        <v>0</v>
      </c>
      <c r="C37" s="3">
        <f t="shared" si="0"/>
        <v>0</v>
      </c>
      <c r="D37" s="3">
        <f t="shared" si="0"/>
        <v>0</v>
      </c>
      <c r="E37" s="3">
        <f t="shared" si="0"/>
        <v>0</v>
      </c>
      <c r="F37" s="8">
        <f t="shared" si="0"/>
        <v>0</v>
      </c>
      <c r="H37" s="27" t="s">
        <v>44</v>
      </c>
      <c r="I37" s="3">
        <f>SUM(I13,I21,I29)</f>
        <v>0</v>
      </c>
      <c r="J37" s="3">
        <f t="shared" si="1"/>
        <v>2</v>
      </c>
      <c r="K37" s="3">
        <f t="shared" si="1"/>
        <v>0</v>
      </c>
      <c r="L37" s="3">
        <f t="shared" si="1"/>
        <v>0</v>
      </c>
      <c r="M37" s="8">
        <f t="shared" si="1"/>
        <v>0</v>
      </c>
    </row>
    <row r="38" spans="1:13" x14ac:dyDescent="0.3">
      <c r="A38" s="27" t="s">
        <v>45</v>
      </c>
      <c r="B38" s="3">
        <f t="shared" si="2"/>
        <v>0</v>
      </c>
      <c r="C38" s="3">
        <f t="shared" si="0"/>
        <v>0</v>
      </c>
      <c r="D38" s="3">
        <f t="shared" si="0"/>
        <v>0</v>
      </c>
      <c r="E38" s="3">
        <f t="shared" si="0"/>
        <v>1</v>
      </c>
      <c r="F38" s="8">
        <f t="shared" si="0"/>
        <v>1</v>
      </c>
      <c r="H38" s="27" t="s">
        <v>45</v>
      </c>
      <c r="I38" s="3">
        <f t="shared" si="1"/>
        <v>0</v>
      </c>
      <c r="J38" s="3">
        <f t="shared" si="1"/>
        <v>0</v>
      </c>
      <c r="K38" s="3">
        <f t="shared" si="1"/>
        <v>0</v>
      </c>
      <c r="L38" s="3">
        <f t="shared" si="1"/>
        <v>0</v>
      </c>
      <c r="M38" s="8">
        <f t="shared" si="1"/>
        <v>0</v>
      </c>
    </row>
    <row r="39" spans="1:13" x14ac:dyDescent="0.3">
      <c r="A39" s="27" t="s">
        <v>46</v>
      </c>
      <c r="B39" s="3">
        <f t="shared" si="2"/>
        <v>0</v>
      </c>
      <c r="C39" s="3">
        <f t="shared" si="0"/>
        <v>1</v>
      </c>
      <c r="D39" s="3">
        <f t="shared" si="0"/>
        <v>0</v>
      </c>
      <c r="E39" s="3">
        <f t="shared" si="0"/>
        <v>0</v>
      </c>
      <c r="F39" s="8">
        <f t="shared" si="0"/>
        <v>0</v>
      </c>
      <c r="H39" s="27" t="s">
        <v>46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3</v>
      </c>
      <c r="M39" s="8">
        <f t="shared" si="1"/>
        <v>0</v>
      </c>
    </row>
    <row r="40" spans="1:13" ht="16.2" thickBot="1" x14ac:dyDescent="0.35">
      <c r="A40" s="32" t="s">
        <v>47</v>
      </c>
      <c r="B40" s="3">
        <f t="shared" si="2"/>
        <v>1</v>
      </c>
      <c r="C40" s="10">
        <f t="shared" si="0"/>
        <v>0</v>
      </c>
      <c r="D40" s="10">
        <f t="shared" si="0"/>
        <v>0</v>
      </c>
      <c r="E40" s="10">
        <f t="shared" si="0"/>
        <v>0</v>
      </c>
      <c r="F40" s="11">
        <f t="shared" si="0"/>
        <v>0</v>
      </c>
      <c r="H40" s="32" t="s">
        <v>47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1">
        <f t="shared" si="1"/>
        <v>1</v>
      </c>
    </row>
    <row r="42" spans="1:13" ht="16.2" thickBot="1" x14ac:dyDescent="0.35"/>
    <row r="43" spans="1:13" x14ac:dyDescent="0.3">
      <c r="A43" s="103" t="s">
        <v>60</v>
      </c>
      <c r="B43" s="104" t="s">
        <v>43</v>
      </c>
      <c r="C43" s="104" t="s">
        <v>44</v>
      </c>
      <c r="D43" s="104" t="s">
        <v>45</v>
      </c>
      <c r="E43" s="104" t="s">
        <v>46</v>
      </c>
      <c r="F43" s="105" t="s">
        <v>47</v>
      </c>
      <c r="H43" s="103" t="s">
        <v>61</v>
      </c>
      <c r="I43" s="104" t="s">
        <v>43</v>
      </c>
      <c r="J43" s="104" t="s">
        <v>44</v>
      </c>
      <c r="K43" s="104" t="s">
        <v>45</v>
      </c>
      <c r="L43" s="104" t="s">
        <v>46</v>
      </c>
      <c r="M43" s="105" t="s">
        <v>47</v>
      </c>
    </row>
    <row r="44" spans="1:13" x14ac:dyDescent="0.3">
      <c r="A44" s="27" t="s">
        <v>43</v>
      </c>
      <c r="B44" s="3">
        <v>0</v>
      </c>
      <c r="C44" s="3">
        <f>1300*LEFT(C4,1)+(IF(RIGHT(C4,4)="(TN)",1,0)*500)+J44</f>
        <v>700</v>
      </c>
      <c r="D44" s="3">
        <f t="shared" ref="D44:F47" si="3">1300*LEFT(D4,1)+(IF(RIGHT(D4,4)="(TN)",1,0)*500)+K44</f>
        <v>1900</v>
      </c>
      <c r="E44" s="3">
        <f t="shared" si="3"/>
        <v>1900</v>
      </c>
      <c r="F44" s="8">
        <f t="shared" si="3"/>
        <v>950</v>
      </c>
      <c r="H44" s="27" t="s">
        <v>43</v>
      </c>
      <c r="I44" s="3">
        <v>0</v>
      </c>
      <c r="J44" s="3">
        <f>-(250+350*LEFT(C4,1)+(IF(RIGHT(C4,4)="(TN)",1,0)*250))</f>
        <v>-600</v>
      </c>
      <c r="K44" s="3">
        <f t="shared" ref="K44:M47" si="4">-(250+350*LEFT(D4,1)+(IF(RIGHT(D4,4)="(TN)",1,0)*250))</f>
        <v>-1200</v>
      </c>
      <c r="L44" s="3">
        <f t="shared" si="4"/>
        <v>-1200</v>
      </c>
      <c r="M44" s="8">
        <f t="shared" si="4"/>
        <v>-850</v>
      </c>
    </row>
    <row r="45" spans="1:13" x14ac:dyDescent="0.3">
      <c r="A45" s="27" t="s">
        <v>44</v>
      </c>
      <c r="B45" s="3">
        <f>C44</f>
        <v>700</v>
      </c>
      <c r="C45" s="3">
        <v>0</v>
      </c>
      <c r="D45" s="3">
        <f t="shared" si="3"/>
        <v>1900</v>
      </c>
      <c r="E45" s="3">
        <f t="shared" si="3"/>
        <v>1900</v>
      </c>
      <c r="F45" s="8">
        <f t="shared" si="3"/>
        <v>950</v>
      </c>
      <c r="H45" s="27" t="s">
        <v>44</v>
      </c>
      <c r="I45" s="3">
        <f>J44</f>
        <v>-600</v>
      </c>
      <c r="J45" s="3">
        <v>0</v>
      </c>
      <c r="K45" s="3">
        <f t="shared" si="4"/>
        <v>-1200</v>
      </c>
      <c r="L45" s="3">
        <f t="shared" si="4"/>
        <v>-1200</v>
      </c>
      <c r="M45" s="8">
        <f t="shared" si="4"/>
        <v>-850</v>
      </c>
    </row>
    <row r="46" spans="1:13" x14ac:dyDescent="0.3">
      <c r="A46" s="27" t="s">
        <v>45</v>
      </c>
      <c r="B46" s="3">
        <f>D44</f>
        <v>1900</v>
      </c>
      <c r="C46" s="3">
        <f>D45</f>
        <v>1900</v>
      </c>
      <c r="D46" s="3">
        <v>0</v>
      </c>
      <c r="E46" s="3">
        <f t="shared" si="3"/>
        <v>700</v>
      </c>
      <c r="F46" s="8">
        <f t="shared" si="3"/>
        <v>1900</v>
      </c>
      <c r="H46" s="27" t="s">
        <v>45</v>
      </c>
      <c r="I46" s="3">
        <f>K44</f>
        <v>-1200</v>
      </c>
      <c r="J46" s="3">
        <f>K45</f>
        <v>-1200</v>
      </c>
      <c r="K46" s="3">
        <v>0</v>
      </c>
      <c r="L46" s="3">
        <f t="shared" si="4"/>
        <v>-600</v>
      </c>
      <c r="M46" s="8">
        <f t="shared" si="4"/>
        <v>-1200</v>
      </c>
    </row>
    <row r="47" spans="1:13" x14ac:dyDescent="0.3">
      <c r="A47" s="27" t="s">
        <v>46</v>
      </c>
      <c r="B47" s="3">
        <f>E44</f>
        <v>1900</v>
      </c>
      <c r="C47" s="3">
        <f>E45</f>
        <v>1900</v>
      </c>
      <c r="D47" s="3">
        <f>E46</f>
        <v>700</v>
      </c>
      <c r="E47" s="3">
        <v>0</v>
      </c>
      <c r="F47" s="8">
        <f t="shared" si="3"/>
        <v>1900</v>
      </c>
      <c r="H47" s="27" t="s">
        <v>46</v>
      </c>
      <c r="I47" s="3">
        <f>L44</f>
        <v>-1200</v>
      </c>
      <c r="J47" s="3">
        <f>L45</f>
        <v>-1200</v>
      </c>
      <c r="K47" s="3">
        <f>L46</f>
        <v>-600</v>
      </c>
      <c r="L47" s="3">
        <v>0</v>
      </c>
      <c r="M47" s="8">
        <f t="shared" si="4"/>
        <v>-1200</v>
      </c>
    </row>
    <row r="48" spans="1:13" ht="16.2" thickBot="1" x14ac:dyDescent="0.35">
      <c r="A48" s="32" t="s">
        <v>47</v>
      </c>
      <c r="B48" s="10">
        <f>F44</f>
        <v>950</v>
      </c>
      <c r="C48" s="10">
        <f>F45</f>
        <v>950</v>
      </c>
      <c r="D48" s="10">
        <f>F46</f>
        <v>1900</v>
      </c>
      <c r="E48" s="10">
        <f>F47</f>
        <v>1900</v>
      </c>
      <c r="F48" s="11">
        <v>0</v>
      </c>
      <c r="H48" s="32" t="s">
        <v>47</v>
      </c>
      <c r="I48" s="10">
        <f>M44</f>
        <v>-850</v>
      </c>
      <c r="J48" s="10">
        <f>M45</f>
        <v>-850</v>
      </c>
      <c r="K48" s="10">
        <f>M46</f>
        <v>-1200</v>
      </c>
      <c r="L48" s="10">
        <f>M47</f>
        <v>-1200</v>
      </c>
      <c r="M48" s="11">
        <v>0</v>
      </c>
    </row>
    <row r="50" spans="1:2" ht="16.2" thickBot="1" x14ac:dyDescent="0.35"/>
    <row r="51" spans="1:2" ht="16.2" thickBot="1" x14ac:dyDescent="0.35">
      <c r="A51" s="19" t="s">
        <v>15</v>
      </c>
      <c r="B51" s="95">
        <f>SUMPRODUCT(B36:F40,B44:F48)+SUMPRODUCT(I36:M40,I44:M48)</f>
        <v>10200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10A6-3F2D-4227-9045-AF437C3BFB00}">
  <dimension ref="A1:L45"/>
  <sheetViews>
    <sheetView zoomScale="80" zoomScaleNormal="80" workbookViewId="0">
      <selection activeCell="D2" sqref="D2"/>
    </sheetView>
  </sheetViews>
  <sheetFormatPr defaultColWidth="12.44140625" defaultRowHeight="15.6" x14ac:dyDescent="0.3"/>
  <cols>
    <col min="1" max="16384" width="12.44140625" style="2"/>
  </cols>
  <sheetData>
    <row r="1" spans="1:12" ht="21.6" thickBot="1" x14ac:dyDescent="0.45">
      <c r="A1" s="148"/>
    </row>
    <row r="2" spans="1:12" x14ac:dyDescent="0.3">
      <c r="B2" s="109"/>
      <c r="C2" s="149" t="s">
        <v>101</v>
      </c>
      <c r="D2" s="150">
        <v>0</v>
      </c>
      <c r="E2" s="109"/>
    </row>
    <row r="3" spans="1:12" ht="16.2" thickBot="1" x14ac:dyDescent="0.35">
      <c r="C3" s="151" t="s">
        <v>102</v>
      </c>
      <c r="D3" s="152">
        <v>0.11580827366356508</v>
      </c>
      <c r="E3" s="109"/>
    </row>
    <row r="4" spans="1:12" ht="16.2" thickBot="1" x14ac:dyDescent="0.35"/>
    <row r="5" spans="1:12" ht="16.2" thickBot="1" x14ac:dyDescent="0.35">
      <c r="A5" s="153" t="s">
        <v>103</v>
      </c>
      <c r="B5" s="154" t="s">
        <v>104</v>
      </c>
      <c r="C5" s="154" t="s">
        <v>105</v>
      </c>
      <c r="D5" s="155" t="s">
        <v>106</v>
      </c>
      <c r="E5" s="154" t="s">
        <v>107</v>
      </c>
      <c r="F5" s="154" t="s">
        <v>108</v>
      </c>
      <c r="G5" s="155" t="s">
        <v>109</v>
      </c>
      <c r="H5" s="156" t="s">
        <v>110</v>
      </c>
    </row>
    <row r="6" spans="1:12" x14ac:dyDescent="0.3">
      <c r="A6" s="157">
        <v>0</v>
      </c>
      <c r="B6" s="191"/>
      <c r="C6" s="185">
        <f>L11</f>
        <v>847.44967032967031</v>
      </c>
      <c r="D6" s="186">
        <f>L12</f>
        <v>-3.3833846153846143</v>
      </c>
      <c r="E6" s="185"/>
      <c r="F6" s="185"/>
      <c r="G6" s="186"/>
      <c r="H6" s="187"/>
    </row>
    <row r="7" spans="1:12" x14ac:dyDescent="0.3">
      <c r="A7" s="157">
        <v>1</v>
      </c>
      <c r="B7" s="158">
        <v>855.52</v>
      </c>
      <c r="C7" s="159">
        <f>$D$2*B7+(1-$D$2)*(C6+D6)</f>
        <v>844.06628571428564</v>
      </c>
      <c r="D7" s="110">
        <f>$D$3*(C7-C6)+(1-$D$3)*D6</f>
        <v>-3.383384615384621</v>
      </c>
      <c r="E7" s="159">
        <f>C6+D6</f>
        <v>844.06628571428564</v>
      </c>
      <c r="F7" s="159">
        <f>E7-B7</f>
        <v>-11.453714285714341</v>
      </c>
      <c r="G7" s="110">
        <f>ABS(F7)</f>
        <v>11.453714285714341</v>
      </c>
      <c r="H7" s="160">
        <f>POWER(F7,2)</f>
        <v>131.18757093877676</v>
      </c>
    </row>
    <row r="8" spans="1:12" x14ac:dyDescent="0.3">
      <c r="A8" s="157">
        <v>2</v>
      </c>
      <c r="B8" s="158">
        <v>760.28</v>
      </c>
      <c r="C8" s="159">
        <f t="shared" ref="C8:C19" si="0">$D$2*B8+(1-$D$2)*(C7+D7)</f>
        <v>840.68290109890097</v>
      </c>
      <c r="D8" s="110">
        <f t="shared" ref="D8:D19" si="1">$D$3*(C8-C7)+(1-$D$3)*D7</f>
        <v>-3.3833846153846272</v>
      </c>
      <c r="E8" s="159">
        <f t="shared" ref="E8:E20" si="2">C7+D7</f>
        <v>840.68290109890097</v>
      </c>
      <c r="F8" s="159">
        <f t="shared" ref="F8:F19" si="3">E8-B8</f>
        <v>80.402901098900998</v>
      </c>
      <c r="G8" s="110">
        <f t="shared" ref="G8:G20" si="4">ABS(F8)</f>
        <v>80.402901098900998</v>
      </c>
      <c r="H8" s="160">
        <f t="shared" ref="H8:H20" si="5">POWER(F8,2)</f>
        <v>6464.6265051196551</v>
      </c>
    </row>
    <row r="9" spans="1:12" x14ac:dyDescent="0.3">
      <c r="A9" s="157">
        <v>3</v>
      </c>
      <c r="B9" s="158">
        <v>902.99</v>
      </c>
      <c r="C9" s="159">
        <f t="shared" si="0"/>
        <v>837.2995164835163</v>
      </c>
      <c r="D9" s="110">
        <f t="shared" si="1"/>
        <v>-3.3833846153846325</v>
      </c>
      <c r="E9" s="159">
        <f t="shared" si="2"/>
        <v>837.2995164835163</v>
      </c>
      <c r="F9" s="159">
        <f t="shared" si="3"/>
        <v>-65.69048351648371</v>
      </c>
      <c r="G9" s="110">
        <f t="shared" si="4"/>
        <v>65.69048351648371</v>
      </c>
      <c r="H9" s="160">
        <f t="shared" si="5"/>
        <v>4315.2396246294184</v>
      </c>
    </row>
    <row r="10" spans="1:12" x14ac:dyDescent="0.3">
      <c r="A10" s="157">
        <v>4</v>
      </c>
      <c r="B10" s="158">
        <v>788</v>
      </c>
      <c r="C10" s="159">
        <f t="shared" si="0"/>
        <v>833.91613186813163</v>
      </c>
      <c r="D10" s="110">
        <f t="shared" si="1"/>
        <v>-3.3833846153846374</v>
      </c>
      <c r="E10" s="159">
        <f t="shared" si="2"/>
        <v>833.91613186813163</v>
      </c>
      <c r="F10" s="159">
        <f t="shared" si="3"/>
        <v>45.916131868131629</v>
      </c>
      <c r="G10" s="110">
        <f t="shared" si="4"/>
        <v>45.916131868131629</v>
      </c>
      <c r="H10" s="160">
        <f t="shared" si="5"/>
        <v>2108.2911657316531</v>
      </c>
    </row>
    <row r="11" spans="1:12" x14ac:dyDescent="0.3">
      <c r="A11" s="157">
        <v>5</v>
      </c>
      <c r="B11" s="158">
        <v>821.95</v>
      </c>
      <c r="C11" s="159">
        <f t="shared" si="0"/>
        <v>830.53274725274696</v>
      </c>
      <c r="D11" s="110">
        <f t="shared" si="1"/>
        <v>-3.3833846153846414</v>
      </c>
      <c r="E11" s="159">
        <f t="shared" si="2"/>
        <v>830.53274725274696</v>
      </c>
      <c r="F11" s="159">
        <f t="shared" si="3"/>
        <v>8.5827472527469126</v>
      </c>
      <c r="G11" s="110">
        <f t="shared" si="4"/>
        <v>8.5827472527469126</v>
      </c>
      <c r="H11" s="160">
        <f t="shared" si="5"/>
        <v>73.663550404534675</v>
      </c>
      <c r="K11" s="194" t="s">
        <v>111</v>
      </c>
      <c r="L11" s="2">
        <v>847.44967032967031</v>
      </c>
    </row>
    <row r="12" spans="1:12" ht="16.2" thickBot="1" x14ac:dyDescent="0.35">
      <c r="A12" s="157">
        <v>6</v>
      </c>
      <c r="B12" s="158">
        <v>794.31</v>
      </c>
      <c r="C12" s="159">
        <f t="shared" si="0"/>
        <v>827.14936263736229</v>
      </c>
      <c r="D12" s="110">
        <f t="shared" si="1"/>
        <v>-3.383384615384645</v>
      </c>
      <c r="E12" s="159">
        <f t="shared" si="2"/>
        <v>827.14936263736229</v>
      </c>
      <c r="F12" s="159">
        <f t="shared" si="3"/>
        <v>32.839362637362342</v>
      </c>
      <c r="G12" s="110">
        <f t="shared" si="4"/>
        <v>32.839362637362342</v>
      </c>
      <c r="H12" s="160">
        <f t="shared" si="5"/>
        <v>1078.4237384281898</v>
      </c>
      <c r="K12" s="193" t="s">
        <v>67</v>
      </c>
      <c r="L12" s="161">
        <v>-3.3833846153846143</v>
      </c>
    </row>
    <row r="13" spans="1:12" x14ac:dyDescent="0.3">
      <c r="A13" s="157">
        <v>7</v>
      </c>
      <c r="B13" s="158">
        <v>823.01</v>
      </c>
      <c r="C13" s="159">
        <f t="shared" si="0"/>
        <v>823.76597802197762</v>
      </c>
      <c r="D13" s="110">
        <f t="shared" si="1"/>
        <v>-3.3833846153846481</v>
      </c>
      <c r="E13" s="159">
        <f t="shared" si="2"/>
        <v>823.76597802197762</v>
      </c>
      <c r="F13" s="159">
        <f t="shared" si="3"/>
        <v>0.75597802197762576</v>
      </c>
      <c r="G13" s="110">
        <f t="shared" si="4"/>
        <v>0.75597802197762576</v>
      </c>
      <c r="H13" s="160">
        <f t="shared" si="5"/>
        <v>0.57150276971320357</v>
      </c>
    </row>
    <row r="14" spans="1:12" x14ac:dyDescent="0.3">
      <c r="A14" s="157">
        <v>8</v>
      </c>
      <c r="B14" s="158">
        <v>904.74</v>
      </c>
      <c r="C14" s="159">
        <f t="shared" si="0"/>
        <v>820.38259340659295</v>
      </c>
      <c r="D14" s="110">
        <f t="shared" si="1"/>
        <v>-3.3833846153846507</v>
      </c>
      <c r="E14" s="159">
        <f t="shared" si="2"/>
        <v>820.38259340659295</v>
      </c>
      <c r="F14" s="159">
        <f t="shared" si="3"/>
        <v>-84.357406593407063</v>
      </c>
      <c r="G14" s="110">
        <f t="shared" si="4"/>
        <v>84.357406593407063</v>
      </c>
      <c r="H14" s="160">
        <f t="shared" si="5"/>
        <v>7116.1720471653971</v>
      </c>
    </row>
    <row r="15" spans="1:12" x14ac:dyDescent="0.3">
      <c r="A15" s="157">
        <v>9</v>
      </c>
      <c r="B15" s="158">
        <v>888.11</v>
      </c>
      <c r="C15" s="159">
        <f t="shared" si="0"/>
        <v>816.99920879120828</v>
      </c>
      <c r="D15" s="110">
        <f t="shared" si="1"/>
        <v>-3.3833846153846534</v>
      </c>
      <c r="E15" s="159">
        <f t="shared" si="2"/>
        <v>816.99920879120828</v>
      </c>
      <c r="F15" s="159">
        <f t="shared" si="3"/>
        <v>-71.110791208791738</v>
      </c>
      <c r="G15" s="110">
        <f t="shared" si="4"/>
        <v>71.110791208791738</v>
      </c>
      <c r="H15" s="160">
        <f t="shared" si="5"/>
        <v>5056.7446263403726</v>
      </c>
    </row>
    <row r="16" spans="1:12" x14ac:dyDescent="0.3">
      <c r="A16" s="157">
        <v>10</v>
      </c>
      <c r="B16" s="158">
        <v>740.98</v>
      </c>
      <c r="C16" s="159">
        <f t="shared" si="0"/>
        <v>813.6158241758236</v>
      </c>
      <c r="D16" s="110">
        <f t="shared" si="1"/>
        <v>-3.3833846153846556</v>
      </c>
      <c r="E16" s="159">
        <f t="shared" si="2"/>
        <v>813.6158241758236</v>
      </c>
      <c r="F16" s="159">
        <f t="shared" si="3"/>
        <v>72.635824175823586</v>
      </c>
      <c r="G16" s="110">
        <f t="shared" si="4"/>
        <v>72.635824175823586</v>
      </c>
      <c r="H16" s="160">
        <f t="shared" si="5"/>
        <v>5275.9629537011579</v>
      </c>
    </row>
    <row r="17" spans="1:10" x14ac:dyDescent="0.3">
      <c r="A17" s="157">
        <v>11</v>
      </c>
      <c r="B17" s="158">
        <v>935</v>
      </c>
      <c r="C17" s="159">
        <f t="shared" si="0"/>
        <v>810.23243956043893</v>
      </c>
      <c r="D17" s="110">
        <f t="shared" si="1"/>
        <v>-3.3833846153846578</v>
      </c>
      <c r="E17" s="159">
        <f t="shared" si="2"/>
        <v>810.23243956043893</v>
      </c>
      <c r="F17" s="159">
        <f t="shared" si="3"/>
        <v>-124.76756043956107</v>
      </c>
      <c r="G17" s="110">
        <f t="shared" si="4"/>
        <v>124.76756043956107</v>
      </c>
      <c r="H17" s="160">
        <f t="shared" si="5"/>
        <v>15566.944138039524</v>
      </c>
    </row>
    <row r="18" spans="1:10" x14ac:dyDescent="0.3">
      <c r="A18" s="157">
        <v>12</v>
      </c>
      <c r="B18" s="158">
        <v>830</v>
      </c>
      <c r="C18" s="159">
        <f t="shared" si="0"/>
        <v>806.84905494505426</v>
      </c>
      <c r="D18" s="110">
        <f t="shared" si="1"/>
        <v>-3.3833846153846596</v>
      </c>
      <c r="E18" s="159">
        <f t="shared" si="2"/>
        <v>806.84905494505426</v>
      </c>
      <c r="F18" s="159">
        <f t="shared" si="3"/>
        <v>-23.150945054945737</v>
      </c>
      <c r="G18" s="110">
        <f t="shared" si="4"/>
        <v>23.150945054945737</v>
      </c>
      <c r="H18" s="160">
        <f t="shared" si="5"/>
        <v>535.96625693711644</v>
      </c>
    </row>
    <row r="19" spans="1:10" x14ac:dyDescent="0.3">
      <c r="A19" s="157">
        <v>13</v>
      </c>
      <c r="B19" s="158">
        <v>709.46</v>
      </c>
      <c r="C19" s="159">
        <f t="shared" si="0"/>
        <v>803.46567032966959</v>
      </c>
      <c r="D19" s="110">
        <f t="shared" si="1"/>
        <v>-3.383384615384661</v>
      </c>
      <c r="E19" s="159">
        <f t="shared" si="2"/>
        <v>803.46567032966959</v>
      </c>
      <c r="F19" s="159">
        <f t="shared" si="3"/>
        <v>94.005670329669556</v>
      </c>
      <c r="G19" s="110">
        <f t="shared" si="4"/>
        <v>94.005670329669556</v>
      </c>
      <c r="H19" s="160">
        <f t="shared" si="5"/>
        <v>8837.0660541305151</v>
      </c>
    </row>
    <row r="20" spans="1:10" x14ac:dyDescent="0.3">
      <c r="A20" s="157">
        <v>14</v>
      </c>
      <c r="B20" s="158">
        <v>754.69</v>
      </c>
      <c r="C20" s="159">
        <f>$D$2*B20+(1-$D$2)*(C19+D19)</f>
        <v>800.08228571428492</v>
      </c>
      <c r="D20" s="110">
        <f>$D$3*(C20-C19)+(1-$D$3)*D19</f>
        <v>-3.3833846153846623</v>
      </c>
      <c r="E20" s="159">
        <f t="shared" si="2"/>
        <v>800.08228571428492</v>
      </c>
      <c r="F20" s="159">
        <f>E20-B20</f>
        <v>45.392285714284867</v>
      </c>
      <c r="G20" s="110">
        <f t="shared" si="4"/>
        <v>45.392285714284867</v>
      </c>
      <c r="H20" s="160">
        <f t="shared" si="5"/>
        <v>2060.4596023672702</v>
      </c>
    </row>
    <row r="21" spans="1:10" x14ac:dyDescent="0.3">
      <c r="A21" s="157">
        <v>15</v>
      </c>
      <c r="B21" s="191"/>
      <c r="C21" s="185"/>
      <c r="D21" s="186"/>
      <c r="E21" s="159">
        <f>$C$20+(A21-$A$20)*$D$20</f>
        <v>796.69890109890025</v>
      </c>
      <c r="F21" s="185"/>
      <c r="G21" s="186"/>
      <c r="H21" s="187"/>
    </row>
    <row r="22" spans="1:10" x14ac:dyDescent="0.3">
      <c r="A22" s="157">
        <v>16</v>
      </c>
      <c r="B22" s="191"/>
      <c r="C22" s="185"/>
      <c r="D22" s="186"/>
      <c r="E22" s="159">
        <f t="shared" ref="E22" si="6">$C$20+(A22-$A$20)*$D$20</f>
        <v>793.31551648351558</v>
      </c>
      <c r="F22" s="185"/>
      <c r="G22" s="186"/>
      <c r="H22" s="187"/>
    </row>
    <row r="23" spans="1:10" ht="16.2" thickBot="1" x14ac:dyDescent="0.35">
      <c r="A23" s="157">
        <v>17</v>
      </c>
      <c r="B23" s="192"/>
      <c r="C23" s="188"/>
      <c r="D23" s="189"/>
      <c r="E23" s="159">
        <f>$C$20+(A23-$A$20)*$D$20</f>
        <v>789.93213186813091</v>
      </c>
      <c r="F23" s="188"/>
      <c r="G23" s="189"/>
      <c r="H23" s="190"/>
    </row>
    <row r="24" spans="1:10" x14ac:dyDescent="0.3">
      <c r="A24" s="3"/>
      <c r="B24" s="3"/>
      <c r="C24" s="110"/>
      <c r="D24" s="110"/>
      <c r="E24" s="110"/>
      <c r="F24" s="110"/>
      <c r="G24" s="162">
        <f>AVERAGE(G7:G20)</f>
        <v>54.361557299842943</v>
      </c>
      <c r="H24" s="184">
        <f>AVERAGE(H7:H20)</f>
        <v>4187.2370954788066</v>
      </c>
      <c r="J24" s="2">
        <v>5397.92</v>
      </c>
    </row>
    <row r="25" spans="1:10" ht="16.2" thickBot="1" x14ac:dyDescent="0.35">
      <c r="A25" s="3"/>
      <c r="B25" s="3"/>
      <c r="C25" s="110"/>
      <c r="D25" s="110"/>
      <c r="E25" s="110"/>
      <c r="F25" s="110"/>
      <c r="G25" s="163" t="s">
        <v>62</v>
      </c>
      <c r="H25" s="164" t="s">
        <v>63</v>
      </c>
    </row>
    <row r="28" spans="1:10" x14ac:dyDescent="0.3">
      <c r="A28" s="2" t="s">
        <v>112</v>
      </c>
    </row>
    <row r="29" spans="1:10" ht="16.2" thickBot="1" x14ac:dyDescent="0.35"/>
    <row r="30" spans="1:10" x14ac:dyDescent="0.3">
      <c r="A30" s="165" t="s">
        <v>113</v>
      </c>
      <c r="B30" s="165"/>
    </row>
    <row r="31" spans="1:10" x14ac:dyDescent="0.3">
      <c r="A31" s="2" t="s">
        <v>114</v>
      </c>
      <c r="B31" s="2">
        <v>0.20624129325250962</v>
      </c>
    </row>
    <row r="32" spans="1:10" x14ac:dyDescent="0.3">
      <c r="A32" s="2" t="s">
        <v>115</v>
      </c>
      <c r="B32" s="2">
        <v>4.2535471042467667E-2</v>
      </c>
    </row>
    <row r="33" spans="1:9" x14ac:dyDescent="0.3">
      <c r="A33" s="2" t="s">
        <v>116</v>
      </c>
      <c r="B33" s="2">
        <v>-3.7253239703993357E-2</v>
      </c>
    </row>
    <row r="34" spans="1:9" x14ac:dyDescent="0.3">
      <c r="A34" s="2" t="s">
        <v>117</v>
      </c>
      <c r="B34" s="2">
        <v>69.893561539853408</v>
      </c>
    </row>
    <row r="35" spans="1:9" ht="16.2" thickBot="1" x14ac:dyDescent="0.35">
      <c r="A35" s="161" t="s">
        <v>118</v>
      </c>
      <c r="B35" s="161">
        <v>14</v>
      </c>
    </row>
    <row r="37" spans="1:9" ht="16.2" thickBot="1" x14ac:dyDescent="0.35">
      <c r="A37" s="2" t="s">
        <v>65</v>
      </c>
    </row>
    <row r="38" spans="1:9" x14ac:dyDescent="0.3">
      <c r="A38" s="166"/>
      <c r="B38" s="166" t="s">
        <v>119</v>
      </c>
      <c r="C38" s="166" t="s">
        <v>120</v>
      </c>
      <c r="D38" s="166" t="s">
        <v>121</v>
      </c>
      <c r="E38" s="166" t="s">
        <v>122</v>
      </c>
      <c r="F38" s="166" t="s">
        <v>123</v>
      </c>
    </row>
    <row r="39" spans="1:9" x14ac:dyDescent="0.3">
      <c r="A39" s="2" t="s">
        <v>66</v>
      </c>
      <c r="B39" s="2">
        <v>1</v>
      </c>
      <c r="C39" s="2">
        <v>2604.2588061538409</v>
      </c>
      <c r="D39" s="2">
        <v>2604.2588061538409</v>
      </c>
      <c r="E39" s="2">
        <v>0.53310137041353678</v>
      </c>
      <c r="F39" s="2">
        <v>0.47931788398875153</v>
      </c>
    </row>
    <row r="40" spans="1:9" x14ac:dyDescent="0.3">
      <c r="A40" s="2" t="s">
        <v>124</v>
      </c>
      <c r="B40" s="2">
        <v>12</v>
      </c>
      <c r="C40" s="2">
        <v>58621.319336703295</v>
      </c>
      <c r="D40" s="2">
        <v>4885.1099447252745</v>
      </c>
    </row>
    <row r="41" spans="1:9" ht="16.2" thickBot="1" x14ac:dyDescent="0.35">
      <c r="A41" s="161" t="s">
        <v>125</v>
      </c>
      <c r="B41" s="161">
        <v>13</v>
      </c>
      <c r="C41" s="161">
        <v>61225.578142857135</v>
      </c>
      <c r="D41" s="161"/>
      <c r="E41" s="161"/>
      <c r="F41" s="161"/>
    </row>
    <row r="42" spans="1:9" ht="16.2" thickBot="1" x14ac:dyDescent="0.35"/>
    <row r="43" spans="1:9" x14ac:dyDescent="0.3">
      <c r="A43" s="166"/>
      <c r="B43" s="166" t="s">
        <v>126</v>
      </c>
      <c r="C43" s="166" t="s">
        <v>117</v>
      </c>
      <c r="D43" s="166" t="s">
        <v>127</v>
      </c>
      <c r="E43" s="166" t="s">
        <v>128</v>
      </c>
      <c r="F43" s="166" t="s">
        <v>129</v>
      </c>
      <c r="G43" s="166" t="s">
        <v>130</v>
      </c>
      <c r="H43" s="166" t="s">
        <v>131</v>
      </c>
      <c r="I43" s="166" t="s">
        <v>132</v>
      </c>
    </row>
    <row r="44" spans="1:9" x14ac:dyDescent="0.3">
      <c r="A44" s="2" t="s">
        <v>111</v>
      </c>
      <c r="B44" s="2">
        <v>847.44967032967031</v>
      </c>
      <c r="C44" s="2">
        <v>39.4562197769664</v>
      </c>
      <c r="D44" s="2">
        <v>21.478227643703242</v>
      </c>
      <c r="E44" s="2">
        <v>6.0572364930051325E-11</v>
      </c>
      <c r="F44" s="2">
        <v>761.48195246944613</v>
      </c>
      <c r="G44" s="2">
        <v>933.4173881898945</v>
      </c>
      <c r="H44" s="2">
        <v>761.48195246944613</v>
      </c>
      <c r="I44" s="2">
        <v>933.4173881898945</v>
      </c>
    </row>
    <row r="45" spans="1:9" ht="16.2" thickBot="1" x14ac:dyDescent="0.35">
      <c r="A45" s="161" t="s">
        <v>67</v>
      </c>
      <c r="B45" s="161">
        <v>-3.3833846153846143</v>
      </c>
      <c r="C45" s="161">
        <v>4.6338980077301191</v>
      </c>
      <c r="D45" s="161">
        <v>-0.73013791191359012</v>
      </c>
      <c r="E45" s="161">
        <v>0.47931788398875119</v>
      </c>
      <c r="F45" s="161">
        <v>-13.479781045996408</v>
      </c>
      <c r="G45" s="161">
        <v>6.7130118152271798</v>
      </c>
      <c r="H45" s="161">
        <v>-13.479781045996408</v>
      </c>
      <c r="I45" s="161">
        <v>6.7130118152271798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51F2-444B-4006-A2CA-20A6BABC9C44}">
  <dimension ref="A1:L49"/>
  <sheetViews>
    <sheetView tabSelected="1" zoomScale="80" zoomScaleNormal="80" workbookViewId="0">
      <selection activeCell="B2" sqref="B2"/>
    </sheetView>
  </sheetViews>
  <sheetFormatPr defaultColWidth="12.44140625" defaultRowHeight="15.6" x14ac:dyDescent="0.3"/>
  <cols>
    <col min="1" max="2" width="12.44140625" style="2"/>
    <col min="3" max="3" width="16.33203125" style="2" customWidth="1"/>
    <col min="4" max="16384" width="12.44140625" style="2"/>
  </cols>
  <sheetData>
    <row r="1" spans="1:12" x14ac:dyDescent="0.3">
      <c r="A1" s="234"/>
    </row>
    <row r="3" spans="1:12" ht="16.2" thickBot="1" x14ac:dyDescent="0.35">
      <c r="A3" s="233" t="s">
        <v>140</v>
      </c>
      <c r="E3" s="2" t="s">
        <v>105</v>
      </c>
      <c r="F3" s="2">
        <v>796.0339583333332</v>
      </c>
    </row>
    <row r="4" spans="1:12" ht="16.2" thickBot="1" x14ac:dyDescent="0.35">
      <c r="A4" s="149" t="s">
        <v>101</v>
      </c>
      <c r="B4" s="150">
        <v>0</v>
      </c>
      <c r="E4" s="161" t="s">
        <v>106</v>
      </c>
      <c r="F4" s="161">
        <v>6.0814583333333401</v>
      </c>
    </row>
    <row r="5" spans="1:12" x14ac:dyDescent="0.3">
      <c r="A5" s="232" t="s">
        <v>139</v>
      </c>
      <c r="B5" s="231">
        <v>0.12443243454751651</v>
      </c>
    </row>
    <row r="6" spans="1:12" ht="16.2" thickBot="1" x14ac:dyDescent="0.35">
      <c r="A6" s="151" t="s">
        <v>138</v>
      </c>
      <c r="B6" s="152">
        <v>0</v>
      </c>
    </row>
    <row r="8" spans="1:12" ht="16.2" thickBot="1" x14ac:dyDescent="0.35"/>
    <row r="9" spans="1:12" ht="47.4" thickBot="1" x14ac:dyDescent="0.35">
      <c r="A9" s="224" t="s">
        <v>103</v>
      </c>
      <c r="B9" s="230" t="s">
        <v>104</v>
      </c>
      <c r="C9" s="229" t="s">
        <v>137</v>
      </c>
      <c r="D9" s="228" t="s">
        <v>136</v>
      </c>
      <c r="E9" s="227" t="s">
        <v>135</v>
      </c>
      <c r="F9" s="226" t="s">
        <v>134</v>
      </c>
      <c r="G9" s="225" t="s">
        <v>105</v>
      </c>
      <c r="H9" s="223" t="s">
        <v>106</v>
      </c>
      <c r="I9" s="222" t="s">
        <v>107</v>
      </c>
      <c r="J9" s="224" t="s">
        <v>108</v>
      </c>
      <c r="K9" s="223" t="s">
        <v>109</v>
      </c>
      <c r="L9" s="222" t="s">
        <v>110</v>
      </c>
    </row>
    <row r="10" spans="1:12" x14ac:dyDescent="0.3">
      <c r="A10" s="157">
        <v>0</v>
      </c>
      <c r="B10" s="213"/>
      <c r="C10" s="207"/>
      <c r="D10" s="209"/>
      <c r="E10" s="212"/>
      <c r="F10" s="221"/>
      <c r="G10" s="210">
        <f>F3</f>
        <v>796.0339583333332</v>
      </c>
      <c r="H10" s="209">
        <f>F4</f>
        <v>6.0814583333333401</v>
      </c>
      <c r="I10" s="212"/>
      <c r="J10" s="216"/>
      <c r="K10" s="220"/>
      <c r="L10" s="214"/>
    </row>
    <row r="11" spans="1:12" x14ac:dyDescent="0.3">
      <c r="A11" s="157">
        <v>1</v>
      </c>
      <c r="B11" s="158">
        <v>855.52</v>
      </c>
      <c r="C11" s="207"/>
      <c r="D11" s="110">
        <f>$F$3+$F$4*A11</f>
        <v>802.11541666666653</v>
      </c>
      <c r="E11" s="160">
        <f>B11/D11</f>
        <v>1.0665796744753588</v>
      </c>
      <c r="F11" s="211">
        <f>AVERAGE(E11,E15,E19)</f>
        <v>1.0350128201801647</v>
      </c>
      <c r="G11" s="111">
        <f>$B$4*(B11/F11)+(1-$B$4)*(G10+H10)</f>
        <v>802.11541666666653</v>
      </c>
      <c r="H11" s="110">
        <f>$B$5*(G11-G10)+(1-$B$5)*H10</f>
        <v>6.0814583333333383</v>
      </c>
      <c r="I11" s="160">
        <f>(G10+H10)*F11</f>
        <v>830.19973951415443</v>
      </c>
      <c r="J11" s="219">
        <f>I11-B11</f>
        <v>-25.320260485845552</v>
      </c>
      <c r="K11" s="218">
        <f>ABS(J11)</f>
        <v>25.320260485845552</v>
      </c>
      <c r="L11" s="217">
        <f>POWER(J11,2)</f>
        <v>641.11559107107166</v>
      </c>
    </row>
    <row r="12" spans="1:12" x14ac:dyDescent="0.3">
      <c r="A12" s="157">
        <v>2</v>
      </c>
      <c r="B12" s="158">
        <v>760.28</v>
      </c>
      <c r="C12" s="207"/>
      <c r="D12" s="110">
        <f>$F$3+$F$4*A12</f>
        <v>808.19687499999986</v>
      </c>
      <c r="E12" s="160">
        <f>B12/D12</f>
        <v>0.94071138297831214</v>
      </c>
      <c r="F12" s="211">
        <f>AVERAGE(E12,E16,E20)</f>
        <v>0.91986169538280649</v>
      </c>
      <c r="G12" s="111">
        <f>$B$4*(B12/F12)+(1-$B$4)*(G11+H11)</f>
        <v>808.19687499999986</v>
      </c>
      <c r="H12" s="110">
        <f>$B$5*(G12-G11)+(1-$B$5)*H11</f>
        <v>6.0814583333333374</v>
      </c>
      <c r="I12" s="160">
        <f>(G11+H11)*F12</f>
        <v>743.429347640586</v>
      </c>
      <c r="J12" s="219">
        <f>I12-B12</f>
        <v>-16.850652359413971</v>
      </c>
      <c r="K12" s="218">
        <f>ABS(J12)</f>
        <v>16.850652359413971</v>
      </c>
      <c r="L12" s="217">
        <f>POWER(J12,2)</f>
        <v>283.94448493782363</v>
      </c>
    </row>
    <row r="13" spans="1:12" x14ac:dyDescent="0.3">
      <c r="A13" s="157">
        <v>3</v>
      </c>
      <c r="B13" s="158">
        <v>902.99</v>
      </c>
      <c r="C13" s="159">
        <f>(B11+B15+2*B12+2*B13+2*B14)/(2*4)</f>
        <v>822.50125000000003</v>
      </c>
      <c r="D13" s="110">
        <f>$F$3+$F$4*A13</f>
        <v>814.27833333333319</v>
      </c>
      <c r="E13" s="160">
        <f>B13/D13</f>
        <v>1.1089451395612067</v>
      </c>
      <c r="F13" s="211">
        <f>AVERAGE(E13,E17,E21)</f>
        <v>1.0579558459350469</v>
      </c>
      <c r="G13" s="111">
        <f>$B$4*(B13/F13)+(1-$B$4)*(G12+H12)</f>
        <v>814.27833333333319</v>
      </c>
      <c r="H13" s="110">
        <f>$B$5*(G13-G12)+(1-$B$5)*H12</f>
        <v>6.0814583333333365</v>
      </c>
      <c r="I13" s="160">
        <f>(G12+H12)*F13</f>
        <v>861.47052296824666</v>
      </c>
      <c r="J13" s="219">
        <f>I13-B13</f>
        <v>-41.519477031753354</v>
      </c>
      <c r="K13" s="218">
        <f>ABS(J13)</f>
        <v>41.519477031753354</v>
      </c>
      <c r="L13" s="217">
        <f>POWER(J13,2)</f>
        <v>1723.8669729902942</v>
      </c>
    </row>
    <row r="14" spans="1:12" x14ac:dyDescent="0.3">
      <c r="A14" s="157">
        <v>4</v>
      </c>
      <c r="B14" s="158">
        <v>788</v>
      </c>
      <c r="C14" s="159">
        <f>(B12+B16+2*B13+2*B14+2*B15)/(2*4)</f>
        <v>822.55874999999992</v>
      </c>
      <c r="D14" s="110">
        <f>$F$3+$F$4*A14</f>
        <v>820.35979166666652</v>
      </c>
      <c r="E14" s="160">
        <f>B14/D14</f>
        <v>0.96055414710059905</v>
      </c>
      <c r="F14" s="211">
        <f>AVERAGE(E14,E18,E22)</f>
        <v>0.995586366369415</v>
      </c>
      <c r="G14" s="111">
        <f>$B$4*(B14/F14)+(1-$B$4)*(G13+H13)</f>
        <v>820.35979166666652</v>
      </c>
      <c r="H14" s="110">
        <f>$B$5*(G14-G13)+(1-$B$5)*H13</f>
        <v>6.0814583333333356</v>
      </c>
      <c r="I14" s="160">
        <f>(G13+H13)*F14</f>
        <v>816.73902410098685</v>
      </c>
      <c r="J14" s="219">
        <f>I14-B14</f>
        <v>28.739024100986853</v>
      </c>
      <c r="K14" s="218">
        <f>ABS(J14)</f>
        <v>28.739024100986853</v>
      </c>
      <c r="L14" s="217">
        <f>POWER(J14,2)</f>
        <v>825.93150627710315</v>
      </c>
    </row>
    <row r="15" spans="1:12" x14ac:dyDescent="0.3">
      <c r="A15" s="157">
        <v>5</v>
      </c>
      <c r="B15" s="158">
        <v>821.95</v>
      </c>
      <c r="C15" s="159">
        <f>(B13+B17+2*B14+2*B15+2*B16)/(2*4)</f>
        <v>816.81499999999994</v>
      </c>
      <c r="D15" s="110">
        <f>$F$3+$F$4*A15</f>
        <v>826.44124999999985</v>
      </c>
      <c r="E15" s="160">
        <f>B15/D15</f>
        <v>0.9945655544178128</v>
      </c>
      <c r="F15" s="211">
        <f>$B$6*(B11/G11)+(1-$B$6)*F11</f>
        <v>1.0350128201801647</v>
      </c>
      <c r="G15" s="111">
        <f>$B$4*(B15/F15)+(1-$B$4)*(G14+H14)</f>
        <v>826.44124999999985</v>
      </c>
      <c r="H15" s="110">
        <f>$B$5*(G15-G14)+(1-$B$5)*H14</f>
        <v>6.0814583333333347</v>
      </c>
      <c r="I15" s="160">
        <f>(G14+H14)*F15</f>
        <v>855.37728887572041</v>
      </c>
      <c r="J15" s="219">
        <f>I15-B15</f>
        <v>33.427288875720365</v>
      </c>
      <c r="K15" s="218">
        <f>ABS(J15)</f>
        <v>33.427288875720365</v>
      </c>
      <c r="L15" s="217">
        <f>POWER(J15,2)</f>
        <v>1117.3836415808585</v>
      </c>
    </row>
    <row r="16" spans="1:12" x14ac:dyDescent="0.3">
      <c r="A16" s="157">
        <v>6</v>
      </c>
      <c r="B16" s="158">
        <v>794.31</v>
      </c>
      <c r="C16" s="159">
        <f>(B14+B18+2*B15+2*B16+2*B17)/(2*4)</f>
        <v>821.41000000000008</v>
      </c>
      <c r="D16" s="110">
        <f>$F$3+$F$4*A16</f>
        <v>832.52270833333318</v>
      </c>
      <c r="E16" s="160">
        <f>B16/D16</f>
        <v>0.95410010087312447</v>
      </c>
      <c r="F16" s="211">
        <f>$B$6*(B12/G12)+(1-$B$6)*F12</f>
        <v>0.91986169538280649</v>
      </c>
      <c r="G16" s="111">
        <f>$B$4*(B16/F16)+(1-$B$4)*(G15+H15)</f>
        <v>832.52270833333318</v>
      </c>
      <c r="H16" s="110">
        <f>$B$5*(G16-G15)+(1-$B$5)*H15</f>
        <v>6.0814583333333339</v>
      </c>
      <c r="I16" s="160">
        <f>(G15+H15)*F16</f>
        <v>765.80574993218556</v>
      </c>
      <c r="J16" s="219">
        <f>I16-B16</f>
        <v>-28.504250067814382</v>
      </c>
      <c r="K16" s="218">
        <f>ABS(J16)</f>
        <v>28.504250067814382</v>
      </c>
      <c r="L16" s="217">
        <f>POWER(J16,2)</f>
        <v>812.49227192849628</v>
      </c>
    </row>
    <row r="17" spans="1:12" x14ac:dyDescent="0.3">
      <c r="A17" s="157">
        <v>7</v>
      </c>
      <c r="B17" s="158">
        <v>823.01</v>
      </c>
      <c r="C17" s="159">
        <f>(B15+B19+2*B16+2*B17+2*B18)/(2*4)</f>
        <v>844.27250000000004</v>
      </c>
      <c r="D17" s="110">
        <f>$F$3+$F$4*A17</f>
        <v>838.60416666666663</v>
      </c>
      <c r="E17" s="160">
        <f>B17/D17</f>
        <v>0.98140461580503324</v>
      </c>
      <c r="F17" s="211">
        <f>$B$6*(B13/G13)+(1-$B$6)*F13</f>
        <v>1.0579558459350469</v>
      </c>
      <c r="G17" s="111">
        <f>$B$4*(B17/F17)+(1-$B$4)*(G16+H16)</f>
        <v>838.60416666666652</v>
      </c>
      <c r="H17" s="110">
        <f>$B$5*(G17-G16)+(1-$B$5)*H16</f>
        <v>6.081458333333333</v>
      </c>
      <c r="I17" s="160">
        <f>(G16+H16)*F17</f>
        <v>887.20618055048817</v>
      </c>
      <c r="J17" s="219">
        <f>I17-B17</f>
        <v>64.19618055048818</v>
      </c>
      <c r="K17" s="218">
        <f>ABS(J17)</f>
        <v>64.19618055048818</v>
      </c>
      <c r="L17" s="217">
        <f>POWER(J17,2)</f>
        <v>4121.1495972708772</v>
      </c>
    </row>
    <row r="18" spans="1:12" x14ac:dyDescent="0.3">
      <c r="A18" s="157">
        <v>8</v>
      </c>
      <c r="B18" s="158">
        <v>904.74</v>
      </c>
      <c r="C18" s="159">
        <f>(B16+B20+2*B17+2*B18+2*B19)/(2*4)</f>
        <v>845.87625000000003</v>
      </c>
      <c r="D18" s="110">
        <f>$F$3+$F$4*A18</f>
        <v>844.68562499999996</v>
      </c>
      <c r="E18" s="160">
        <f>B18/D18</f>
        <v>1.0710967171958208</v>
      </c>
      <c r="F18" s="211">
        <f>$B$6*(B14/G14)+(1-$B$6)*F14</f>
        <v>0.995586366369415</v>
      </c>
      <c r="G18" s="111">
        <f>$B$4*(B18/F18)+(1-$B$4)*(G17+H17)</f>
        <v>844.68562499999985</v>
      </c>
      <c r="H18" s="110">
        <f>$B$5*(G18-G17)+(1-$B$5)*H17</f>
        <v>6.0814583333333321</v>
      </c>
      <c r="I18" s="160">
        <f>(G17+H17)*F18</f>
        <v>840.95749211822817</v>
      </c>
      <c r="J18" s="219">
        <f>I18-B18</f>
        <v>-63.782507881771835</v>
      </c>
      <c r="K18" s="218">
        <f>ABS(J18)</f>
        <v>63.782507881771835</v>
      </c>
      <c r="L18" s="217">
        <f>POWER(J18,2)</f>
        <v>4068.2083116882864</v>
      </c>
    </row>
    <row r="19" spans="1:12" x14ac:dyDescent="0.3">
      <c r="A19" s="157">
        <v>9</v>
      </c>
      <c r="B19" s="158">
        <v>888.11</v>
      </c>
      <c r="C19" s="159">
        <f>(B17+B21+2*B18+2*B19+2*B20)/(2*4)</f>
        <v>853.20875000000001</v>
      </c>
      <c r="D19" s="110">
        <f>$F$3+$F$4*A19</f>
        <v>850.76708333333329</v>
      </c>
      <c r="E19" s="160">
        <f>B19/D19</f>
        <v>1.0438932316473222</v>
      </c>
      <c r="F19" s="211">
        <f>$B$6*(B15/G15)+(1-$B$6)*F15</f>
        <v>1.0350128201801647</v>
      </c>
      <c r="G19" s="111">
        <f>$B$4*(B19/F19)+(1-$B$4)*(G18+H18)</f>
        <v>850.76708333333318</v>
      </c>
      <c r="H19" s="110">
        <f>$B$5*(G19-G18)+(1-$B$5)*H18</f>
        <v>6.0814583333333321</v>
      </c>
      <c r="I19" s="160">
        <f>(G18+H18)*F19</f>
        <v>880.55483823728639</v>
      </c>
      <c r="J19" s="219">
        <f>I19-B19</f>
        <v>-7.5551617627136238</v>
      </c>
      <c r="K19" s="218">
        <f>ABS(J19)</f>
        <v>7.5551617627136238</v>
      </c>
      <c r="L19" s="217">
        <f>POWER(J19,2)</f>
        <v>57.08046926077003</v>
      </c>
    </row>
    <row r="20" spans="1:12" x14ac:dyDescent="0.3">
      <c r="A20" s="157">
        <v>10</v>
      </c>
      <c r="B20" s="158">
        <v>740.98</v>
      </c>
      <c r="C20" s="159">
        <f>(B18+B22+2*B19+2*B20+2*B21)/(2*4)</f>
        <v>857.86500000000001</v>
      </c>
      <c r="D20" s="110">
        <f>$F$3+$F$4*A20</f>
        <v>856.84854166666662</v>
      </c>
      <c r="E20" s="160">
        <f>B20/D20</f>
        <v>0.86477360229698319</v>
      </c>
      <c r="F20" s="211">
        <f>$B$6*(B16/G16)+(1-$B$6)*F16</f>
        <v>0.91986169538280649</v>
      </c>
      <c r="G20" s="111">
        <f>$B$4*(B20/F20)+(1-$B$4)*(G19+H19)</f>
        <v>856.84854166666651</v>
      </c>
      <c r="H20" s="110">
        <f>$B$5*(G20-G19)+(1-$B$5)*H19</f>
        <v>6.0814583333333321</v>
      </c>
      <c r="I20" s="160">
        <f>(G19+H19)*F20</f>
        <v>788.18215222378512</v>
      </c>
      <c r="J20" s="219">
        <f>I20-B20</f>
        <v>47.202152223785106</v>
      </c>
      <c r="K20" s="218">
        <f>ABS(J20)</f>
        <v>47.202152223785106</v>
      </c>
      <c r="L20" s="217">
        <f>POWER(J20,2)</f>
        <v>2228.043174557381</v>
      </c>
    </row>
    <row r="21" spans="1:12" x14ac:dyDescent="0.3">
      <c r="A21" s="157">
        <v>11</v>
      </c>
      <c r="B21" s="158">
        <v>935</v>
      </c>
      <c r="C21" s="207"/>
      <c r="D21" s="110">
        <f>$F$3+$F$4*A21</f>
        <v>862.93</v>
      </c>
      <c r="E21" s="160">
        <f>B21/D21</f>
        <v>1.0835177824389002</v>
      </c>
      <c r="F21" s="211">
        <f>$B$6*(B17/G17)+(1-$B$6)*F17</f>
        <v>1.0579558459350469</v>
      </c>
      <c r="G21" s="111">
        <f>$B$4*(B21/F21)+(1-$B$4)*(G20+H20)</f>
        <v>862.92999999999984</v>
      </c>
      <c r="H21" s="110">
        <f>$B$5*(G21-G20)+(1-$B$5)*H20</f>
        <v>6.0814583333333321</v>
      </c>
      <c r="I21" s="160">
        <f>(G20+H20)*F21</f>
        <v>912.9418381327298</v>
      </c>
      <c r="J21" s="219">
        <f>I21-B21</f>
        <v>-22.058161867270201</v>
      </c>
      <c r="K21" s="218">
        <f>ABS(J21)</f>
        <v>22.058161867270201</v>
      </c>
      <c r="L21" s="217">
        <f>POWER(J21,2)</f>
        <v>486.5625049626932</v>
      </c>
    </row>
    <row r="22" spans="1:12" x14ac:dyDescent="0.3">
      <c r="A22" s="157">
        <v>12</v>
      </c>
      <c r="B22" s="158">
        <v>830</v>
      </c>
      <c r="C22" s="207"/>
      <c r="D22" s="110">
        <f>$F$3+$F$4*A22</f>
        <v>869.01145833333328</v>
      </c>
      <c r="E22" s="160">
        <f>B22/D22</f>
        <v>0.95510823481182527</v>
      </c>
      <c r="F22" s="211">
        <f>$B$6*(B18/G18)+(1-$B$6)*F18</f>
        <v>0.995586366369415</v>
      </c>
      <c r="G22" s="111">
        <f>$B$4*(B22/F22)+(1-$B$4)*(G21+H21)</f>
        <v>869.01145833333317</v>
      </c>
      <c r="H22" s="110">
        <f>$B$5*(G22-G21)+(1-$B$5)*H21</f>
        <v>6.0814583333333321</v>
      </c>
      <c r="I22" s="160">
        <f>(G21+H21)*F22</f>
        <v>865.1759601354695</v>
      </c>
      <c r="J22" s="219">
        <f>I22-B22</f>
        <v>35.175960135469495</v>
      </c>
      <c r="K22" s="218">
        <f>ABS(J22)</f>
        <v>35.175960135469495</v>
      </c>
      <c r="L22" s="217">
        <f>POWER(J22,2)</f>
        <v>1237.348171452139</v>
      </c>
    </row>
    <row r="23" spans="1:12" x14ac:dyDescent="0.3">
      <c r="A23" s="157">
        <v>13</v>
      </c>
      <c r="B23" s="213"/>
      <c r="C23" s="207"/>
      <c r="D23" s="209"/>
      <c r="E23" s="212"/>
      <c r="F23" s="211">
        <f>$B$6*(B19/G19)+(1-$B$6)*F19</f>
        <v>1.0350128201801647</v>
      </c>
      <c r="G23" s="210"/>
      <c r="H23" s="209"/>
      <c r="I23" s="160">
        <f>($G$22+(A23-$A$22)*$H$22)*F23</f>
        <v>905.73238759885237</v>
      </c>
      <c r="J23" s="216"/>
      <c r="K23" s="215"/>
      <c r="L23" s="214"/>
    </row>
    <row r="24" spans="1:12" x14ac:dyDescent="0.3">
      <c r="A24" s="157">
        <v>14</v>
      </c>
      <c r="B24" s="213"/>
      <c r="C24" s="207"/>
      <c r="D24" s="209"/>
      <c r="E24" s="212"/>
      <c r="F24" s="211">
        <f>$B$6*(B20/G20)+(1-$B$6)*F20</f>
        <v>0.91986169538280649</v>
      </c>
      <c r="G24" s="210"/>
      <c r="H24" s="209"/>
      <c r="I24" s="160">
        <f>($G$22+(A24-$A$22)*$H$22)*F24</f>
        <v>810.55855451538469</v>
      </c>
      <c r="J24" s="216"/>
      <c r="K24" s="215"/>
      <c r="L24" s="214"/>
    </row>
    <row r="25" spans="1:12" x14ac:dyDescent="0.3">
      <c r="A25" s="157">
        <v>15</v>
      </c>
      <c r="B25" s="213"/>
      <c r="C25" s="207"/>
      <c r="D25" s="209"/>
      <c r="E25" s="212"/>
      <c r="F25" s="211">
        <f>$B$6*(B21/G21)+(1-$B$6)*F21</f>
        <v>1.0579558459350469</v>
      </c>
      <c r="G25" s="210"/>
      <c r="H25" s="209"/>
      <c r="I25" s="160">
        <f>($G$22+(A25-$A$22)*$H$22)*F25</f>
        <v>938.67749571497143</v>
      </c>
      <c r="J25" s="208"/>
      <c r="K25" s="207"/>
      <c r="L25" s="206"/>
    </row>
    <row r="26" spans="1:12" ht="16.2" thickBot="1" x14ac:dyDescent="0.35">
      <c r="A26" s="205">
        <v>16</v>
      </c>
      <c r="B26" s="204"/>
      <c r="C26" s="197"/>
      <c r="D26" s="200"/>
      <c r="E26" s="203"/>
      <c r="F26" s="202">
        <f>$B$6*(B22/G22)+(1-$B$6)*F22</f>
        <v>0.995586366369415</v>
      </c>
      <c r="G26" s="201"/>
      <c r="H26" s="200"/>
      <c r="I26" s="199">
        <f>($G$22+(A26-$A$22)*$H$22)*F26</f>
        <v>889.39442815271082</v>
      </c>
      <c r="J26" s="198"/>
      <c r="K26" s="197"/>
      <c r="L26" s="196"/>
    </row>
    <row r="27" spans="1:12" x14ac:dyDescent="0.3">
      <c r="A27" s="3"/>
      <c r="B27" s="3"/>
      <c r="C27" s="110"/>
      <c r="D27" s="110"/>
      <c r="E27" s="110"/>
      <c r="F27" s="110"/>
      <c r="G27" s="110"/>
      <c r="K27" s="162">
        <f>AVERAGE(K11:K22)</f>
        <v>34.527589778586076</v>
      </c>
      <c r="L27" s="112">
        <f>AVERAGE(L11:L22)</f>
        <v>1466.9272248314828</v>
      </c>
    </row>
    <row r="28" spans="1:12" ht="16.2" thickBot="1" x14ac:dyDescent="0.35">
      <c r="A28" s="3"/>
      <c r="B28" s="3"/>
      <c r="C28" s="110"/>
      <c r="D28" s="110"/>
      <c r="E28" s="110"/>
      <c r="F28" s="110"/>
      <c r="G28" s="110"/>
      <c r="K28" s="163" t="s">
        <v>62</v>
      </c>
      <c r="L28" s="164" t="s">
        <v>63</v>
      </c>
    </row>
    <row r="31" spans="1:12" x14ac:dyDescent="0.3">
      <c r="K31" s="195" t="s">
        <v>133</v>
      </c>
      <c r="L31" s="195"/>
    </row>
    <row r="32" spans="1:12" x14ac:dyDescent="0.3">
      <c r="A32" s="2" t="s">
        <v>112</v>
      </c>
    </row>
    <row r="33" spans="1:9" ht="16.2" thickBot="1" x14ac:dyDescent="0.35"/>
    <row r="34" spans="1:9" x14ac:dyDescent="0.3">
      <c r="A34" s="165" t="s">
        <v>113</v>
      </c>
      <c r="B34" s="165"/>
    </row>
    <row r="35" spans="1:9" x14ac:dyDescent="0.3">
      <c r="A35" s="2" t="s">
        <v>114</v>
      </c>
      <c r="B35" s="2">
        <v>0.90837803391435634</v>
      </c>
    </row>
    <row r="36" spans="1:9" x14ac:dyDescent="0.3">
      <c r="A36" s="2" t="s">
        <v>115</v>
      </c>
      <c r="B36" s="2">
        <v>0.82515065249811148</v>
      </c>
    </row>
    <row r="37" spans="1:9" x14ac:dyDescent="0.3">
      <c r="A37" s="2" t="s">
        <v>116</v>
      </c>
      <c r="B37" s="2">
        <v>0.79600909458113012</v>
      </c>
    </row>
    <row r="38" spans="1:9" x14ac:dyDescent="0.3">
      <c r="A38" s="2" t="s">
        <v>117</v>
      </c>
      <c r="B38" s="2">
        <v>7.4066554096730384</v>
      </c>
    </row>
    <row r="39" spans="1:9" ht="16.2" thickBot="1" x14ac:dyDescent="0.35">
      <c r="A39" s="161" t="s">
        <v>118</v>
      </c>
      <c r="B39" s="161">
        <v>8</v>
      </c>
    </row>
    <row r="41" spans="1:9" ht="16.2" thickBot="1" x14ac:dyDescent="0.35">
      <c r="A41" s="2" t="s">
        <v>65</v>
      </c>
    </row>
    <row r="42" spans="1:9" x14ac:dyDescent="0.3">
      <c r="A42" s="166"/>
      <c r="B42" s="166" t="s">
        <v>119</v>
      </c>
      <c r="C42" s="166" t="s">
        <v>120</v>
      </c>
      <c r="D42" s="166" t="s">
        <v>121</v>
      </c>
      <c r="E42" s="166" t="s">
        <v>122</v>
      </c>
      <c r="F42" s="166" t="s">
        <v>123</v>
      </c>
    </row>
    <row r="43" spans="1:9" x14ac:dyDescent="0.3">
      <c r="A43" s="2" t="s">
        <v>66</v>
      </c>
      <c r="B43" s="2">
        <v>1</v>
      </c>
      <c r="C43" s="2">
        <v>1553.33368932292</v>
      </c>
      <c r="D43" s="2">
        <v>1553.33368932292</v>
      </c>
      <c r="E43" s="2">
        <v>28.315255308202925</v>
      </c>
      <c r="F43" s="2">
        <v>1.7931126000366837E-3</v>
      </c>
    </row>
    <row r="44" spans="1:9" x14ac:dyDescent="0.3">
      <c r="A44" s="2" t="s">
        <v>124</v>
      </c>
      <c r="B44" s="2">
        <v>6</v>
      </c>
      <c r="C44" s="2">
        <v>329.15126614583329</v>
      </c>
      <c r="D44" s="2">
        <v>54.858544357638884</v>
      </c>
    </row>
    <row r="45" spans="1:9" ht="16.2" thickBot="1" x14ac:dyDescent="0.35">
      <c r="A45" s="161" t="s">
        <v>125</v>
      </c>
      <c r="B45" s="161">
        <v>7</v>
      </c>
      <c r="C45" s="161">
        <v>1882.4849554687532</v>
      </c>
      <c r="D45" s="161"/>
      <c r="E45" s="161"/>
      <c r="F45" s="161"/>
    </row>
    <row r="46" spans="1:9" ht="16.2" thickBot="1" x14ac:dyDescent="0.35"/>
    <row r="47" spans="1:9" x14ac:dyDescent="0.3">
      <c r="A47" s="166"/>
      <c r="B47" s="166" t="s">
        <v>126</v>
      </c>
      <c r="C47" s="166" t="s">
        <v>117</v>
      </c>
      <c r="D47" s="166" t="s">
        <v>127</v>
      </c>
      <c r="E47" s="166" t="s">
        <v>128</v>
      </c>
      <c r="F47" s="166" t="s">
        <v>129</v>
      </c>
      <c r="G47" s="166" t="s">
        <v>130</v>
      </c>
      <c r="H47" s="166" t="s">
        <v>131</v>
      </c>
      <c r="I47" s="166" t="s">
        <v>132</v>
      </c>
    </row>
    <row r="48" spans="1:9" x14ac:dyDescent="0.3">
      <c r="A48" s="2" t="s">
        <v>111</v>
      </c>
      <c r="B48" s="2">
        <v>796.0339583333332</v>
      </c>
      <c r="C48" s="2">
        <v>7.8766999026783742</v>
      </c>
      <c r="D48" s="2">
        <v>101.06186196869729</v>
      </c>
      <c r="E48" s="2">
        <v>6.3257274578814554E-11</v>
      </c>
      <c r="F48" s="2">
        <v>776.76036799355711</v>
      </c>
      <c r="G48" s="2">
        <v>815.3075486731093</v>
      </c>
      <c r="H48" s="2">
        <v>776.76036799355711</v>
      </c>
      <c r="I48" s="2">
        <v>815.3075486731093</v>
      </c>
    </row>
    <row r="49" spans="1:9" ht="16.2" thickBot="1" x14ac:dyDescent="0.35">
      <c r="A49" s="161" t="s">
        <v>67</v>
      </c>
      <c r="B49" s="161">
        <v>6.0814583333333401</v>
      </c>
      <c r="C49" s="161">
        <v>1.1428717417274001</v>
      </c>
      <c r="D49" s="161">
        <v>5.3212080684937444</v>
      </c>
      <c r="E49" s="161">
        <v>1.7931126000366837E-3</v>
      </c>
      <c r="F49" s="161">
        <v>3.2849519241618719</v>
      </c>
      <c r="G49" s="161">
        <v>8.8779647425048083</v>
      </c>
      <c r="H49" s="161">
        <v>3.2849519241618719</v>
      </c>
      <c r="I49" s="161">
        <v>8.8779647425048083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Med</vt:lpstr>
      <vt:lpstr>LC2</vt:lpstr>
      <vt:lpstr>CPL</vt:lpstr>
      <vt:lpstr>LMMCF </vt:lpstr>
      <vt:lpstr>VAP</vt:lpstr>
      <vt:lpstr>Holts</vt:lpstr>
      <vt:lpstr>Winters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Hafeez</dc:creator>
  <cp:lastModifiedBy>Salman Hafeez</cp:lastModifiedBy>
  <dcterms:created xsi:type="dcterms:W3CDTF">2015-06-05T18:19:34Z</dcterms:created>
  <dcterms:modified xsi:type="dcterms:W3CDTF">2024-11-17T03:57:15Z</dcterms:modified>
</cp:coreProperties>
</file>