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n\Desktop\"/>
    </mc:Choice>
  </mc:AlternateContent>
  <xr:revisionPtr revIDLastSave="0" documentId="13_ncr:1_{E2EA763E-015C-43DD-AA19-8C6944C7F8AA}" xr6:coauthVersionLast="47" xr6:coauthVersionMax="47" xr10:uidLastSave="{00000000-0000-0000-0000-000000000000}"/>
  <bookViews>
    <workbookView xWindow="-98" yWindow="-98" windowWidth="20715" windowHeight="13276" xr2:uid="{018546D3-0EC1-42BC-9AC9-9B267FE68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J31" i="1" s="1"/>
  <c r="F31" i="1"/>
  <c r="I30" i="1"/>
  <c r="H30" i="1"/>
  <c r="G30" i="1"/>
  <c r="F30" i="1"/>
  <c r="J30" i="1" s="1"/>
  <c r="I19" i="1"/>
  <c r="H19" i="1"/>
  <c r="G19" i="1"/>
  <c r="F19" i="1"/>
  <c r="J19" i="1" s="1"/>
  <c r="J34" i="1" l="1"/>
  <c r="J10" i="1"/>
  <c r="I34" i="1"/>
  <c r="H34" i="1"/>
  <c r="G34" i="1"/>
  <c r="F34" i="1"/>
  <c r="I22" i="1"/>
  <c r="H22" i="1"/>
  <c r="G22" i="1"/>
  <c r="F22" i="1"/>
  <c r="J22" i="1" s="1"/>
  <c r="I20" i="1"/>
  <c r="H20" i="1"/>
  <c r="G20" i="1"/>
  <c r="F20" i="1"/>
  <c r="J20" i="1" s="1"/>
  <c r="I24" i="1"/>
  <c r="H24" i="1"/>
  <c r="G24" i="1"/>
  <c r="F24" i="1"/>
  <c r="J24" i="1" s="1"/>
  <c r="I11" i="1"/>
  <c r="H11" i="1"/>
  <c r="G11" i="1"/>
  <c r="F11" i="1"/>
  <c r="J11" i="1" s="1"/>
  <c r="I12" i="1"/>
  <c r="H12" i="1"/>
  <c r="G12" i="1"/>
  <c r="F12" i="1"/>
  <c r="J12" i="1" s="1"/>
  <c r="I10" i="1"/>
  <c r="H10" i="1"/>
  <c r="G10" i="1"/>
  <c r="F10" i="1"/>
  <c r="F13" i="1"/>
  <c r="J13" i="1" s="1"/>
  <c r="I13" i="1"/>
  <c r="H13" i="1"/>
  <c r="G13" i="1"/>
  <c r="D38" i="1"/>
  <c r="D46" i="1"/>
  <c r="D42" i="1"/>
  <c r="E42" i="1"/>
  <c r="E38" i="1"/>
  <c r="E32" i="1"/>
  <c r="F32" i="1"/>
  <c r="F35" i="1"/>
  <c r="D35" i="1"/>
  <c r="E29" i="1"/>
  <c r="E35" i="1"/>
  <c r="E37" i="1"/>
  <c r="E43" i="1"/>
  <c r="E40" i="1"/>
  <c r="D44" i="1"/>
  <c r="D32" i="1"/>
  <c r="D22" i="1"/>
  <c r="D34" i="1"/>
  <c r="D23" i="1"/>
  <c r="D43" i="1"/>
  <c r="D37" i="1"/>
  <c r="D45" i="1"/>
  <c r="D40" i="1"/>
  <c r="D19" i="1"/>
  <c r="D30" i="1"/>
  <c r="D21" i="1"/>
  <c r="E19" i="1"/>
  <c r="F21" i="1"/>
  <c r="E20" i="1"/>
  <c r="E24" i="1"/>
  <c r="D24" i="1"/>
  <c r="D20" i="1"/>
  <c r="F29" i="1"/>
  <c r="F33" i="1"/>
  <c r="F26" i="1"/>
  <c r="E10" i="1"/>
  <c r="F39" i="1"/>
  <c r="F17" i="1"/>
  <c r="E16" i="1"/>
  <c r="F16" i="1"/>
  <c r="F8" i="1"/>
  <c r="E8" i="1"/>
  <c r="F28" i="1"/>
  <c r="E27" i="1"/>
  <c r="E11" i="1"/>
  <c r="E13" i="1"/>
  <c r="E41" i="1"/>
  <c r="E36" i="1"/>
  <c r="F15" i="1"/>
  <c r="E15" i="1"/>
  <c r="D7" i="1"/>
  <c r="D9" i="1"/>
  <c r="D12" i="1"/>
  <c r="D14" i="1"/>
  <c r="D18" i="1"/>
  <c r="D25" i="1"/>
  <c r="D15" i="1"/>
  <c r="D36" i="1"/>
  <c r="D41" i="1"/>
  <c r="D13" i="1"/>
  <c r="D11" i="1"/>
  <c r="D27" i="1"/>
  <c r="D28" i="1"/>
  <c r="D8" i="1"/>
  <c r="D16" i="1"/>
  <c r="D17" i="1"/>
  <c r="D31" i="1"/>
  <c r="D39" i="1"/>
  <c r="D10" i="1"/>
  <c r="D26" i="1"/>
  <c r="D33" i="1"/>
  <c r="D29" i="1"/>
  <c r="D6" i="1"/>
  <c r="K14" i="1"/>
  <c r="K7" i="1"/>
  <c r="K6" i="1"/>
  <c r="E12" i="1"/>
  <c r="E9" i="1"/>
  <c r="F6" i="1"/>
  <c r="E6" i="1"/>
  <c r="E7" i="1"/>
  <c r="F7" i="1"/>
  <c r="F25" i="1"/>
  <c r="E25" i="1"/>
  <c r="F14" i="1"/>
  <c r="E14" i="1"/>
  <c r="E18" i="1"/>
  <c r="F18" i="1"/>
  <c r="F9" i="1"/>
  <c r="L19" i="1" l="1"/>
  <c r="L35" i="1"/>
  <c r="L32" i="1"/>
  <c r="L24" i="1"/>
  <c r="L25" i="1"/>
  <c r="L15" i="1"/>
  <c r="L20" i="1"/>
  <c r="L29" i="1"/>
  <c r="L10" i="1"/>
  <c r="L16" i="1"/>
  <c r="L8" i="1"/>
  <c r="L11" i="1"/>
  <c r="L13" i="1"/>
  <c r="L9" i="1"/>
  <c r="L12" i="1"/>
  <c r="L14" i="1"/>
  <c r="L6" i="1"/>
  <c r="L7" i="1"/>
  <c r="L18" i="1"/>
</calcChain>
</file>

<file path=xl/sharedStrings.xml><?xml version="1.0" encoding="utf-8"?>
<sst xmlns="http://schemas.openxmlformats.org/spreadsheetml/2006/main" count="91" uniqueCount="71">
  <si>
    <t>Results</t>
  </si>
  <si>
    <t>Benchmark</t>
  </si>
  <si>
    <t>Armadillo</t>
  </si>
  <si>
    <t>cusolverSpDcsrlsvluHost()</t>
  </si>
  <si>
    <t>time / s</t>
  </si>
  <si>
    <t>circuit_1</t>
  </si>
  <si>
    <t>nnz</t>
  </si>
  <si>
    <t>n</t>
  </si>
  <si>
    <t>circuit_4</t>
  </si>
  <si>
    <t>bcircuit</t>
  </si>
  <si>
    <t>hcircuit</t>
  </si>
  <si>
    <t>scircuit</t>
  </si>
  <si>
    <t>add32</t>
  </si>
  <si>
    <t>add20</t>
  </si>
  <si>
    <t>speed up</t>
  </si>
  <si>
    <t>cusparseDcsrsv2_solve()</t>
  </si>
  <si>
    <t>Percentage density</t>
  </si>
  <si>
    <t>G2_circuit</t>
  </si>
  <si>
    <t>G3_circuit</t>
  </si>
  <si>
    <t>Freescale1</t>
  </si>
  <si>
    <t>onetone1</t>
  </si>
  <si>
    <t>onetone2</t>
  </si>
  <si>
    <t>twotone</t>
  </si>
  <si>
    <t>Raj1</t>
  </si>
  <si>
    <t>rajat03</t>
  </si>
  <si>
    <t>rajat15</t>
  </si>
  <si>
    <t>rajat18</t>
  </si>
  <si>
    <t>rajat24</t>
  </si>
  <si>
    <t>rajat30</t>
  </si>
  <si>
    <t>coupled</t>
  </si>
  <si>
    <t>transient</t>
  </si>
  <si>
    <t>ASIC_320k</t>
  </si>
  <si>
    <t>ASIC_320ks</t>
  </si>
  <si>
    <t>&gt;10mins</t>
  </si>
  <si>
    <t>&gt;20.93760</t>
  </si>
  <si>
    <t>&gt;78.05579</t>
  </si>
  <si>
    <t>&lt;0.01425</t>
  </si>
  <si>
    <t>&lt;0.03610</t>
  </si>
  <si>
    <t>&lt;0.04396</t>
  </si>
  <si>
    <t>&gt;11.54426</t>
  </si>
  <si>
    <t>&gt;20mins</t>
  </si>
  <si>
    <t>&gt;8.88339</t>
  </si>
  <si>
    <t>ASIC_100k</t>
  </si>
  <si>
    <t>ASIC_100ks</t>
  </si>
  <si>
    <t>&gt;25mins</t>
  </si>
  <si>
    <t>&gt;10.76297</t>
  </si>
  <si>
    <t>dc1</t>
  </si>
  <si>
    <t>nxp1</t>
  </si>
  <si>
    <t>trans5</t>
  </si>
  <si>
    <t>ASIC_680k</t>
  </si>
  <si>
    <t>ASIC_680ks</t>
  </si>
  <si>
    <t>rajat20</t>
  </si>
  <si>
    <t>rajat21</t>
  </si>
  <si>
    <t>rajat23</t>
  </si>
  <si>
    <t>&gt;84.67185</t>
  </si>
  <si>
    <t>&gt;7.79811</t>
  </si>
  <si>
    <t>rajat31</t>
  </si>
  <si>
    <t>Hamrle3</t>
  </si>
  <si>
    <t>FullChip</t>
  </si>
  <si>
    <t>memchip</t>
  </si>
  <si>
    <t>Freescale2</t>
  </si>
  <si>
    <t>runtime error</t>
  </si>
  <si>
    <t>&gt;13mins</t>
  </si>
  <si>
    <t>pre2</t>
  </si>
  <si>
    <t>circuit5M</t>
  </si>
  <si>
    <t>circuit5M_dc</t>
  </si>
  <si>
    <t>Elapsed</t>
  </si>
  <si>
    <t>Sorting</t>
  </si>
  <si>
    <t>Format change</t>
  </si>
  <si>
    <t>LU</t>
  </si>
  <si>
    <t>Data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</si>
</sst>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00%"/>
    <numFmt numFmtId="166" formatCode="0.00000"/>
    <numFmt numFmtId="167" formatCode="0.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1" applyNumberFormat="1" applyFont="1"/>
    <xf numFmtId="164" fontId="0" fillId="0" borderId="0" xfId="1" applyNumberFormat="1" applyFont="1" applyBorder="1"/>
    <xf numFmtId="165" fontId="0" fillId="0" borderId="0" xfId="2" applyNumberFormat="1" applyFont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9" fontId="0" fillId="0" borderId="0" xfId="2" applyFo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161-BD16-4A37-9510-6E6835BD4CCC}">
  <dimension ref="A1:L53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4.25" x14ac:dyDescent="0.45"/>
  <cols>
    <col min="1" max="5" width="21" customWidth="1"/>
    <col min="6" max="6" width="21" bestFit="1" customWidth="1"/>
    <col min="7" max="12" width="21" customWidth="1"/>
  </cols>
  <sheetData>
    <row r="1" spans="1:12" x14ac:dyDescent="0.45">
      <c r="A1" t="s">
        <v>0</v>
      </c>
    </row>
    <row r="3" spans="1:12" ht="14.25" customHeight="1" x14ac:dyDescent="0.45">
      <c r="A3" s="10" t="s">
        <v>1</v>
      </c>
      <c r="B3" s="10" t="s">
        <v>7</v>
      </c>
      <c r="C3" s="10" t="s">
        <v>6</v>
      </c>
      <c r="D3" s="10" t="s">
        <v>16</v>
      </c>
      <c r="E3" s="16" t="s">
        <v>2</v>
      </c>
      <c r="F3" s="20" t="s">
        <v>3</v>
      </c>
      <c r="G3" s="22"/>
      <c r="H3" s="22"/>
      <c r="I3" s="22"/>
      <c r="J3" s="23"/>
      <c r="K3" s="18" t="s">
        <v>15</v>
      </c>
      <c r="L3" s="10" t="s">
        <v>14</v>
      </c>
    </row>
    <row r="4" spans="1:12" ht="14.25" customHeight="1" x14ac:dyDescent="0.45">
      <c r="A4" s="11"/>
      <c r="B4" s="11"/>
      <c r="C4" s="11"/>
      <c r="D4" s="11"/>
      <c r="E4" s="17"/>
      <c r="F4" s="21" t="s">
        <v>66</v>
      </c>
      <c r="G4" s="21" t="s">
        <v>67</v>
      </c>
      <c r="H4" s="21" t="s">
        <v>68</v>
      </c>
      <c r="I4" s="21" t="s">
        <v>69</v>
      </c>
      <c r="J4" s="21" t="s">
        <v>70</v>
      </c>
      <c r="K4" s="19"/>
      <c r="L4" s="11"/>
    </row>
    <row r="5" spans="1:12" x14ac:dyDescent="0.45">
      <c r="A5" s="12"/>
      <c r="B5" s="12"/>
      <c r="C5" s="12"/>
      <c r="D5" s="12"/>
      <c r="E5" s="13" t="s">
        <v>4</v>
      </c>
      <c r="F5" s="14"/>
      <c r="G5" s="14"/>
      <c r="H5" s="14"/>
      <c r="I5" s="14"/>
      <c r="J5" s="14"/>
      <c r="K5" s="15"/>
      <c r="L5" s="12"/>
    </row>
    <row r="6" spans="1:12" x14ac:dyDescent="0.45">
      <c r="A6" t="s">
        <v>13</v>
      </c>
      <c r="B6" s="2">
        <v>2395</v>
      </c>
      <c r="C6" s="2">
        <v>17319</v>
      </c>
      <c r="D6" s="4">
        <f t="shared" ref="D6:D46" si="0">C6/(B6*B6)</f>
        <v>3.0193383048365374E-3</v>
      </c>
      <c r="E6" s="5">
        <f>AVERAGE(0.0105641,0.0100667,0.0100078,0.010021,0.0101845,0.0100482,0.0100673,0.010243,0.0144542,0.0102684)</f>
        <v>1.0592519999999999E-2</v>
      </c>
      <c r="F6" s="5">
        <f>AVERAGE(0.596197,0.610996,0.603649,0.597606,0.595837,0.604847,0.594674,0.598428,0.598404,0.602619)</f>
        <v>0.60032570000000007</v>
      </c>
      <c r="G6" s="5"/>
      <c r="H6" s="8"/>
      <c r="I6" s="5"/>
      <c r="J6" s="5"/>
      <c r="K6">
        <f>AVERAGE(0.231635,0.222693,0.217938,0.214402,0.211711,0.21561,0.221201,0.213592,0.224761,0.209602)</f>
        <v>0.21831450000000002</v>
      </c>
      <c r="L6" s="5">
        <f t="shared" ref="L6:L16" si="1">E6/F6</f>
        <v>1.7644621911072602E-2</v>
      </c>
    </row>
    <row r="7" spans="1:12" x14ac:dyDescent="0.45">
      <c r="A7" t="s">
        <v>12</v>
      </c>
      <c r="B7" s="2">
        <v>4960</v>
      </c>
      <c r="C7" s="2">
        <v>23884</v>
      </c>
      <c r="D7" s="4">
        <f t="shared" si="0"/>
        <v>9.7083116545265344E-4</v>
      </c>
      <c r="E7" s="5">
        <f>AVERAGE(0.00833029,0.00870432,0.00748416,0.00759386,0.00745517,0.00758667,0.00749659,0.0074453,0.0143666,0.00739723)</f>
        <v>8.3860189999999998E-3</v>
      </c>
      <c r="F7" s="5">
        <f>AVERAGE(0.593191,0.608767,0.613562,0.632689,0.614933,0.608924,0.601556,0.611035,0.613987,0.597282)</f>
        <v>0.60959259999999993</v>
      </c>
      <c r="G7" s="5"/>
      <c r="H7" s="8"/>
      <c r="I7" s="5"/>
      <c r="J7" s="5"/>
      <c r="K7">
        <f>AVERAGE(0.221677,0.225949,0.213555,0.22492,0.191528,0.21655,0.225554,0.208111,0.186617,0.219465)</f>
        <v>0.21339259999999999</v>
      </c>
      <c r="L7" s="5">
        <f t="shared" si="1"/>
        <v>1.3756759842557146E-2</v>
      </c>
    </row>
    <row r="8" spans="1:12" x14ac:dyDescent="0.45">
      <c r="A8" t="s">
        <v>24</v>
      </c>
      <c r="B8" s="2">
        <v>7602</v>
      </c>
      <c r="C8" s="2">
        <v>32653</v>
      </c>
      <c r="D8" s="4">
        <f t="shared" si="0"/>
        <v>5.6502460166224131E-4</v>
      </c>
      <c r="E8" s="5">
        <f>AVERAGE(0.0368214,0.0333182,0.0296968,0.0304726,0.0321395)</f>
        <v>3.2489699999999996E-2</v>
      </c>
      <c r="F8" s="5">
        <f>AVERAGE(0.710339,0.718674,0.683322,0.69481,0.71486)</f>
        <v>0.70440100000000005</v>
      </c>
      <c r="G8" s="5"/>
      <c r="H8" s="8"/>
      <c r="I8" s="5"/>
      <c r="J8" s="5"/>
      <c r="L8" s="5">
        <f t="shared" si="1"/>
        <v>4.6123869784398364E-2</v>
      </c>
    </row>
    <row r="9" spans="1:12" x14ac:dyDescent="0.45">
      <c r="A9" s="1" t="s">
        <v>5</v>
      </c>
      <c r="B9" s="3">
        <v>2624</v>
      </c>
      <c r="C9" s="3">
        <v>35823</v>
      </c>
      <c r="D9" s="4">
        <f t="shared" si="0"/>
        <v>5.2027659782123738E-3</v>
      </c>
      <c r="E9" s="5">
        <f>AVERAGE(0.138111,0.139575,0.141018,0.139716,0.140338,0.139288,0.139572,0.138056,0.138194,0.141145)</f>
        <v>0.13950129999999999</v>
      </c>
      <c r="F9" s="5">
        <f>AVERAGE(0.666618,0.656178,0.662322,0.642435,0.651771,0.6455,0.675363,0.632794,0.652303,0.690094)</f>
        <v>0.65753779999999995</v>
      </c>
      <c r="G9" s="5"/>
      <c r="H9" s="8"/>
      <c r="I9" s="5"/>
      <c r="J9" s="5"/>
      <c r="L9" s="5">
        <f t="shared" si="1"/>
        <v>0.21215708055111052</v>
      </c>
    </row>
    <row r="10" spans="1:12" x14ac:dyDescent="0.45">
      <c r="A10" t="s">
        <v>29</v>
      </c>
      <c r="B10" s="2">
        <v>11341</v>
      </c>
      <c r="C10" s="2">
        <v>98523</v>
      </c>
      <c r="D10" s="4">
        <f t="shared" si="0"/>
        <v>7.6601085968486856E-4</v>
      </c>
      <c r="E10" s="5">
        <f>AVERAGE(3.51851,3.69981,3.4561,3.68691,3.58241)</f>
        <v>3.5887480000000003</v>
      </c>
      <c r="F10" s="5">
        <f>AVERAGE(0.679186,0.711825,0.684538,0.698132,0.685229)</f>
        <v>0.69178200000000001</v>
      </c>
      <c r="G10" s="5">
        <f>AVERAGE(0.00110874,0.00110936,0.001083,0.00110929,0.00108704)</f>
        <v>1.0994859999999998E-3</v>
      </c>
      <c r="H10" s="8">
        <f>AVERAGE(0.0000032,0.00000318,0.00000301,0.00000273,0.00000342)</f>
        <v>3.1080000000000001E-6</v>
      </c>
      <c r="I10" s="5">
        <f>AVERAGE(0.113757,0.114067,0.112836,0.113732,0.112946)</f>
        <v>0.1134676</v>
      </c>
      <c r="J10" s="5">
        <f>F10-G10-H10-I10</f>
        <v>0.57721180599999999</v>
      </c>
      <c r="L10" s="5">
        <f t="shared" si="1"/>
        <v>5.187686294237202</v>
      </c>
    </row>
    <row r="11" spans="1:12" x14ac:dyDescent="0.45">
      <c r="A11" t="s">
        <v>21</v>
      </c>
      <c r="B11" s="2">
        <v>36057</v>
      </c>
      <c r="C11" s="2">
        <v>227628</v>
      </c>
      <c r="D11" s="4">
        <f t="shared" si="0"/>
        <v>1.7508401724171911E-4</v>
      </c>
      <c r="E11" s="5">
        <f>AVERAGE(0.202583,0.209188,0.171337,0.192142,0.203822)</f>
        <v>0.1958144</v>
      </c>
      <c r="F11" s="5">
        <f>AVERAGE(7.05875,7.08896,7.09089,7.09293,7.12316)</f>
        <v>7.0909379999999995</v>
      </c>
      <c r="G11" s="5">
        <f>AVERAGE(0.00135281,0.00129109,0.00129339,0.00128593,0.00130936)</f>
        <v>1.3065160000000002E-3</v>
      </c>
      <c r="H11" s="8">
        <f>AVERAGE(0.00000321,0.00000324,0.00000306,0.0000031,0.00000323)</f>
        <v>3.168E-6</v>
      </c>
      <c r="I11" s="5">
        <f>AVERAGE(6.54954,6.52727,6.5164,6.51929,6.49326)</f>
        <v>6.5211519999999989</v>
      </c>
      <c r="J11" s="5">
        <f>F11-G11-H11-I11</f>
        <v>0.56847631600000081</v>
      </c>
      <c r="L11" s="5">
        <f t="shared" si="1"/>
        <v>2.7614738698885821E-2</v>
      </c>
    </row>
    <row r="12" spans="1:12" x14ac:dyDescent="0.45">
      <c r="A12" t="s">
        <v>8</v>
      </c>
      <c r="B12" s="2">
        <v>80209</v>
      </c>
      <c r="C12" s="2">
        <v>307604</v>
      </c>
      <c r="D12" s="4">
        <f t="shared" si="0"/>
        <v>4.7812975870047906E-5</v>
      </c>
      <c r="E12" s="5">
        <f>AVERAGE(55.7583,55.8471,55.7443,57.4196,56.3243,55.9324,56.8371,55.8966,56.2665,56.899)</f>
        <v>56.29252000000001</v>
      </c>
      <c r="F12" s="5">
        <f>AVERAGE(5.05145,5.01964,5.15398,5.12854,5.0708)</f>
        <v>5.0848820000000003</v>
      </c>
      <c r="G12" s="5">
        <f>AVERAGE(0.001843,0.00183832,0.00185066,0.00183539,0.00184757)</f>
        <v>1.8429880000000003E-3</v>
      </c>
      <c r="H12" s="8">
        <f>AVERAGE(0.00000335,0.00000366,0.00000288,0.00000307,0.00000313)</f>
        <v>3.2179999999999999E-6</v>
      </c>
      <c r="I12" s="5">
        <f>AVERAGE(4.47722,4.45432,4.5537,4.54967,4.49266)</f>
        <v>4.5055139999999998</v>
      </c>
      <c r="J12" s="5">
        <f>F12-G12-H12-I12</f>
        <v>0.57752179400000081</v>
      </c>
      <c r="L12" s="5">
        <f t="shared" si="1"/>
        <v>11.070565649311037</v>
      </c>
    </row>
    <row r="13" spans="1:12" x14ac:dyDescent="0.45">
      <c r="A13" t="s">
        <v>20</v>
      </c>
      <c r="B13" s="2">
        <v>36057</v>
      </c>
      <c r="C13" s="2">
        <v>341088</v>
      </c>
      <c r="D13" s="4">
        <f t="shared" si="0"/>
        <v>2.6235374063359292E-4</v>
      </c>
      <c r="E13" s="5">
        <f>AVERAGE(1.45434,1.37909,1.36492,1.39497,1.46025)</f>
        <v>1.410714</v>
      </c>
      <c r="F13" s="5">
        <f>AVERAGE(28.4789, 28.5957,28.8064,28.6127,29.0732)</f>
        <v>28.713380000000001</v>
      </c>
      <c r="G13" s="5">
        <f>AVERAGE(0.00197844,0.00197932,0.002006,0.00228879,0.00196925)</f>
        <v>2.0443600000000003E-3</v>
      </c>
      <c r="H13" s="8">
        <f>AVERAGE(0.00000276,0.00000349,0.00000357,0.00000318,0.00000266)</f>
        <v>3.1319999999999998E-6</v>
      </c>
      <c r="I13" s="5">
        <f>AVERAGE(28.4848,28.0028,28.227,28.0155,27.9037)</f>
        <v>28.126760000000001</v>
      </c>
      <c r="J13" s="5">
        <f>F13-G13-H13-I13</f>
        <v>0.58457250800000082</v>
      </c>
      <c r="L13" s="5">
        <f t="shared" si="1"/>
        <v>4.913089298438568E-2</v>
      </c>
    </row>
    <row r="14" spans="1:12" x14ac:dyDescent="0.45">
      <c r="A14" t="s">
        <v>9</v>
      </c>
      <c r="B14" s="2">
        <v>68902</v>
      </c>
      <c r="C14" s="2">
        <v>375558</v>
      </c>
      <c r="D14" s="4">
        <f t="shared" si="0"/>
        <v>7.9106716971100055E-5</v>
      </c>
      <c r="E14" s="5">
        <f>AVERAGE(0.20055,0.207219,0.203939,0.191605,0.196815,0.199931,0.194725,0.19261,0.205332,0.208866)</f>
        <v>0.20015920000000004</v>
      </c>
      <c r="F14" s="5">
        <f>AVERAGE(4.35812,4.29733,4.27449,4.26412,4.25674,4.34403,4.32173,4.29958,4.31967,4.35648)</f>
        <v>4.3092290000000002</v>
      </c>
      <c r="G14" s="5"/>
      <c r="H14" s="8"/>
      <c r="I14" s="5"/>
      <c r="J14" s="5"/>
      <c r="K14" s="1">
        <f>AVERAGE(0.244511, 0.251681, 0.232723,0.237715,0.246857,0.230255,0.229124,0.250552,0.231405,0.226637)</f>
        <v>0.23814600000000002</v>
      </c>
      <c r="L14" s="5">
        <f t="shared" si="1"/>
        <v>4.6448958734845613E-2</v>
      </c>
    </row>
    <row r="15" spans="1:12" x14ac:dyDescent="0.45">
      <c r="A15" t="s">
        <v>17</v>
      </c>
      <c r="B15" s="2">
        <v>150102</v>
      </c>
      <c r="C15" s="2">
        <v>438388</v>
      </c>
      <c r="D15" s="4">
        <f t="shared" si="0"/>
        <v>1.9457439995596845E-5</v>
      </c>
      <c r="E15" s="5">
        <f>AVERAGE(0.758907,0.737674,0.7632,0.727751,0.762161,0.738862,0.7419,0.705694,0.740078,0.752515)</f>
        <v>0.74287420000000004</v>
      </c>
      <c r="F15" s="5">
        <f>AVERAGE(11.558,11.5921,11.6275,11.6139,11.6414)</f>
        <v>11.606579999999999</v>
      </c>
      <c r="G15" s="5"/>
      <c r="H15" s="8"/>
      <c r="I15" s="5"/>
      <c r="J15" s="5"/>
      <c r="L15" s="5">
        <f t="shared" si="1"/>
        <v>6.4004573267922166E-2</v>
      </c>
    </row>
    <row r="16" spans="1:12" x14ac:dyDescent="0.45">
      <c r="A16" t="s">
        <v>25</v>
      </c>
      <c r="B16" s="3">
        <v>37261</v>
      </c>
      <c r="C16" s="2">
        <v>443573</v>
      </c>
      <c r="D16" s="4">
        <f t="shared" si="0"/>
        <v>3.1948913292005723E-4</v>
      </c>
      <c r="E16" s="5">
        <f>AVERAGE(6.84413,7.10809,7.1844,6.97162,7.3707)</f>
        <v>7.0957880000000007</v>
      </c>
      <c r="F16" s="5">
        <f>AVERAGE(1.52507,1.52823,1.55276,1.51044,1.56717)</f>
        <v>1.536734</v>
      </c>
      <c r="G16" s="5"/>
      <c r="H16" s="8"/>
      <c r="I16" s="5"/>
      <c r="J16" s="5"/>
      <c r="L16" s="5">
        <f t="shared" si="1"/>
        <v>4.6174471313838312</v>
      </c>
    </row>
    <row r="17" spans="1:12" x14ac:dyDescent="0.45">
      <c r="A17" t="s">
        <v>26</v>
      </c>
      <c r="B17" s="2">
        <v>94294</v>
      </c>
      <c r="C17" s="2">
        <v>485143</v>
      </c>
      <c r="D17" s="4">
        <f t="shared" si="0"/>
        <v>5.4563428467321321E-5</v>
      </c>
      <c r="E17" s="6" t="s">
        <v>33</v>
      </c>
      <c r="F17" s="5">
        <f>AVERAGE(7.68287,7.52986,7.81168,7.66738,7.74224)</f>
        <v>7.6868059999999998</v>
      </c>
      <c r="G17" s="5"/>
      <c r="H17" s="8"/>
      <c r="I17" s="5"/>
      <c r="J17" s="5"/>
      <c r="L17" s="6" t="s">
        <v>35</v>
      </c>
    </row>
    <row r="18" spans="1:12" x14ac:dyDescent="0.45">
      <c r="A18" t="s">
        <v>10</v>
      </c>
      <c r="B18" s="2">
        <v>105676</v>
      </c>
      <c r="C18" s="2">
        <v>513072</v>
      </c>
      <c r="D18" s="4">
        <f t="shared" si="0"/>
        <v>4.5943659227791689E-5</v>
      </c>
      <c r="E18" s="5">
        <f>AVERAGE(0.716499,0.72775,0.710182,0.758441,0.752258,0.713479,0.724114,0.721826,0.725194,0.720909)</f>
        <v>0.72706519999999997</v>
      </c>
      <c r="F18" s="5">
        <f>AVERAGE(8.44849,8.58576,8.61464,8.62679,8.63798,8.52743,8.42814,8.60726,8.41774,8.52775)</f>
        <v>8.5421979999999991</v>
      </c>
      <c r="G18" s="5"/>
      <c r="H18" s="8"/>
      <c r="I18" s="5"/>
      <c r="J18" s="5"/>
      <c r="L18" s="5">
        <f>E18/F18</f>
        <v>8.5114533753490623E-2</v>
      </c>
    </row>
    <row r="19" spans="1:12" x14ac:dyDescent="0.45">
      <c r="A19" t="s">
        <v>53</v>
      </c>
      <c r="B19" s="2">
        <v>110355</v>
      </c>
      <c r="C19" s="2">
        <v>556938</v>
      </c>
      <c r="D19" s="4">
        <f t="shared" si="0"/>
        <v>4.5732276511923258E-5</v>
      </c>
      <c r="E19" s="6">
        <f>AVERAGE(2.64971,2.82203,2.85165,2.80691,2.92338)</f>
        <v>2.8107359999999999</v>
      </c>
      <c r="F19" s="5">
        <f>AVERAGE(11.8729,11.7904,11.77,12.013,11.8077)</f>
        <v>11.850800000000001</v>
      </c>
      <c r="G19" s="5">
        <f>AVERAGE(0.00408137,0.0037184,0.00369837,0.00367886,0.00368002)</f>
        <v>3.7714039999999999E-3</v>
      </c>
      <c r="H19" s="8">
        <f>AVERAGE(0.00000317,0.00000363,0.0000028,0.00000357,0.00000319)</f>
        <v>3.2719999999999998E-6</v>
      </c>
      <c r="I19" s="5">
        <f>AVERAGE(11.1642,11.3881,11.0832,11.1431,11.2488)</f>
        <v>11.20548</v>
      </c>
      <c r="J19" s="5">
        <f>F19-G19-H19-I19</f>
        <v>0.64154532400000086</v>
      </c>
      <c r="L19" s="6">
        <f>E19/F19</f>
        <v>0.23717689944982615</v>
      </c>
    </row>
    <row r="20" spans="1:12" x14ac:dyDescent="0.45">
      <c r="A20" t="s">
        <v>43</v>
      </c>
      <c r="B20" s="2">
        <v>99190</v>
      </c>
      <c r="C20" s="2">
        <v>578890</v>
      </c>
      <c r="D20" s="4">
        <f t="shared" si="0"/>
        <v>5.8838320408414313E-5</v>
      </c>
      <c r="E20" s="6">
        <f>AVERAGE(116.492,116.559,116.388,117.284,116.893)</f>
        <v>116.72319999999999</v>
      </c>
      <c r="F20" s="5">
        <f>AVERAGE(9.39819,9.43173,9.40629,9.37744,9.42447)</f>
        <v>9.4076240000000002</v>
      </c>
      <c r="G20" s="5">
        <f>AVERAGE(0.00418997,0.00386863,0.00418161,0.00389657,0.00388638)</f>
        <v>4.0046319999999993E-3</v>
      </c>
      <c r="H20" s="8">
        <f>AVERAGE(0.00000328,0.0000043,0.00000314,0.00000319,0.00000356)</f>
        <v>3.4939999999999999E-6</v>
      </c>
      <c r="I20" s="5">
        <f>AVERAGE(8.83892,8.83407,8.80068,8.83823,8.83002)</f>
        <v>8.828383999999998</v>
      </c>
      <c r="J20" s="5">
        <f>F20-G20-H20-I20</f>
        <v>0.57523187400000353</v>
      </c>
      <c r="L20" s="6">
        <f>E20/F20</f>
        <v>12.407298591015117</v>
      </c>
    </row>
    <row r="21" spans="1:12" x14ac:dyDescent="0.45">
      <c r="A21" t="s">
        <v>51</v>
      </c>
      <c r="B21" s="2">
        <v>86916</v>
      </c>
      <c r="C21" s="2">
        <v>605045</v>
      </c>
      <c r="D21" s="4">
        <f t="shared" si="0"/>
        <v>8.0091829442619205E-5</v>
      </c>
      <c r="E21" s="6" t="s">
        <v>33</v>
      </c>
      <c r="F21" s="5">
        <f>AVERAGE(7.05424,7.06006,7.10204,7.1028,7.11174)</f>
        <v>7.0861759999999991</v>
      </c>
      <c r="G21" s="5"/>
      <c r="H21" s="8"/>
      <c r="I21" s="5"/>
      <c r="J21" s="5"/>
      <c r="L21" s="6" t="s">
        <v>54</v>
      </c>
    </row>
    <row r="22" spans="1:12" x14ac:dyDescent="0.45">
      <c r="A22" t="s">
        <v>46</v>
      </c>
      <c r="B22" s="2">
        <v>116835</v>
      </c>
      <c r="C22" s="2">
        <v>766396</v>
      </c>
      <c r="D22" s="4">
        <f t="shared" si="0"/>
        <v>5.6144510996805813E-5</v>
      </c>
      <c r="E22" s="7" t="s">
        <v>33</v>
      </c>
      <c r="F22" s="5">
        <f>AVERAGE(35.0216,35.7319,35.3472,35.5472,35.9132)</f>
        <v>35.512219999999999</v>
      </c>
      <c r="G22" s="5">
        <f>AVERAGE(0.00554824,0.0057273,0.0054514,0.00520077,0.00518565)</f>
        <v>5.4226720000000008E-3</v>
      </c>
      <c r="H22" s="8">
        <f>AVERAGE(0.00000531,0.00000298,0.00000349,0.00000368,0.00000311)</f>
        <v>3.7139999999999999E-6</v>
      </c>
      <c r="I22" s="5">
        <f>AVERAGE(34.9717,35.3328,34.7695,35.1479,34.4421)</f>
        <v>34.9328</v>
      </c>
      <c r="J22" s="5">
        <f>F22-G22-H22-I22</f>
        <v>0.57399361399999549</v>
      </c>
      <c r="L22" s="5"/>
    </row>
    <row r="23" spans="1:12" x14ac:dyDescent="0.45">
      <c r="A23" t="s">
        <v>48</v>
      </c>
      <c r="B23" s="2">
        <v>116835</v>
      </c>
      <c r="C23" s="2">
        <v>766396</v>
      </c>
      <c r="D23" s="4">
        <f t="shared" si="0"/>
        <v>5.6144510996805813E-5</v>
      </c>
      <c r="E23" s="7" t="s">
        <v>33</v>
      </c>
      <c r="F23">
        <v>58.212000000000003</v>
      </c>
      <c r="H23" s="8"/>
      <c r="J23" s="5"/>
    </row>
    <row r="24" spans="1:12" x14ac:dyDescent="0.45">
      <c r="A24" t="s">
        <v>42</v>
      </c>
      <c r="B24" s="2">
        <v>99340</v>
      </c>
      <c r="C24" s="2">
        <v>954163</v>
      </c>
      <c r="D24" s="4">
        <f t="shared" si="0"/>
        <v>9.6688374801777091E-5</v>
      </c>
      <c r="E24" s="6">
        <f>AVERAGE(157.714,155.227,158.607,156.984,158.538)</f>
        <v>157.41400000000002</v>
      </c>
      <c r="F24" s="5">
        <f>AVERAGE(17.0839,17.1365,16.9491,17.0039,17.0025)</f>
        <v>17.03518</v>
      </c>
      <c r="G24" s="5">
        <f>AVERAGE(0.00705212,0.00642446,0.00655419,0.0063231,0.00630441)</f>
        <v>6.5316559999999994E-3</v>
      </c>
      <c r="H24" s="8">
        <f>AVERAGE(0.00000318,0.00000559,0.000003,0.00000304,0.00000441)</f>
        <v>3.844E-6</v>
      </c>
      <c r="I24" s="5">
        <f>AVERAGE(16.4197,16.4199,16.3681,16.5556,16.4956)</f>
        <v>16.451779999999996</v>
      </c>
      <c r="J24" s="5">
        <f>F24-G24-H24-I24</f>
        <v>0.57686450000000633</v>
      </c>
      <c r="L24" s="6">
        <f>E24/F24</f>
        <v>9.2405246084866732</v>
      </c>
    </row>
    <row r="25" spans="1:12" x14ac:dyDescent="0.45">
      <c r="A25" t="s">
        <v>11</v>
      </c>
      <c r="B25" s="2">
        <v>170998</v>
      </c>
      <c r="C25" s="2">
        <v>958936</v>
      </c>
      <c r="D25" s="4">
        <f t="shared" si="0"/>
        <v>3.2794994413494709E-5</v>
      </c>
      <c r="E25" s="5">
        <f>AVERAGE(0.92037,0.925007,0.950057,0.959688,0.948172,0.944704,0.947116,0.955056,0.929464,0.925232)</f>
        <v>0.94048659999999984</v>
      </c>
      <c r="F25" s="5">
        <f>AVERAGE(22.2081,22.1643,22.4876,22.705,22.3471,22.244,22.319,22.2877,22.4139,22.1814)</f>
        <v>22.335809999999999</v>
      </c>
      <c r="G25" s="5"/>
      <c r="H25" s="8"/>
      <c r="I25" s="5"/>
      <c r="J25" s="5"/>
      <c r="L25" s="5">
        <f>E25/F25</f>
        <v>4.2106670857246724E-2</v>
      </c>
    </row>
    <row r="26" spans="1:12" x14ac:dyDescent="0.45">
      <c r="A26" t="s">
        <v>30</v>
      </c>
      <c r="B26" s="2">
        <v>178866</v>
      </c>
      <c r="C26" s="2">
        <v>961790</v>
      </c>
      <c r="D26" s="4">
        <f t="shared" si="0"/>
        <v>3.0062470491954679E-5</v>
      </c>
      <c r="E26" s="6" t="s">
        <v>33</v>
      </c>
      <c r="F26" s="5">
        <f>AVERAGE(28.9214,28.4221,28.9219,28.4597,28.5578)</f>
        <v>28.656579999999998</v>
      </c>
      <c r="G26" s="5"/>
      <c r="H26" s="8"/>
      <c r="I26" s="5"/>
      <c r="J26" s="5"/>
      <c r="L26" s="6" t="s">
        <v>34</v>
      </c>
    </row>
    <row r="27" spans="1:12" x14ac:dyDescent="0.45">
      <c r="A27" t="s">
        <v>22</v>
      </c>
      <c r="B27" s="2">
        <v>120750</v>
      </c>
      <c r="C27" s="2">
        <v>1224224</v>
      </c>
      <c r="D27" s="4">
        <f t="shared" si="0"/>
        <v>8.3962741492312111E-5</v>
      </c>
      <c r="E27" s="5">
        <f>AVERAGE(8.67252,8.68831,8.31079,8.55115,8.54071)</f>
        <v>8.552696000000001</v>
      </c>
      <c r="F27" s="6" t="s">
        <v>33</v>
      </c>
      <c r="G27" s="6"/>
      <c r="H27" s="8"/>
      <c r="I27" s="6"/>
      <c r="J27" s="5"/>
      <c r="L27" s="6" t="s">
        <v>36</v>
      </c>
    </row>
    <row r="28" spans="1:12" x14ac:dyDescent="0.45">
      <c r="A28" t="s">
        <v>23</v>
      </c>
      <c r="B28" s="2">
        <v>263743</v>
      </c>
      <c r="C28" s="2">
        <v>1302464</v>
      </c>
      <c r="D28" s="4">
        <f t="shared" si="0"/>
        <v>1.872422471419449E-5</v>
      </c>
      <c r="E28" s="6" t="s">
        <v>33</v>
      </c>
      <c r="F28" s="5">
        <f>AVERAGE(51.4843,51.7309,52.1805,51.9471,52.5265)</f>
        <v>51.973860000000002</v>
      </c>
      <c r="G28" s="5"/>
      <c r="H28" s="8"/>
      <c r="I28" s="5"/>
      <c r="J28" s="5"/>
      <c r="L28" s="6" t="s">
        <v>39</v>
      </c>
    </row>
    <row r="29" spans="1:12" x14ac:dyDescent="0.45">
      <c r="A29" t="s">
        <v>32</v>
      </c>
      <c r="B29" s="2">
        <v>321671</v>
      </c>
      <c r="C29" s="2">
        <v>1827807</v>
      </c>
      <c r="D29" s="4">
        <f t="shared" si="0"/>
        <v>1.7664710235909522E-5</v>
      </c>
      <c r="E29" s="5">
        <f>AVERAGE(38.5516,38.8473,39.4836,39.0576,39.4222)</f>
        <v>39.07246</v>
      </c>
      <c r="F29" s="5">
        <f>AVERAGE(123.472,123.705,124.515,124.801,123.135)</f>
        <v>123.9256</v>
      </c>
      <c r="G29" s="5"/>
      <c r="H29" s="8"/>
      <c r="I29" s="5"/>
      <c r="J29" s="5"/>
      <c r="L29" s="5">
        <f>E29/F29</f>
        <v>0.31528965766556705</v>
      </c>
    </row>
    <row r="30" spans="1:12" x14ac:dyDescent="0.45">
      <c r="A30" t="s">
        <v>52</v>
      </c>
      <c r="B30" s="2">
        <v>411676</v>
      </c>
      <c r="C30" s="2">
        <v>1893370</v>
      </c>
      <c r="D30" s="4">
        <f t="shared" si="0"/>
        <v>1.11718319246966E-5</v>
      </c>
      <c r="E30" s="6" t="s">
        <v>40</v>
      </c>
      <c r="F30" s="5">
        <f>AVERAGE(169.159,168.049,166.738,166.754,169.329)</f>
        <v>168.00579999999999</v>
      </c>
      <c r="G30" s="5">
        <f>AVERAGE(0.0118155,0.0114863,0.0118883,0.0115012,0.011778)</f>
        <v>1.1693859999999997E-2</v>
      </c>
      <c r="H30" s="8">
        <f>AVERAGE(0.00000551,0.00000548,0.00000328,0.00000539,0.00001028)</f>
        <v>5.9880000000000001E-6</v>
      </c>
      <c r="I30" s="5">
        <f>AVERAGE(168.68,166.118,166.087,167.431,168.524)</f>
        <v>167.36799999999999</v>
      </c>
      <c r="J30" s="5">
        <f t="shared" ref="J30:J31" si="2">F30-G30-H30-I30</f>
        <v>0.62610015199999225</v>
      </c>
      <c r="L30" s="6" t="s">
        <v>55</v>
      </c>
    </row>
    <row r="31" spans="1:12" x14ac:dyDescent="0.45">
      <c r="A31" t="s">
        <v>27</v>
      </c>
      <c r="B31" s="2">
        <v>358172</v>
      </c>
      <c r="C31" s="2">
        <v>1948235</v>
      </c>
      <c r="D31" s="4">
        <f t="shared" si="0"/>
        <v>1.518651338305638E-5</v>
      </c>
      <c r="E31" s="6" t="s">
        <v>44</v>
      </c>
      <c r="F31" s="5">
        <f>AVERAGE(139.056,138.8,138.546,139.125,138.843)</f>
        <v>138.874</v>
      </c>
      <c r="G31" s="5">
        <f>AVERAGE(0.0122499,0.0128352,0.0122436,0.0118439,0.0120817)</f>
        <v>1.2250859999999999E-2</v>
      </c>
      <c r="H31" s="8">
        <f>AVERAGE(0.00000532,0.00000437,0.00000326,0.00000546,0.0000057)</f>
        <v>4.8220000000000006E-6</v>
      </c>
      <c r="I31" s="5">
        <f>AVERAGE(138.18,138.457,137.897,138.147,138.402)</f>
        <v>138.21660000000003</v>
      </c>
      <c r="J31" s="5">
        <f t="shared" si="2"/>
        <v>0.64514431799997851</v>
      </c>
      <c r="L31" s="6" t="s">
        <v>45</v>
      </c>
    </row>
    <row r="32" spans="1:12" x14ac:dyDescent="0.45">
      <c r="A32" t="s">
        <v>50</v>
      </c>
      <c r="B32" s="2">
        <v>682712</v>
      </c>
      <c r="C32" s="2">
        <v>2329176</v>
      </c>
      <c r="D32" s="4">
        <f t="shared" si="0"/>
        <v>4.9972057781481103E-6</v>
      </c>
      <c r="E32" s="5">
        <f>AVERAGE(48.1674,46.9191,48.2787,46.813,48.4584)</f>
        <v>47.727319999999999</v>
      </c>
      <c r="F32" s="5">
        <f>AVERAGE(406.859,405.72,406.207,407.15,405.65)</f>
        <v>406.31720000000007</v>
      </c>
      <c r="G32" s="5"/>
      <c r="H32" s="8"/>
      <c r="I32" s="5"/>
      <c r="J32" s="5"/>
      <c r="L32" s="5">
        <f>E32/F32</f>
        <v>0.11746320362514802</v>
      </c>
    </row>
    <row r="33" spans="1:12" x14ac:dyDescent="0.45">
      <c r="A33" t="s">
        <v>31</v>
      </c>
      <c r="B33" s="2">
        <v>321821</v>
      </c>
      <c r="C33" s="2">
        <v>2635364</v>
      </c>
      <c r="D33" s="4">
        <f t="shared" si="0"/>
        <v>2.5445550383522348E-5</v>
      </c>
      <c r="E33" s="6" t="s">
        <v>40</v>
      </c>
      <c r="F33" s="5">
        <f>AVERAGE(135.926,134.907,134.5,135.284,134.801)</f>
        <v>135.08359999999999</v>
      </c>
      <c r="G33" s="5"/>
      <c r="H33" s="8"/>
      <c r="I33" s="5"/>
      <c r="J33" s="5"/>
      <c r="L33" s="6" t="s">
        <v>41</v>
      </c>
    </row>
    <row r="34" spans="1:12" x14ac:dyDescent="0.45">
      <c r="A34" t="s">
        <v>47</v>
      </c>
      <c r="B34" s="2">
        <v>414604</v>
      </c>
      <c r="C34" s="2">
        <v>2656177</v>
      </c>
      <c r="D34" s="4">
        <f t="shared" si="0"/>
        <v>1.5452189883119028E-5</v>
      </c>
      <c r="E34" s="7" t="s">
        <v>40</v>
      </c>
      <c r="F34">
        <f>AVERAGE(117.037,117.791,117.413,118.225,116.203)</f>
        <v>117.3338</v>
      </c>
      <c r="G34">
        <f>AVERAGE(0.0157948,0.0160017,0.0160387,0.0167538,0.01609)</f>
        <v>1.6135799999999999E-2</v>
      </c>
      <c r="H34" s="8">
        <f>AVERAGE(0.00000455,0.00000466,0.00000332,0.00000505,0.00000325)</f>
        <v>4.1660000000000004E-6</v>
      </c>
      <c r="I34">
        <f>AVERAGE(115.582,117.63,116.821,117.188,116.428)</f>
        <v>116.7298</v>
      </c>
      <c r="J34" s="5">
        <f>F34-G34-H34-I34</f>
        <v>0.58786003400000197</v>
      </c>
      <c r="L34" s="5"/>
    </row>
    <row r="35" spans="1:12" x14ac:dyDescent="0.45">
      <c r="A35" t="s">
        <v>49</v>
      </c>
      <c r="B35" s="2">
        <v>682862</v>
      </c>
      <c r="C35" s="2">
        <v>3871773</v>
      </c>
      <c r="D35" s="4">
        <f t="shared" si="0"/>
        <v>8.3031712560886745E-6</v>
      </c>
      <c r="E35" s="5">
        <f>AVERAGE(146.993,146.619,146.151,145.034,146.172)</f>
        <v>146.19380000000001</v>
      </c>
      <c r="F35" s="5">
        <f>AVERAGE(553.699,556.87,559.849,550.554,549.045)</f>
        <v>554.00340000000006</v>
      </c>
      <c r="G35" s="5"/>
      <c r="H35" s="8"/>
      <c r="I35" s="5"/>
      <c r="J35" s="5"/>
      <c r="L35" s="5">
        <f>E35/F35</f>
        <v>0.2638861061141502</v>
      </c>
    </row>
    <row r="36" spans="1:12" x14ac:dyDescent="0.45">
      <c r="A36" t="s">
        <v>18</v>
      </c>
      <c r="B36" s="2">
        <v>1585478</v>
      </c>
      <c r="C36" s="2">
        <v>4623152</v>
      </c>
      <c r="D36" s="4">
        <f t="shared" si="0"/>
        <v>1.8391524587282099E-6</v>
      </c>
      <c r="E36" s="5">
        <f>AVERAGE(21.6112,21.7203,21.7304,21.5533,21.6814)</f>
        <v>21.659320000000001</v>
      </c>
      <c r="F36" s="6" t="s">
        <v>33</v>
      </c>
      <c r="G36" s="6"/>
      <c r="H36" s="8"/>
      <c r="I36" s="6"/>
      <c r="J36" s="6"/>
      <c r="L36" s="6" t="s">
        <v>37</v>
      </c>
    </row>
    <row r="37" spans="1:12" x14ac:dyDescent="0.45">
      <c r="A37" t="s">
        <v>57</v>
      </c>
      <c r="B37" s="2">
        <v>1447360</v>
      </c>
      <c r="C37" s="2">
        <v>5514242</v>
      </c>
      <c r="D37" s="4">
        <f t="shared" si="0"/>
        <v>2.6322836707820385E-6</v>
      </c>
      <c r="E37">
        <f>AVERAGE(305.361,305.552,306.74,306.412,307.996)</f>
        <v>306.41220000000004</v>
      </c>
      <c r="F37" s="7" t="s">
        <v>33</v>
      </c>
      <c r="G37" s="7"/>
      <c r="H37" s="8"/>
      <c r="I37" s="7"/>
      <c r="J37" s="7"/>
    </row>
    <row r="38" spans="1:12" x14ac:dyDescent="0.45">
      <c r="A38" t="s">
        <v>63</v>
      </c>
      <c r="B38" s="2">
        <v>659033</v>
      </c>
      <c r="C38" s="2">
        <v>5959282</v>
      </c>
      <c r="D38" s="4">
        <f t="shared" si="0"/>
        <v>1.3720805681887336E-5</v>
      </c>
      <c r="E38">
        <f>AVERAGE(285.172,283.698,286.976,288.123,284.052)</f>
        <v>285.60420000000005</v>
      </c>
      <c r="F38" s="7" t="s">
        <v>40</v>
      </c>
      <c r="G38" s="7"/>
      <c r="H38" s="8"/>
      <c r="I38" s="7"/>
      <c r="J38" s="7"/>
    </row>
    <row r="39" spans="1:12" x14ac:dyDescent="0.45">
      <c r="A39" t="s">
        <v>28</v>
      </c>
      <c r="B39" s="2">
        <v>643994</v>
      </c>
      <c r="C39" s="2">
        <v>6175377</v>
      </c>
      <c r="D39" s="4">
        <f t="shared" si="0"/>
        <v>1.4890176089716772E-5</v>
      </c>
      <c r="E39" s="6" t="s">
        <v>62</v>
      </c>
      <c r="F39" s="5">
        <f>AVERAGE(649.098,654.949,639.015,633.014,635.83)</f>
        <v>642.38120000000004</v>
      </c>
      <c r="G39" s="5"/>
      <c r="H39" s="8"/>
      <c r="I39" s="5"/>
      <c r="J39" s="5"/>
      <c r="L39" s="5"/>
    </row>
    <row r="40" spans="1:12" x14ac:dyDescent="0.45">
      <c r="A40" t="s">
        <v>59</v>
      </c>
      <c r="B40" s="2">
        <v>2707524</v>
      </c>
      <c r="C40" s="2">
        <v>14810202</v>
      </c>
      <c r="D40" s="4">
        <f t="shared" si="0"/>
        <v>2.0203022711070737E-6</v>
      </c>
      <c r="E40">
        <f>AVERAGE(26.6706,26.2386,26.5608,26.5076,26.6075)</f>
        <v>26.517020000000002</v>
      </c>
      <c r="F40" s="7" t="s">
        <v>33</v>
      </c>
      <c r="G40" s="7"/>
      <c r="H40" s="8"/>
      <c r="I40" s="7"/>
      <c r="J40" s="7"/>
    </row>
    <row r="41" spans="1:12" x14ac:dyDescent="0.45">
      <c r="A41" t="s">
        <v>19</v>
      </c>
      <c r="B41" s="2">
        <v>3428755</v>
      </c>
      <c r="C41" s="2">
        <v>18920347</v>
      </c>
      <c r="D41" s="4">
        <f t="shared" si="0"/>
        <v>1.6093710665541341E-6</v>
      </c>
      <c r="E41" s="5">
        <f>AVERAGE(26.0253,26.3346,26.5668,26.5158,26.4503)</f>
        <v>26.37856</v>
      </c>
      <c r="F41" s="6" t="s">
        <v>33</v>
      </c>
      <c r="G41" s="6"/>
      <c r="H41" s="8"/>
      <c r="I41" s="6"/>
      <c r="J41" s="6"/>
      <c r="L41" s="6" t="s">
        <v>38</v>
      </c>
    </row>
    <row r="42" spans="1:12" x14ac:dyDescent="0.45">
      <c r="A42" t="s">
        <v>65</v>
      </c>
      <c r="B42" s="2">
        <v>3523317</v>
      </c>
      <c r="C42" s="2">
        <v>19194193</v>
      </c>
      <c r="D42" s="4">
        <f t="shared" si="0"/>
        <v>1.5462026696446803E-6</v>
      </c>
      <c r="E42">
        <f>AVERAGE(17.8715,17.9689,18.1103,18.1855,18.0244)</f>
        <v>18.032119999999999</v>
      </c>
      <c r="F42" s="7" t="s">
        <v>40</v>
      </c>
      <c r="G42" s="7"/>
      <c r="H42" s="8"/>
      <c r="I42" s="7"/>
      <c r="J42" s="7"/>
    </row>
    <row r="43" spans="1:12" x14ac:dyDescent="0.45">
      <c r="A43" t="s">
        <v>56</v>
      </c>
      <c r="B43" s="2">
        <v>4690002</v>
      </c>
      <c r="C43" s="2">
        <v>20316253</v>
      </c>
      <c r="D43" s="4">
        <f t="shared" si="0"/>
        <v>9.2362899208116044E-7</v>
      </c>
      <c r="E43">
        <f>AVERAGE(99.9566,98.8992,99.88,103.665,103.237)</f>
        <v>101.12755999999999</v>
      </c>
      <c r="F43" s="7" t="s">
        <v>33</v>
      </c>
      <c r="G43" s="7"/>
      <c r="H43" s="8"/>
      <c r="I43" s="7"/>
      <c r="J43" s="7"/>
    </row>
    <row r="44" spans="1:12" x14ac:dyDescent="0.45">
      <c r="A44" t="s">
        <v>60</v>
      </c>
      <c r="B44" s="2">
        <v>2999349</v>
      </c>
      <c r="C44" s="2">
        <v>23042677</v>
      </c>
      <c r="D44" s="4">
        <f t="shared" si="0"/>
        <v>2.5614089753255484E-6</v>
      </c>
      <c r="E44" s="7" t="s">
        <v>61</v>
      </c>
      <c r="F44" s="7" t="s">
        <v>33</v>
      </c>
      <c r="G44" s="7"/>
      <c r="H44" s="8"/>
      <c r="I44" s="7"/>
      <c r="J44" s="7"/>
    </row>
    <row r="45" spans="1:12" x14ac:dyDescent="0.45">
      <c r="A45" t="s">
        <v>58</v>
      </c>
      <c r="B45" s="2">
        <v>2987012</v>
      </c>
      <c r="C45" s="2">
        <v>26621990</v>
      </c>
      <c r="D45" s="4">
        <f t="shared" si="0"/>
        <v>2.9837785070487592E-6</v>
      </c>
      <c r="E45" s="7" t="s">
        <v>33</v>
      </c>
      <c r="F45" s="7" t="s">
        <v>33</v>
      </c>
      <c r="G45" s="7"/>
      <c r="H45" s="8"/>
      <c r="I45" s="7"/>
      <c r="J45" s="7"/>
    </row>
    <row r="46" spans="1:12" x14ac:dyDescent="0.45">
      <c r="A46" t="s">
        <v>64</v>
      </c>
      <c r="B46" s="2">
        <v>5558326</v>
      </c>
      <c r="C46" s="2">
        <v>59524291</v>
      </c>
      <c r="D46" s="4">
        <f t="shared" si="0"/>
        <v>1.9266649706984222E-6</v>
      </c>
      <c r="E46" s="7" t="s">
        <v>40</v>
      </c>
      <c r="F46" s="7" t="s">
        <v>40</v>
      </c>
      <c r="G46" s="7"/>
      <c r="H46" s="8"/>
      <c r="I46" s="7"/>
      <c r="J46" s="7"/>
    </row>
    <row r="47" spans="1:12" x14ac:dyDescent="0.45">
      <c r="B47" s="2"/>
      <c r="C47" s="2"/>
      <c r="D47" s="4"/>
      <c r="E47" s="5"/>
      <c r="F47" s="5"/>
      <c r="G47" s="5"/>
      <c r="H47" s="8"/>
      <c r="I47" s="5"/>
      <c r="J47" s="5"/>
      <c r="L47" s="5"/>
    </row>
    <row r="48" spans="1:12" x14ac:dyDescent="0.45">
      <c r="B48" s="2"/>
      <c r="C48" s="2"/>
      <c r="D48" s="4"/>
      <c r="H48" s="8"/>
    </row>
    <row r="49" spans="2:12" x14ac:dyDescent="0.45">
      <c r="B49" s="2"/>
      <c r="C49" s="2"/>
      <c r="D49" s="4"/>
      <c r="E49" s="6"/>
      <c r="F49" s="5"/>
      <c r="G49" s="5"/>
      <c r="H49" s="8"/>
      <c r="I49" s="5"/>
      <c r="J49" s="5"/>
      <c r="L49" s="6"/>
    </row>
    <row r="50" spans="2:12" x14ac:dyDescent="0.45">
      <c r="B50" s="2"/>
      <c r="C50" s="2"/>
      <c r="D50" s="4"/>
      <c r="E50" s="5"/>
      <c r="F50" s="5"/>
      <c r="G50" s="5"/>
      <c r="H50" s="8"/>
      <c r="I50" s="5"/>
      <c r="J50" s="5"/>
      <c r="L50" s="5"/>
    </row>
    <row r="51" spans="2:12" x14ac:dyDescent="0.45">
      <c r="D51" s="4"/>
    </row>
    <row r="52" spans="2:12" x14ac:dyDescent="0.45">
      <c r="D52" s="4"/>
      <c r="F52" s="7"/>
      <c r="G52" s="7"/>
      <c r="H52" s="7"/>
      <c r="I52" s="7"/>
      <c r="J52" s="7"/>
    </row>
    <row r="53" spans="2:12" x14ac:dyDescent="0.45">
      <c r="D53" s="9"/>
    </row>
  </sheetData>
  <sortState xmlns:xlrd2="http://schemas.microsoft.com/office/spreadsheetml/2017/richdata2" ref="A6:L46">
    <sortCondition ref="C6:C46"/>
  </sortState>
  <mergeCells count="9">
    <mergeCell ref="A3:A5"/>
    <mergeCell ref="B3:B5"/>
    <mergeCell ref="C3:C5"/>
    <mergeCell ref="L3:L5"/>
    <mergeCell ref="E5:K5"/>
    <mergeCell ref="D3:D5"/>
    <mergeCell ref="E3:E4"/>
    <mergeCell ref="K3:K4"/>
    <mergeCell ref="F3:J3"/>
  </mergeCells>
  <dataValidations count="1">
    <dataValidation type="decimal" allowBlank="1" showInputMessage="1" showErrorMessage="1" sqref="G54" xr:uid="{A856C47B-C765-4C2A-AB4D-C662B056EA74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2021-11-01T21:51:17Z</dcterms:created>
  <dcterms:modified xsi:type="dcterms:W3CDTF">2021-12-13T23:46:29Z</dcterms:modified>
</cp:coreProperties>
</file>