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mesm2679_colorado_edu/Documents/"/>
    </mc:Choice>
  </mc:AlternateContent>
  <xr:revisionPtr revIDLastSave="0" documentId="8_{348DE0F5-0F11-4582-9C79-10CF88DCDB9C}" xr6:coauthVersionLast="47" xr6:coauthVersionMax="47" xr10:uidLastSave="{00000000-0000-0000-0000-000000000000}"/>
  <bookViews>
    <workbookView xWindow="0" yWindow="500" windowWidth="29380" windowHeight="17160" xr2:uid="{EE959A23-B357-BB45-AD57-5EC08C18E57C}"/>
  </bookViews>
  <sheets>
    <sheet name="Refrences" sheetId="17" r:id="rId1"/>
    <sheet name="D4-H" sheetId="16" r:id="rId2"/>
    <sheet name="D4-C" sheetId="15" r:id="rId3"/>
    <sheet name="D3-H" sheetId="9" r:id="rId4"/>
    <sheet name="D3-C" sheetId="10" r:id="rId5"/>
    <sheet name="D2-H" sheetId="11" r:id="rId6"/>
    <sheet name="D2-C" sheetId="12" r:id="rId7"/>
    <sheet name="D1-H" sheetId="13" r:id="rId8"/>
    <sheet name="D1-C" sheetId="8" r:id="rId9"/>
    <sheet name="C3" sheetId="7" r:id="rId10"/>
    <sheet name="H1" sheetId="6" r:id="rId11"/>
    <sheet name="C2" sheetId="5" r:id="rId12"/>
    <sheet name="C1" sheetId="4" r:id="rId13"/>
    <sheet name="Summary of Utilities" sheetId="1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8" l="1"/>
  <c r="D6" i="18"/>
  <c r="E4" i="18"/>
  <c r="D4" i="18"/>
  <c r="C83" i="5"/>
  <c r="E5" i="18"/>
  <c r="B5" i="18"/>
  <c r="D5" i="18"/>
  <c r="C6" i="18"/>
  <c r="C5" i="18"/>
  <c r="C4" i="18"/>
  <c r="C3" i="18"/>
  <c r="D3" i="18" s="1"/>
  <c r="E3" i="18" s="1"/>
  <c r="E2" i="18"/>
  <c r="D2" i="18"/>
  <c r="C2" i="18"/>
  <c r="B2" i="18"/>
  <c r="C92" i="7"/>
  <c r="C95" i="7" s="1"/>
  <c r="C91" i="7"/>
  <c r="C94" i="7" s="1"/>
  <c r="C92" i="4"/>
  <c r="C95" i="4" s="1"/>
  <c r="C91" i="4"/>
  <c r="C94" i="4" s="1"/>
  <c r="C92" i="6"/>
  <c r="C95" i="6" s="1"/>
  <c r="C91" i="6"/>
  <c r="C94" i="6" s="1"/>
  <c r="C94" i="5"/>
  <c r="C92" i="5"/>
  <c r="C95" i="5" s="1"/>
  <c r="C91" i="5"/>
  <c r="C70" i="4"/>
  <c r="C89" i="4"/>
  <c r="C62" i="4"/>
  <c r="C59" i="4"/>
  <c r="C56" i="4"/>
  <c r="C16" i="4"/>
  <c r="C15" i="4"/>
  <c r="C19" i="4"/>
  <c r="C18" i="4"/>
  <c r="C40" i="16"/>
  <c r="C40" i="15"/>
  <c r="C40" i="9"/>
  <c r="C40" i="10"/>
  <c r="C40" i="11"/>
  <c r="C40" i="12"/>
  <c r="C40" i="13"/>
  <c r="C40" i="8"/>
  <c r="C40" i="7"/>
  <c r="C40" i="6"/>
  <c r="C62" i="6" s="1"/>
  <c r="C40" i="5"/>
  <c r="C40" i="4"/>
  <c r="C89" i="16"/>
  <c r="C89" i="15"/>
  <c r="C89" i="9"/>
  <c r="C89" i="10"/>
  <c r="C89" i="11"/>
  <c r="C89" i="12"/>
  <c r="C89" i="13"/>
  <c r="C89" i="8"/>
  <c r="C89" i="7"/>
  <c r="C89" i="6"/>
  <c r="C89" i="5"/>
  <c r="C62" i="16"/>
  <c r="C86" i="6"/>
  <c r="C86" i="7"/>
  <c r="C86" i="8"/>
  <c r="C86" i="13"/>
  <c r="C86" i="12"/>
  <c r="C86" i="11"/>
  <c r="C86" i="10"/>
  <c r="C86" i="9"/>
  <c r="C86" i="15"/>
  <c r="C86" i="16"/>
  <c r="C69" i="7"/>
  <c r="C69" i="16"/>
  <c r="C28" i="15"/>
  <c r="C28" i="11"/>
  <c r="C17" i="13"/>
  <c r="C28" i="13"/>
  <c r="C17" i="8"/>
  <c r="C28" i="8"/>
  <c r="C83" i="16"/>
  <c r="C83" i="9"/>
  <c r="C83" i="11"/>
  <c r="C83" i="13"/>
  <c r="C83" i="6"/>
  <c r="C83" i="15"/>
  <c r="C83" i="10"/>
  <c r="C83" i="12"/>
  <c r="C83" i="8"/>
  <c r="C83" i="7"/>
  <c r="C83" i="4"/>
  <c r="C15" i="10"/>
  <c r="C15" i="11"/>
  <c r="C26" i="6"/>
  <c r="C56" i="8"/>
  <c r="C42" i="7"/>
  <c r="C70" i="16"/>
  <c r="C71" i="16"/>
  <c r="C56" i="16"/>
  <c r="C52" i="16"/>
  <c r="C42" i="16"/>
  <c r="C43" i="16"/>
  <c r="C15" i="16"/>
  <c r="C16" i="16"/>
  <c r="C17" i="16"/>
  <c r="C28" i="16" s="1"/>
  <c r="C59" i="16" s="1"/>
  <c r="C18" i="16"/>
  <c r="C19" i="16"/>
  <c r="C69" i="15"/>
  <c r="C70" i="15" s="1"/>
  <c r="C56" i="15"/>
  <c r="C52" i="15"/>
  <c r="C42" i="15"/>
  <c r="C43" i="15"/>
  <c r="C15" i="15"/>
  <c r="C16" i="15"/>
  <c r="C17" i="15"/>
  <c r="C59" i="15" s="1"/>
  <c r="C62" i="15" s="1"/>
  <c r="C18" i="15"/>
  <c r="C19" i="15"/>
  <c r="C69" i="13"/>
  <c r="C70" i="13" s="1"/>
  <c r="C71" i="13"/>
  <c r="C56" i="13"/>
  <c r="C52" i="13"/>
  <c r="C42" i="13"/>
  <c r="C43" i="13"/>
  <c r="C15" i="13"/>
  <c r="C16" i="13"/>
  <c r="C18" i="13"/>
  <c r="C19" i="13"/>
  <c r="C69" i="12"/>
  <c r="C70" i="12" s="1"/>
  <c r="C56" i="12"/>
  <c r="C52" i="12"/>
  <c r="C42" i="12"/>
  <c r="C43" i="12"/>
  <c r="C15" i="12"/>
  <c r="C16" i="12"/>
  <c r="C17" i="12"/>
  <c r="C28" i="12" s="1"/>
  <c r="C59" i="12" s="1"/>
  <c r="C62" i="12" s="1"/>
  <c r="C18" i="12"/>
  <c r="C19" i="12"/>
  <c r="C69" i="11"/>
  <c r="C70" i="11"/>
  <c r="C71" i="11"/>
  <c r="C56" i="11"/>
  <c r="C52" i="11"/>
  <c r="C42" i="11"/>
  <c r="C43" i="11"/>
  <c r="C16" i="11"/>
  <c r="C17" i="11"/>
  <c r="C59" i="11" s="1"/>
  <c r="C62" i="11" s="1"/>
  <c r="C18" i="11"/>
  <c r="C19" i="11"/>
  <c r="C69" i="10"/>
  <c r="C70" i="10" s="1"/>
  <c r="C56" i="10"/>
  <c r="C52" i="10"/>
  <c r="C42" i="10"/>
  <c r="C43" i="10"/>
  <c r="C16" i="10"/>
  <c r="C17" i="10"/>
  <c r="C28" i="10" s="1"/>
  <c r="C59" i="10" s="1"/>
  <c r="C62" i="10" s="1"/>
  <c r="C18" i="10"/>
  <c r="C19" i="10"/>
  <c r="C69" i="9"/>
  <c r="C70" i="9" s="1"/>
  <c r="C56" i="9"/>
  <c r="C52" i="9"/>
  <c r="C42" i="9"/>
  <c r="C43" i="9"/>
  <c r="C15" i="9"/>
  <c r="C16" i="9"/>
  <c r="C17" i="9"/>
  <c r="C28" i="9" s="1"/>
  <c r="C59" i="9" s="1"/>
  <c r="C62" i="9" s="1"/>
  <c r="C18" i="9"/>
  <c r="C19" i="9"/>
  <c r="C69" i="8"/>
  <c r="C71" i="8" s="1"/>
  <c r="C52" i="8"/>
  <c r="C43" i="8"/>
  <c r="C42" i="8"/>
  <c r="C19" i="8"/>
  <c r="C18" i="8"/>
  <c r="C16" i="8"/>
  <c r="C15" i="8"/>
  <c r="C59" i="13" l="1"/>
  <c r="C62" i="13" s="1"/>
  <c r="C71" i="15"/>
  <c r="C71" i="12"/>
  <c r="C71" i="10"/>
  <c r="C71" i="9"/>
  <c r="C70" i="8"/>
  <c r="C16" i="6"/>
  <c r="C19" i="7"/>
  <c r="C19" i="6"/>
  <c r="C19" i="5"/>
  <c r="C71" i="7"/>
  <c r="C56" i="7"/>
  <c r="C52" i="7"/>
  <c r="C43" i="7"/>
  <c r="C18" i="7"/>
  <c r="C16" i="7"/>
  <c r="C15" i="7"/>
  <c r="C69" i="6"/>
  <c r="C71" i="6" s="1"/>
  <c r="C56" i="6"/>
  <c r="C52" i="6"/>
  <c r="C43" i="6"/>
  <c r="C42" i="6"/>
  <c r="C18" i="6"/>
  <c r="C15" i="6"/>
  <c r="C17" i="6" s="1"/>
  <c r="C28" i="6" s="1"/>
  <c r="C59" i="6" s="1"/>
  <c r="C69" i="5"/>
  <c r="C71" i="5" s="1"/>
  <c r="C56" i="5"/>
  <c r="C52" i="5"/>
  <c r="C43" i="5"/>
  <c r="C42" i="5"/>
  <c r="C18" i="5"/>
  <c r="C16" i="5"/>
  <c r="C15" i="5"/>
  <c r="C17" i="5" s="1"/>
  <c r="C28" i="5" s="1"/>
  <c r="C59" i="5" s="1"/>
  <c r="C69" i="4"/>
  <c r="C71" i="4" s="1"/>
  <c r="C52" i="4"/>
  <c r="C43" i="4"/>
  <c r="C42" i="4"/>
  <c r="C62" i="5" l="1"/>
  <c r="C86" i="5"/>
  <c r="C59" i="8"/>
  <c r="C62" i="8" s="1"/>
  <c r="C17" i="7"/>
  <c r="C70" i="7"/>
  <c r="C70" i="6"/>
  <c r="C70" i="5"/>
  <c r="C17" i="4"/>
  <c r="C28" i="4" s="1"/>
  <c r="C28" i="7" l="1"/>
  <c r="C59" i="7" s="1"/>
  <c r="C62" i="7" s="1"/>
  <c r="C86" i="4" l="1"/>
</calcChain>
</file>

<file path=xl/sharedStrings.xml><?xml version="1.0" encoding="utf-8"?>
<sst xmlns="http://schemas.openxmlformats.org/spreadsheetml/2006/main" count="1998" uniqueCount="138">
  <si>
    <t>https://www.engineeringtoolbox.com/water-thermal-properties-d_162.html</t>
  </si>
  <si>
    <t>c_p of steam and water</t>
  </si>
  <si>
    <t>https://www.sphinxsai.com/2012/july_sept12/Chem/pdfchem/CT=18(956-961)%20JS%2012.pdf</t>
  </si>
  <si>
    <t>c_p pf brine</t>
  </si>
  <si>
    <t>https://www.engineeringtoolbox.com/dowtherm-a-pysical-properties-d_1591.html</t>
  </si>
  <si>
    <t>c_p of Dowtherm A</t>
  </si>
  <si>
    <t>https://www.engineeringtoolbox.com/ethylene-ethene-C2H4-properties-d_2104.html</t>
  </si>
  <si>
    <t>c_p of ethylene</t>
  </si>
  <si>
    <t>https://www.engineersedge.com/thermodynamics/overall_heat_transfer-table.htm</t>
  </si>
  <si>
    <t>U of Dowtherm A</t>
  </si>
  <si>
    <t>https://www.thomasnet.com/articles/process-equipment/shell-and-tube-heat-exchangers/</t>
  </si>
  <si>
    <t>shell and tube HX info</t>
  </si>
  <si>
    <t>1 &amp; 2. Choose utility and tube/shell components</t>
  </si>
  <si>
    <t>Tube:</t>
  </si>
  <si>
    <t>Process Stream</t>
  </si>
  <si>
    <t>Heuristic 55</t>
  </si>
  <si>
    <t>Shell:</t>
  </si>
  <si>
    <t>Dowtherm A</t>
  </si>
  <si>
    <t>3. Determine Pressure Drop</t>
  </si>
  <si>
    <t>P(in)</t>
  </si>
  <si>
    <t>psi</t>
  </si>
  <si>
    <t>From problem statement</t>
  </si>
  <si>
    <t>delta P (tube)</t>
  </si>
  <si>
    <t>Heuristic 31</t>
  </si>
  <si>
    <t>delta P (shell)</t>
  </si>
  <si>
    <t>4. Determining FT</t>
  </si>
  <si>
    <t>Hi</t>
  </si>
  <si>
    <t>F</t>
  </si>
  <si>
    <t>From HYSYS</t>
  </si>
  <si>
    <t>Ho</t>
  </si>
  <si>
    <t>Ci</t>
  </si>
  <si>
    <t>Table 12.1</t>
  </si>
  <si>
    <t>Co</t>
  </si>
  <si>
    <t>delta T1</t>
  </si>
  <si>
    <t xml:space="preserve">calculated </t>
  </si>
  <si>
    <t>delta T2</t>
  </si>
  <si>
    <t>delta TLM</t>
  </si>
  <si>
    <t>R</t>
  </si>
  <si>
    <t>S</t>
  </si>
  <si>
    <t>FT</t>
  </si>
  <si>
    <t>Figure 12.15</t>
  </si>
  <si>
    <t>Shell:Tube</t>
  </si>
  <si>
    <t>Shells</t>
  </si>
  <si>
    <t>Tube passes</t>
  </si>
  <si>
    <t>5 &amp; 6 &amp; 7. Determine Overall Heat Transfer Coefficient, Heat Duty, and Required Heat Transfer Area</t>
  </si>
  <si>
    <t>U</t>
  </si>
  <si>
    <t>Btu/(F*ft^2*hr)</t>
  </si>
  <si>
    <t>from Table 12.5</t>
  </si>
  <si>
    <t>Q</t>
  </si>
  <si>
    <t>Btu/hr</t>
  </si>
  <si>
    <t xml:space="preserve">Req'd surface area per heat exchanger </t>
  </si>
  <si>
    <t>ft^2</t>
  </si>
  <si>
    <t>Calculated</t>
  </si>
  <si>
    <t>8. Determine tube and shell volumetric flow rates</t>
  </si>
  <si>
    <t>cp (tube,in)</t>
  </si>
  <si>
    <t>Btu/lbmol F</t>
  </si>
  <si>
    <t>cp (tube,out)</t>
  </si>
  <si>
    <t>cp (shell,in)</t>
  </si>
  <si>
    <t>cp (shell,out)</t>
  </si>
  <si>
    <t>Density (tube,in)</t>
  </si>
  <si>
    <t>lbmole/ft^3</t>
  </si>
  <si>
    <t>Density (tube,out)</t>
  </si>
  <si>
    <t>Density (shell,in)</t>
  </si>
  <si>
    <t>Density (shell,out)</t>
  </si>
  <si>
    <t xml:space="preserve">Vol Flow Tube </t>
  </si>
  <si>
    <t>ft^3/hr</t>
  </si>
  <si>
    <t>m^3/hr</t>
  </si>
  <si>
    <t>Vol Flow (shell,in)</t>
  </si>
  <si>
    <t xml:space="preserve">Calculated </t>
  </si>
  <si>
    <t>Vol Flow (shell,out)</t>
  </si>
  <si>
    <t>Must account for if we have multiple heat exchangers in parellel:</t>
  </si>
  <si>
    <t>Vol flow_o (tube)</t>
  </si>
  <si>
    <t xml:space="preserve">*no parellel heat exchangers </t>
  </si>
  <si>
    <t>Vol Flow_o (shell)</t>
  </si>
  <si>
    <t>9. Choose tube type</t>
  </si>
  <si>
    <t>O.D tubes</t>
  </si>
  <si>
    <t>in</t>
  </si>
  <si>
    <t>Heuristic 54</t>
  </si>
  <si>
    <t>Gauge</t>
  </si>
  <si>
    <t>From table 12.4</t>
  </si>
  <si>
    <t>Xsectional Area/Tube</t>
  </si>
  <si>
    <t>ft2</t>
  </si>
  <si>
    <t>Surface per L in Ft</t>
  </si>
  <si>
    <t>10 &amp; 11. Select tube length &amp; determine total (use tube outer diameter)</t>
  </si>
  <si>
    <t>L</t>
  </si>
  <si>
    <t>ft</t>
  </si>
  <si>
    <t>A (surface)_o (1-tube)</t>
  </si>
  <si>
    <t>in2</t>
  </si>
  <si>
    <t>12. Calculate number of tubes</t>
  </si>
  <si>
    <t>N</t>
  </si>
  <si>
    <t>tubes</t>
  </si>
  <si>
    <t>13. Determine velocity in tubes</t>
  </si>
  <si>
    <t>Velocity (tubes)</t>
  </si>
  <si>
    <t>ft/hr</t>
  </si>
  <si>
    <t>calculated</t>
  </si>
  <si>
    <t xml:space="preserve">14. Is velocity acceptable? Adjust your chosen parameters above to get a tube velocity in the acceptable range </t>
  </si>
  <si>
    <t>Yes</t>
  </si>
  <si>
    <t>15 &amp; 16 &amp; 17. Determien Tube Spacing, Baffle Design and Shell ID</t>
  </si>
  <si>
    <t xml:space="preserve">Pitch </t>
  </si>
  <si>
    <t>Triangular pitch, as recommended by Heuristic 54</t>
  </si>
  <si>
    <t>Shell Id</t>
  </si>
  <si>
    <t>Baffle Cut</t>
  </si>
  <si>
    <t>25% baffle cut, as is standard for liquid shell-side</t>
  </si>
  <si>
    <t>Baffle Spacing</t>
  </si>
  <si>
    <t>Recommended 20% - 80% of shell ID, using 30% due to larger shell ID</t>
  </si>
  <si>
    <t>18. Pick shell &amp; tube material</t>
  </si>
  <si>
    <t xml:space="preserve">Shell </t>
  </si>
  <si>
    <t>Carbon Steel</t>
  </si>
  <si>
    <t>Temperature limit of material is within range for 19 mm tube od, per Table A-III.I</t>
  </si>
  <si>
    <t>Tubes</t>
  </si>
  <si>
    <t>Process stream flowrate</t>
  </si>
  <si>
    <t>lbmol/hr</t>
  </si>
  <si>
    <t>Process stream c_p</t>
  </si>
  <si>
    <t>Btu/lbmol-F</t>
  </si>
  <si>
    <t>Utility c_p</t>
  </si>
  <si>
    <t>Utility flowrate</t>
  </si>
  <si>
    <t xml:space="preserve">Total X section area </t>
  </si>
  <si>
    <t>Vapor fraction</t>
  </si>
  <si>
    <t>Pressure drop</t>
  </si>
  <si>
    <t>From Heuristic 31</t>
  </si>
  <si>
    <t>Chilled Brine</t>
  </si>
  <si>
    <t>1:2</t>
  </si>
  <si>
    <t>Ethylene</t>
  </si>
  <si>
    <t>Cooling water</t>
  </si>
  <si>
    <t>Steam</t>
  </si>
  <si>
    <t>2:4</t>
  </si>
  <si>
    <t>m*c_p (process)</t>
  </si>
  <si>
    <t>Btu/F-hr</t>
  </si>
  <si>
    <t>m*c_p(utility)</t>
  </si>
  <si>
    <t>kJ/C-hr</t>
  </si>
  <si>
    <t>m*c_p (utility)</t>
  </si>
  <si>
    <t>from online source (https://www.engineersedge.com/thermodynamics/overall_heat_transfer-table.htm)</t>
  </si>
  <si>
    <t>Cooling Water</t>
  </si>
  <si>
    <t>Utility</t>
  </si>
  <si>
    <t>Price ($/gal)</t>
  </si>
  <si>
    <t>Amount Used (lbmol/hr)</t>
  </si>
  <si>
    <t>Amount Used (gal/hr)</t>
  </si>
  <si>
    <t>Cost ($/hr)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</si>
</sst>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wrapText="1"/>
    </xf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right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48440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0A5AAC-55E4-4AB9-B880-55A2D858F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025" y="11692618"/>
          <a:ext cx="3774168" cy="33110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22225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7D7690-6767-435D-8FD6-F9708FE32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1508468"/>
          <a:ext cx="3774168" cy="324757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12</xdr:row>
      <xdr:rowOff>47625</xdr:rowOff>
    </xdr:from>
    <xdr:to>
      <xdr:col>11</xdr:col>
      <xdr:colOff>809625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74ACE-FB5A-46BF-8C23-4AF0B1CB4B69}"/>
            </a:ext>
            <a:ext uri="{147F2762-F138-4A5C-976F-8EAC2B608ADB}">
              <a16:predDERef xmlns:a16="http://schemas.microsoft.com/office/drawing/2014/main" pred="{B27D7690-6767-435D-8FD6-F9708FE32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2447925"/>
          <a:ext cx="3095625" cy="4076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22225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DC440-1E0D-4A56-B85C-27A7264A9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1508468"/>
          <a:ext cx="3774168" cy="32475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22225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9CC91-2761-4CEB-8718-0CBCF7C18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1508468"/>
          <a:ext cx="3774168" cy="3247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6E61DC-9FFA-4B2D-9D57-85261FD60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2025" y="11721193"/>
          <a:ext cx="3774168" cy="3311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EEC675-2E83-45D5-B2DB-1318A6995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6825" y="11721193"/>
          <a:ext cx="3774168" cy="331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670AD7-81E6-400A-A76F-7866B4C5C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6825" y="11721193"/>
          <a:ext cx="3774168" cy="3311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D8947-F4C8-47AE-AA5C-80E9560B7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6825" y="11721193"/>
          <a:ext cx="3774168" cy="3311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9F2EE4-B73E-48D3-AC15-3F3B191F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6825" y="11721193"/>
          <a:ext cx="3774168" cy="3311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303A83-2C51-4E76-8B9F-B281D2A62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6825" y="11721193"/>
          <a:ext cx="3774168" cy="3311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22225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0CD778-CEA2-4AFE-B579-E923E8994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6825" y="11692618"/>
          <a:ext cx="3774168" cy="3311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</xdr:colOff>
      <xdr:row>57</xdr:row>
      <xdr:rowOff>91168</xdr:rowOff>
    </xdr:from>
    <xdr:to>
      <xdr:col>4</xdr:col>
      <xdr:colOff>3790043</xdr:colOff>
      <xdr:row>59</xdr:row>
      <xdr:rowOff>22225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6B969-4EC4-4A2C-A416-70BA4077A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11508468"/>
          <a:ext cx="3774168" cy="324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dowtherm-a-pysical-properties-d_1591.html" TargetMode="External"/><Relationship Id="rId2" Type="http://schemas.openxmlformats.org/officeDocument/2006/relationships/hyperlink" Target="https://www.sphinxsai.com/2012/july_sept12/Chem/pdfchem/CT=18(956-961)%20JS%2012.pdf" TargetMode="External"/><Relationship Id="rId1" Type="http://schemas.openxmlformats.org/officeDocument/2006/relationships/hyperlink" Target="https://www.engineeringtoolbox.com/water-thermal-properties-d_162.html" TargetMode="External"/><Relationship Id="rId5" Type="http://schemas.openxmlformats.org/officeDocument/2006/relationships/hyperlink" Target="https://www.thomasnet.com/articles/process-equipment/shell-and-tube-heat-exchangers/" TargetMode="External"/><Relationship Id="rId4" Type="http://schemas.openxmlformats.org/officeDocument/2006/relationships/hyperlink" Target="https://www.engineeringtoolbox.com/ethylene-ethene-C2H4-properties-d_2104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3756-6424-4FC6-8D65-6F0F9F5C3376}">
  <dimension ref="A1:A17"/>
  <sheetViews>
    <sheetView tabSelected="1" topLeftCell="A6" workbookViewId="0">
      <selection activeCell="A16" sqref="A16"/>
    </sheetView>
  </sheetViews>
  <sheetFormatPr defaultRowHeight="15.75"/>
  <sheetData>
    <row r="1" spans="1:1">
      <c r="A1" s="6" t="s">
        <v>0</v>
      </c>
    </row>
    <row r="2" spans="1:1">
      <c r="A2" t="s">
        <v>1</v>
      </c>
    </row>
    <row r="4" spans="1:1">
      <c r="A4" s="6" t="s">
        <v>2</v>
      </c>
    </row>
    <row r="5" spans="1:1">
      <c r="A5" t="s">
        <v>3</v>
      </c>
    </row>
    <row r="7" spans="1:1">
      <c r="A7" s="6" t="s">
        <v>4</v>
      </c>
    </row>
    <row r="8" spans="1:1">
      <c r="A8" t="s">
        <v>5</v>
      </c>
    </row>
    <row r="10" spans="1:1">
      <c r="A10" s="6" t="s">
        <v>6</v>
      </c>
    </row>
    <row r="11" spans="1:1">
      <c r="A11" t="s">
        <v>7</v>
      </c>
    </row>
    <row r="13" spans="1:1">
      <c r="A13" s="7" t="s">
        <v>8</v>
      </c>
    </row>
    <row r="14" spans="1:1">
      <c r="A14" t="s">
        <v>9</v>
      </c>
    </row>
    <row r="16" spans="1:1">
      <c r="A16" s="6" t="s">
        <v>10</v>
      </c>
    </row>
    <row r="17" spans="1:1">
      <c r="A17" t="s">
        <v>11</v>
      </c>
    </row>
  </sheetData>
  <hyperlinks>
    <hyperlink ref="A1" r:id="rId1" xr:uid="{73423314-42A2-4268-9D0D-9C22640DC996}"/>
    <hyperlink ref="A4" r:id="rId2" xr:uid="{F40389D9-C795-4716-BB79-03794C7CA976}"/>
    <hyperlink ref="A7" r:id="rId3" xr:uid="{BD117545-E961-4123-A976-519588C8BE1A}"/>
    <hyperlink ref="A10" r:id="rId4" xr:uid="{1A70793E-A341-48D2-A438-98B456A9B122}"/>
    <hyperlink ref="A16" r:id="rId5" xr:uid="{3CE5AB16-2E93-4C2E-A586-C9E8C52A73F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7380-D400-4FAD-A241-512503F7E4F9}">
  <dimension ref="A1:E95"/>
  <sheetViews>
    <sheetView zoomScale="85" zoomScaleNormal="115" workbookViewId="0">
      <selection activeCell="B96" sqref="B96"/>
    </sheetView>
  </sheetViews>
  <sheetFormatPr defaultColWidth="11" defaultRowHeight="15.95"/>
  <cols>
    <col min="1" max="1" width="6.125" customWidth="1"/>
    <col min="2" max="2" width="21.625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120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500</v>
      </c>
      <c r="D11" t="s">
        <v>27</v>
      </c>
      <c r="E11" t="s">
        <v>28</v>
      </c>
    </row>
    <row r="12" spans="1:5">
      <c r="B12" t="s">
        <v>29</v>
      </c>
      <c r="C12">
        <v>50</v>
      </c>
      <c r="D12" t="s">
        <v>27</v>
      </c>
      <c r="E12" t="s">
        <v>28</v>
      </c>
    </row>
    <row r="13" spans="1:5">
      <c r="B13" t="s">
        <v>30</v>
      </c>
      <c r="C13">
        <v>0</v>
      </c>
      <c r="D13" t="s">
        <v>27</v>
      </c>
      <c r="E13" t="s">
        <v>31</v>
      </c>
    </row>
    <row r="14" spans="1:5">
      <c r="B14" t="s">
        <v>32</v>
      </c>
      <c r="C14">
        <v>60</v>
      </c>
      <c r="D14" t="s">
        <v>27</v>
      </c>
      <c r="E14" t="s">
        <v>31</v>
      </c>
    </row>
    <row r="15" spans="1:5">
      <c r="B15" t="s">
        <v>33</v>
      </c>
      <c r="C15">
        <f>C12-C13</f>
        <v>50</v>
      </c>
      <c r="D15" t="s">
        <v>27</v>
      </c>
      <c r="E15" t="s">
        <v>34</v>
      </c>
    </row>
    <row r="16" spans="1:5">
      <c r="B16" t="s">
        <v>35</v>
      </c>
      <c r="C16">
        <f>C11-C14</f>
        <v>440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179.33081562701062</v>
      </c>
      <c r="D17" t="s">
        <v>27</v>
      </c>
      <c r="E17" t="s">
        <v>34</v>
      </c>
    </row>
    <row r="18" spans="1:5">
      <c r="B18" t="s">
        <v>37</v>
      </c>
      <c r="C18">
        <f>(C11-C12)/(C14-C13)</f>
        <v>7.5</v>
      </c>
      <c r="E18" t="s">
        <v>34</v>
      </c>
    </row>
    <row r="19" spans="1:5">
      <c r="B19" t="s">
        <v>38</v>
      </c>
      <c r="C19">
        <f>(C14-C13)/(C11-C13)</f>
        <v>0.12</v>
      </c>
      <c r="E19" t="s">
        <v>34</v>
      </c>
    </row>
    <row r="20" spans="1:5">
      <c r="B20" t="s">
        <v>39</v>
      </c>
      <c r="C20">
        <v>0.95</v>
      </c>
      <c r="E20" t="s">
        <v>40</v>
      </c>
    </row>
    <row r="21" spans="1:5">
      <c r="B21" t="s">
        <v>41</v>
      </c>
      <c r="C21" s="5" t="s">
        <v>125</v>
      </c>
      <c r="E21" t="s">
        <v>40</v>
      </c>
    </row>
    <row r="22" spans="1:5">
      <c r="B22" t="s">
        <v>42</v>
      </c>
      <c r="C22">
        <v>2</v>
      </c>
    </row>
    <row r="23" spans="1:5">
      <c r="B23" t="s">
        <v>43</v>
      </c>
      <c r="C23">
        <v>4</v>
      </c>
    </row>
    <row r="25" spans="1:5">
      <c r="A25" t="s">
        <v>44</v>
      </c>
    </row>
    <row r="26" spans="1:5">
      <c r="B26" t="s">
        <v>45</v>
      </c>
      <c r="C26">
        <v>62.5</v>
      </c>
      <c r="D26" t="s">
        <v>46</v>
      </c>
      <c r="E26" t="s">
        <v>47</v>
      </c>
    </row>
    <row r="27" spans="1:5">
      <c r="B27" t="s">
        <v>48</v>
      </c>
      <c r="C27" s="3">
        <v>31550000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2963.0625344270024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1186.4160000000002</v>
      </c>
      <c r="D40" t="s">
        <v>65</v>
      </c>
      <c r="E40" t="s">
        <v>28</v>
      </c>
    </row>
    <row r="41" spans="1:5">
      <c r="B41" t="s">
        <v>64</v>
      </c>
      <c r="C41">
        <v>33.6</v>
      </c>
      <c r="D41" t="s">
        <v>66</v>
      </c>
      <c r="E41" t="s">
        <v>28</v>
      </c>
    </row>
    <row r="42" spans="1:5">
      <c r="B42" t="s">
        <v>67</v>
      </c>
      <c r="C42" s="3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5528.1017433339593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0.80080388868973329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1631</v>
      </c>
      <c r="D80" t="s">
        <v>111</v>
      </c>
    </row>
    <row r="81" spans="2:5">
      <c r="B81" t="s">
        <v>112</v>
      </c>
      <c r="C81">
        <v>15.63</v>
      </c>
      <c r="D81" t="s">
        <v>113</v>
      </c>
    </row>
    <row r="82" spans="2:5">
      <c r="B82" t="s">
        <v>114</v>
      </c>
      <c r="C82">
        <v>0.97660000000000002</v>
      </c>
      <c r="D82" t="s">
        <v>113</v>
      </c>
    </row>
    <row r="83" spans="2:5">
      <c r="B83" t="s">
        <v>115</v>
      </c>
      <c r="C83">
        <f>C80*C81*(C11-C12)/(C14-C13)/C82</f>
        <v>195775.11263567483</v>
      </c>
      <c r="D83" t="s">
        <v>111</v>
      </c>
    </row>
    <row r="86" spans="2:5">
      <c r="B86" t="s">
        <v>116</v>
      </c>
      <c r="C86">
        <f>C59*C51</f>
        <v>1481.5312672135012</v>
      </c>
    </row>
    <row r="88" spans="2:5">
      <c r="B88" t="s">
        <v>117</v>
      </c>
      <c r="C88">
        <v>1</v>
      </c>
    </row>
    <row r="89" spans="2:5">
      <c r="B89" t="s">
        <v>118</v>
      </c>
      <c r="C89">
        <f>3*C88+5*(1-C88)</f>
        <v>3</v>
      </c>
      <c r="D89" t="s">
        <v>20</v>
      </c>
      <c r="E89" t="s">
        <v>119</v>
      </c>
    </row>
    <row r="91" spans="2:5">
      <c r="B91" t="s">
        <v>126</v>
      </c>
      <c r="C91">
        <f>C80*C81</f>
        <v>25492.530000000002</v>
      </c>
      <c r="D91" t="s">
        <v>127</v>
      </c>
    </row>
    <row r="92" spans="2:5">
      <c r="B92" t="s">
        <v>128</v>
      </c>
      <c r="C92">
        <f>C82*C83</f>
        <v>191193.97500000003</v>
      </c>
      <c r="D92" t="s">
        <v>127</v>
      </c>
    </row>
    <row r="94" spans="2:5">
      <c r="B94" t="s">
        <v>126</v>
      </c>
      <c r="C94">
        <f>1.8991*C91</f>
        <v>48412.863723000002</v>
      </c>
      <c r="D94" t="s">
        <v>129</v>
      </c>
    </row>
    <row r="95" spans="2:5">
      <c r="B95" t="s">
        <v>130</v>
      </c>
      <c r="C95">
        <f>1.8991*C92</f>
        <v>363096.47792250005</v>
      </c>
      <c r="D95" t="s">
        <v>129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8EA0-641B-449E-B6EF-C49E38D40ED9}">
  <dimension ref="A1:E95"/>
  <sheetViews>
    <sheetView zoomScale="85" zoomScaleNormal="115" workbookViewId="0">
      <selection activeCell="B96" sqref="B96"/>
    </sheetView>
  </sheetViews>
  <sheetFormatPr defaultColWidth="11" defaultRowHeight="15.95"/>
  <cols>
    <col min="1" max="1" width="6.125" customWidth="1"/>
    <col min="2" max="2" width="21.625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17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750</v>
      </c>
      <c r="D11" t="s">
        <v>27</v>
      </c>
      <c r="E11" t="s">
        <v>28</v>
      </c>
    </row>
    <row r="12" spans="1:5">
      <c r="B12" t="s">
        <v>29</v>
      </c>
      <c r="C12">
        <v>450</v>
      </c>
      <c r="D12" t="s">
        <v>27</v>
      </c>
      <c r="E12" t="s">
        <v>28</v>
      </c>
    </row>
    <row r="13" spans="1:5">
      <c r="B13" t="s">
        <v>30</v>
      </c>
      <c r="C13">
        <v>-56.21</v>
      </c>
      <c r="D13" t="s">
        <v>27</v>
      </c>
      <c r="E13" t="s">
        <v>31</v>
      </c>
    </row>
    <row r="14" spans="1:5">
      <c r="B14" t="s">
        <v>32</v>
      </c>
      <c r="C14">
        <v>491</v>
      </c>
      <c r="D14" t="s">
        <v>27</v>
      </c>
      <c r="E14" t="s">
        <v>31</v>
      </c>
    </row>
    <row r="15" spans="1:5">
      <c r="B15" t="s">
        <v>33</v>
      </c>
      <c r="C15">
        <f>C12-C13</f>
        <v>506.21</v>
      </c>
      <c r="D15" t="s">
        <v>27</v>
      </c>
      <c r="E15" t="s">
        <v>34</v>
      </c>
    </row>
    <row r="16" spans="1:5">
      <c r="B16" t="s">
        <v>35</v>
      </c>
      <c r="C16">
        <f>C11-C14</f>
        <v>259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368.90212741584401</v>
      </c>
      <c r="D17" t="s">
        <v>27</v>
      </c>
      <c r="E17" t="s">
        <v>34</v>
      </c>
    </row>
    <row r="18" spans="1:5">
      <c r="B18" t="s">
        <v>37</v>
      </c>
      <c r="C18">
        <f>(C11-C12)/(C14-C13)</f>
        <v>0.54823559510973841</v>
      </c>
      <c r="E18" t="s">
        <v>34</v>
      </c>
    </row>
    <row r="19" spans="1:5">
      <c r="B19" t="s">
        <v>38</v>
      </c>
      <c r="C19">
        <f>(C14-C13)/(C11-C13)</f>
        <v>0.67874375162798772</v>
      </c>
      <c r="E19" t="s">
        <v>34</v>
      </c>
    </row>
    <row r="20" spans="1:5">
      <c r="B20" t="s">
        <v>39</v>
      </c>
      <c r="C20">
        <v>0.97499999999999998</v>
      </c>
      <c r="E20" t="s">
        <v>40</v>
      </c>
    </row>
    <row r="21" spans="1:5">
      <c r="B21" t="s">
        <v>41</v>
      </c>
      <c r="C21" s="5" t="s">
        <v>125</v>
      </c>
      <c r="E21" t="s">
        <v>40</v>
      </c>
    </row>
    <row r="22" spans="1:5">
      <c r="B22" t="s">
        <v>42</v>
      </c>
      <c r="C22">
        <v>2</v>
      </c>
    </row>
    <row r="23" spans="1:5">
      <c r="B23" t="s">
        <v>43</v>
      </c>
      <c r="C23">
        <v>4</v>
      </c>
    </row>
    <row r="25" spans="1:5">
      <c r="A25" t="s">
        <v>44</v>
      </c>
    </row>
    <row r="26" spans="1:5">
      <c r="B26" t="s">
        <v>45</v>
      </c>
      <c r="C26">
        <f>AVERAGE(4,40)</f>
        <v>22</v>
      </c>
      <c r="D26" t="s">
        <v>46</v>
      </c>
      <c r="E26" t="s">
        <v>131</v>
      </c>
    </row>
    <row r="27" spans="1:5">
      <c r="B27" t="s">
        <v>48</v>
      </c>
      <c r="C27" s="3">
        <v>17890000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2260.8507028002928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9286.5300000000007</v>
      </c>
      <c r="D40" t="s">
        <v>65</v>
      </c>
      <c r="E40" t="s">
        <v>28</v>
      </c>
    </row>
    <row r="41" spans="1:5">
      <c r="B41" t="s">
        <v>64</v>
      </c>
      <c r="C41" s="3">
        <v>263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4218.0050425378595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8.2150758460058348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2485</v>
      </c>
      <c r="D80" t="s">
        <v>111</v>
      </c>
    </row>
    <row r="81" spans="2:5">
      <c r="B81" t="s">
        <v>112</v>
      </c>
      <c r="C81">
        <v>11.77</v>
      </c>
      <c r="D81" t="s">
        <v>113</v>
      </c>
    </row>
    <row r="82" spans="2:5">
      <c r="B82" t="s">
        <v>114</v>
      </c>
      <c r="C82">
        <v>2.5</v>
      </c>
      <c r="D82" t="s">
        <v>113</v>
      </c>
    </row>
    <row r="83" spans="2:5">
      <c r="B83" t="s">
        <v>115</v>
      </c>
      <c r="C83">
        <f>C80*C81*(C14-C13)/(C11-C12)/C82</f>
        <v>21340.059099333335</v>
      </c>
      <c r="D83" t="s">
        <v>111</v>
      </c>
    </row>
    <row r="86" spans="2:5">
      <c r="B86" t="s">
        <v>116</v>
      </c>
      <c r="C86">
        <f>C59*C51</f>
        <v>1130.4253514001464</v>
      </c>
    </row>
    <row r="88" spans="2:5">
      <c r="B88" t="s">
        <v>117</v>
      </c>
      <c r="C88">
        <v>0.61</v>
      </c>
    </row>
    <row r="89" spans="2:5">
      <c r="B89" t="s">
        <v>118</v>
      </c>
      <c r="C89">
        <f>3*C88+5*(1-C88)</f>
        <v>3.7800000000000002</v>
      </c>
      <c r="D89" t="s">
        <v>20</v>
      </c>
      <c r="E89" t="s">
        <v>119</v>
      </c>
    </row>
    <row r="91" spans="2:5">
      <c r="B91" t="s">
        <v>126</v>
      </c>
      <c r="C91">
        <f>C80*C81</f>
        <v>29248.45</v>
      </c>
      <c r="D91" t="s">
        <v>127</v>
      </c>
    </row>
    <row r="92" spans="2:5">
      <c r="B92" t="s">
        <v>128</v>
      </c>
      <c r="C92">
        <f>C82*C83</f>
        <v>53350.147748333336</v>
      </c>
      <c r="D92" t="s">
        <v>127</v>
      </c>
    </row>
    <row r="94" spans="2:5">
      <c r="B94" t="s">
        <v>126</v>
      </c>
      <c r="C94">
        <f>1.8991*C91</f>
        <v>55545.731395000003</v>
      </c>
      <c r="D94" t="s">
        <v>129</v>
      </c>
    </row>
    <row r="95" spans="2:5">
      <c r="B95" t="s">
        <v>130</v>
      </c>
      <c r="C95">
        <f>1.8991*C92</f>
        <v>101317.26558885984</v>
      </c>
      <c r="D95" t="s">
        <v>129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5735-96FF-4762-A4D5-66D51421EAE6}">
  <dimension ref="A1:E95"/>
  <sheetViews>
    <sheetView topLeftCell="A77" zoomScale="85" zoomScaleNormal="115" workbookViewId="0">
      <selection activeCell="C84" sqref="C84"/>
    </sheetView>
  </sheetViews>
  <sheetFormatPr defaultColWidth="11" defaultRowHeight="15.95"/>
  <cols>
    <col min="1" max="1" width="6.125" customWidth="1"/>
    <col min="2" max="2" width="21.625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120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932</v>
      </c>
      <c r="D11" t="s">
        <v>27</v>
      </c>
      <c r="E11" t="s">
        <v>28</v>
      </c>
    </row>
    <row r="12" spans="1:5">
      <c r="B12" t="s">
        <v>29</v>
      </c>
      <c r="C12">
        <v>104</v>
      </c>
      <c r="D12" t="s">
        <v>27</v>
      </c>
      <c r="E12" t="s">
        <v>28</v>
      </c>
    </row>
    <row r="13" spans="1:5">
      <c r="B13" t="s">
        <v>30</v>
      </c>
      <c r="C13">
        <v>0</v>
      </c>
      <c r="D13" t="s">
        <v>27</v>
      </c>
      <c r="E13" t="s">
        <v>31</v>
      </c>
    </row>
    <row r="14" spans="1:5">
      <c r="B14" t="s">
        <v>32</v>
      </c>
      <c r="C14">
        <v>60</v>
      </c>
      <c r="D14" t="s">
        <v>27</v>
      </c>
      <c r="E14" t="s">
        <v>31</v>
      </c>
    </row>
    <row r="15" spans="1:5">
      <c r="B15" t="s">
        <v>33</v>
      </c>
      <c r="C15">
        <f>C12-C13</f>
        <v>104</v>
      </c>
      <c r="D15" t="s">
        <v>27</v>
      </c>
      <c r="E15" t="s">
        <v>34</v>
      </c>
    </row>
    <row r="16" spans="1:5">
      <c r="B16" t="s">
        <v>35</v>
      </c>
      <c r="C16">
        <f>C11-C14</f>
        <v>872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361.17406547012837</v>
      </c>
      <c r="D17" t="s">
        <v>27</v>
      </c>
      <c r="E17" t="s">
        <v>34</v>
      </c>
    </row>
    <row r="18" spans="1:5">
      <c r="B18" t="s">
        <v>37</v>
      </c>
      <c r="C18">
        <f>(C11-C12)/(C14-C13)</f>
        <v>13.8</v>
      </c>
      <c r="E18" t="s">
        <v>34</v>
      </c>
    </row>
    <row r="19" spans="1:5">
      <c r="B19" t="s">
        <v>38</v>
      </c>
      <c r="C19">
        <f>(C14-C13)/(C11-C13)</f>
        <v>6.4377682403433473E-2</v>
      </c>
      <c r="E19" t="s">
        <v>34</v>
      </c>
    </row>
    <row r="20" spans="1:5">
      <c r="B20" t="s">
        <v>39</v>
      </c>
      <c r="C20">
        <v>0.99</v>
      </c>
      <c r="E20" t="s">
        <v>40</v>
      </c>
    </row>
    <row r="21" spans="1:5">
      <c r="B21" t="s">
        <v>41</v>
      </c>
      <c r="C21" s="5" t="s">
        <v>125</v>
      </c>
      <c r="E21" t="s">
        <v>40</v>
      </c>
    </row>
    <row r="22" spans="1:5">
      <c r="B22" t="s">
        <v>42</v>
      </c>
      <c r="C22">
        <v>2</v>
      </c>
    </row>
    <row r="23" spans="1:5">
      <c r="B23" t="s">
        <v>43</v>
      </c>
      <c r="C23">
        <v>4</v>
      </c>
    </row>
    <row r="25" spans="1:5">
      <c r="A25" t="s">
        <v>44</v>
      </c>
    </row>
    <row r="26" spans="1:5">
      <c r="B26" t="s">
        <v>45</v>
      </c>
      <c r="C26">
        <v>62.5</v>
      </c>
      <c r="D26" t="s">
        <v>46</v>
      </c>
      <c r="E26" t="s">
        <v>47</v>
      </c>
    </row>
    <row r="27" spans="1:5">
      <c r="B27" t="s">
        <v>48</v>
      </c>
      <c r="C27" s="3">
        <v>78200000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3499.2500975763228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3355.1561999999999</v>
      </c>
      <c r="D40" t="s">
        <v>65</v>
      </c>
      <c r="E40" t="s">
        <v>28</v>
      </c>
    </row>
    <row r="41" spans="1:5">
      <c r="B41" t="s">
        <v>64</v>
      </c>
      <c r="C41">
        <v>95.02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6528.4516745826913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1.9176429843204827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3569</v>
      </c>
      <c r="D80" t="s">
        <v>111</v>
      </c>
    </row>
    <row r="81" spans="2:5">
      <c r="B81" t="s">
        <v>112</v>
      </c>
      <c r="C81">
        <v>17.78</v>
      </c>
      <c r="D81" t="s">
        <v>113</v>
      </c>
    </row>
    <row r="82" spans="2:5">
      <c r="B82" t="s">
        <v>114</v>
      </c>
      <c r="C82">
        <v>0.97660000000000002</v>
      </c>
      <c r="D82" t="s">
        <v>113</v>
      </c>
    </row>
    <row r="83" spans="2:5">
      <c r="B83" t="s">
        <v>115</v>
      </c>
      <c r="C83">
        <f>C80*C81*(C11-C12)/(C14-C13)/C82</f>
        <v>896686.58201925061</v>
      </c>
      <c r="D83" t="s">
        <v>111</v>
      </c>
    </row>
    <row r="86" spans="2:5">
      <c r="B86" t="s">
        <v>116</v>
      </c>
      <c r="C86">
        <f>C59*C51</f>
        <v>1749.6250487881614</v>
      </c>
    </row>
    <row r="88" spans="2:5">
      <c r="B88" t="s">
        <v>117</v>
      </c>
      <c r="C88">
        <v>1</v>
      </c>
    </row>
    <row r="89" spans="2:5">
      <c r="B89" t="s">
        <v>118</v>
      </c>
      <c r="C89">
        <f>3*C88+5*(1-C88)</f>
        <v>3</v>
      </c>
      <c r="D89" t="s">
        <v>20</v>
      </c>
      <c r="E89" t="s">
        <v>119</v>
      </c>
    </row>
    <row r="91" spans="2:5">
      <c r="B91" t="s">
        <v>126</v>
      </c>
      <c r="C91">
        <f>C80*C81</f>
        <v>63456.820000000007</v>
      </c>
      <c r="D91" t="s">
        <v>127</v>
      </c>
    </row>
    <row r="92" spans="2:5">
      <c r="B92" t="s">
        <v>128</v>
      </c>
      <c r="C92">
        <f>C82*C83</f>
        <v>875704.11600000015</v>
      </c>
      <c r="D92" t="s">
        <v>127</v>
      </c>
    </row>
    <row r="94" spans="2:5">
      <c r="B94" t="s">
        <v>126</v>
      </c>
      <c r="C94">
        <f>1.8991*C91</f>
        <v>120510.84686200002</v>
      </c>
      <c r="D94" t="s">
        <v>129</v>
      </c>
    </row>
    <row r="95" spans="2:5">
      <c r="B95" t="s">
        <v>130</v>
      </c>
      <c r="C95">
        <f>1.8991*C92</f>
        <v>1663049.6866956004</v>
      </c>
      <c r="D95" t="s">
        <v>129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F8A2-CE47-484D-A26F-22E50CFDF446}">
  <dimension ref="A1:E95"/>
  <sheetViews>
    <sheetView zoomScale="150" zoomScaleNormal="115" workbookViewId="0">
      <selection activeCell="D80" sqref="D80"/>
    </sheetView>
  </sheetViews>
  <sheetFormatPr defaultColWidth="11" defaultRowHeight="15.95"/>
  <cols>
    <col min="1" max="1" width="6.125" customWidth="1"/>
    <col min="2" max="2" width="21.625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132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28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358</v>
      </c>
      <c r="D11" t="s">
        <v>27</v>
      </c>
      <c r="E11" t="s">
        <v>28</v>
      </c>
    </row>
    <row r="12" spans="1:5">
      <c r="B12" t="s">
        <v>29</v>
      </c>
      <c r="C12">
        <v>347.7</v>
      </c>
      <c r="D12" t="s">
        <v>27</v>
      </c>
      <c r="E12" t="s">
        <v>28</v>
      </c>
    </row>
    <row r="13" spans="1:5">
      <c r="B13" t="s">
        <v>30</v>
      </c>
      <c r="C13">
        <v>90</v>
      </c>
      <c r="D13" t="s">
        <v>27</v>
      </c>
      <c r="E13" t="s">
        <v>31</v>
      </c>
    </row>
    <row r="14" spans="1:5">
      <c r="B14" t="s">
        <v>32</v>
      </c>
      <c r="C14">
        <v>120</v>
      </c>
      <c r="D14" t="s">
        <v>27</v>
      </c>
      <c r="E14" t="s">
        <v>31</v>
      </c>
    </row>
    <row r="15" spans="1:5">
      <c r="B15" t="s">
        <v>33</v>
      </c>
      <c r="C15">
        <f>C12-C13</f>
        <v>257.7</v>
      </c>
      <c r="D15" t="s">
        <v>27</v>
      </c>
      <c r="E15" t="s">
        <v>34</v>
      </c>
    </row>
    <row r="16" spans="1:5">
      <c r="B16" t="s">
        <v>35</v>
      </c>
      <c r="C16">
        <f>C11-C14</f>
        <v>238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247.71945948844791</v>
      </c>
      <c r="D17" t="s">
        <v>27</v>
      </c>
      <c r="E17" t="s">
        <v>34</v>
      </c>
    </row>
    <row r="18" spans="1:5">
      <c r="B18" t="s">
        <v>37</v>
      </c>
      <c r="C18">
        <f>(C11-C12)/(C14-C13)</f>
        <v>0.34333333333333371</v>
      </c>
      <c r="E18" t="s">
        <v>34</v>
      </c>
    </row>
    <row r="19" spans="1:5">
      <c r="B19" t="s">
        <v>38</v>
      </c>
      <c r="C19">
        <f>(C14-C13)/(C11-C13)</f>
        <v>0.11194029850746269</v>
      </c>
      <c r="E19" t="s">
        <v>34</v>
      </c>
    </row>
    <row r="20" spans="1:5">
      <c r="B20" t="s">
        <v>39</v>
      </c>
      <c r="C20">
        <v>0.99</v>
      </c>
      <c r="E20" t="s">
        <v>40</v>
      </c>
    </row>
    <row r="21" spans="1:5">
      <c r="B21" t="s">
        <v>41</v>
      </c>
      <c r="C21" s="5" t="s">
        <v>121</v>
      </c>
      <c r="E21" t="s">
        <v>40</v>
      </c>
    </row>
    <row r="22" spans="1:5">
      <c r="B22" t="s">
        <v>42</v>
      </c>
      <c r="C22">
        <v>1</v>
      </c>
      <c r="E22" t="s">
        <v>40</v>
      </c>
    </row>
    <row r="23" spans="1:5">
      <c r="B23" t="s">
        <v>43</v>
      </c>
      <c r="C23">
        <v>2</v>
      </c>
      <c r="E23" t="s">
        <v>40</v>
      </c>
    </row>
    <row r="25" spans="1:5">
      <c r="A25" t="s">
        <v>44</v>
      </c>
    </row>
    <row r="26" spans="1:5">
      <c r="B26" t="s">
        <v>45</v>
      </c>
      <c r="C26">
        <v>100</v>
      </c>
      <c r="D26" t="s">
        <v>46</v>
      </c>
      <c r="E26" t="s">
        <v>47</v>
      </c>
    </row>
    <row r="27" spans="1:5">
      <c r="B27" t="s">
        <v>48</v>
      </c>
      <c r="C27" s="3">
        <v>63190000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2576.6358024553729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8477.9310000000005</v>
      </c>
      <c r="D40" t="s">
        <v>65</v>
      </c>
      <c r="E40" t="s">
        <v>28</v>
      </c>
    </row>
    <row r="41" spans="1:5">
      <c r="B41" t="s">
        <v>64</v>
      </c>
      <c r="C41">
        <v>240.1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4807.1563478645012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6.5806203514839483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3569</v>
      </c>
      <c r="D80" t="s">
        <v>111</v>
      </c>
    </row>
    <row r="81" spans="2:5">
      <c r="B81" t="s">
        <v>112</v>
      </c>
      <c r="C81">
        <v>19.11</v>
      </c>
      <c r="D81" t="s">
        <v>113</v>
      </c>
    </row>
    <row r="82" spans="2:5">
      <c r="B82" t="s">
        <v>114</v>
      </c>
      <c r="C82">
        <v>1.0009999999999999</v>
      </c>
      <c r="D82" t="s">
        <v>113</v>
      </c>
    </row>
    <row r="83" spans="2:5">
      <c r="B83" t="s">
        <v>115</v>
      </c>
      <c r="C83">
        <f>C80*C81*(C11-C12)/(C14-C13)/C82</f>
        <v>23393.172727272758</v>
      </c>
      <c r="D83" t="s">
        <v>111</v>
      </c>
    </row>
    <row r="86" spans="2:5">
      <c r="B86" t="s">
        <v>116</v>
      </c>
      <c r="C86">
        <f>C59*C51</f>
        <v>1288.3179012276864</v>
      </c>
    </row>
    <row r="88" spans="2:5">
      <c r="B88" t="s">
        <v>117</v>
      </c>
      <c r="C88">
        <v>0.8</v>
      </c>
    </row>
    <row r="89" spans="2:5">
      <c r="B89" t="s">
        <v>118</v>
      </c>
      <c r="C89">
        <f>3*C88+5*(1-C88)</f>
        <v>3.4000000000000004</v>
      </c>
      <c r="D89" t="s">
        <v>20</v>
      </c>
      <c r="E89" t="s">
        <v>119</v>
      </c>
    </row>
    <row r="91" spans="2:5">
      <c r="B91" t="s">
        <v>126</v>
      </c>
      <c r="C91">
        <f>C80*C81</f>
        <v>68203.59</v>
      </c>
      <c r="D91" t="s">
        <v>127</v>
      </c>
    </row>
    <row r="92" spans="2:5">
      <c r="B92" t="s">
        <v>128</v>
      </c>
      <c r="C92">
        <f>C82*C83</f>
        <v>23416.565900000027</v>
      </c>
      <c r="D92" t="s">
        <v>127</v>
      </c>
    </row>
    <row r="94" spans="2:5">
      <c r="B94" t="s">
        <v>126</v>
      </c>
      <c r="C94">
        <f>1.8991*C91</f>
        <v>129525.437769</v>
      </c>
      <c r="D94" t="s">
        <v>129</v>
      </c>
    </row>
    <row r="95" spans="2:5">
      <c r="B95" t="s">
        <v>130</v>
      </c>
      <c r="C95">
        <f>1.8991*C92</f>
        <v>44470.400300690053</v>
      </c>
      <c r="D95" t="s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08AA-D196-4BDC-AE2C-D825FDC20034}">
  <dimension ref="A1:E6"/>
  <sheetViews>
    <sheetView workbookViewId="0">
      <selection activeCell="E7" sqref="E7"/>
    </sheetView>
  </sheetViews>
  <sheetFormatPr defaultRowHeight="15.75"/>
  <cols>
    <col min="1" max="1" width="12.625" bestFit="1" customWidth="1"/>
    <col min="2" max="2" width="10.875" bestFit="1" customWidth="1"/>
    <col min="3" max="3" width="21.375" bestFit="1" customWidth="1"/>
    <col min="4" max="4" width="21.375" customWidth="1"/>
    <col min="5" max="5" width="9.75" bestFit="1" customWidth="1"/>
  </cols>
  <sheetData>
    <row r="1" spans="1:5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>
      <c r="A2" t="s">
        <v>132</v>
      </c>
      <c r="B2">
        <f>7.17/1000</f>
        <v>7.1700000000000002E-3</v>
      </c>
      <c r="C2">
        <f>'C1'!C83+'D2-C'!C83</f>
        <v>24754.489743589696</v>
      </c>
      <c r="D2">
        <f>C2/8.34</f>
        <v>2968.1642378404913</v>
      </c>
      <c r="E2">
        <f>D2*B2</f>
        <v>21.281737585316321</v>
      </c>
    </row>
    <row r="3" spans="1:5">
      <c r="A3" t="s">
        <v>120</v>
      </c>
      <c r="B3">
        <v>0.6</v>
      </c>
      <c r="C3">
        <f>'C2'!C83+'C3'!C83+'D1-C'!C83+'D4-C'!C83</f>
        <v>1106354.5331575538</v>
      </c>
      <c r="D3">
        <f>C3/8.6</f>
        <v>128645.87594855277</v>
      </c>
      <c r="E3">
        <f>D3*B3</f>
        <v>77187.525569131656</v>
      </c>
    </row>
    <row r="4" spans="1:5">
      <c r="A4" t="s">
        <v>17</v>
      </c>
      <c r="B4">
        <v>18.239999999999998</v>
      </c>
      <c r="C4">
        <f>'H1'!C83+'D2-H'!C83+'D4-H'!C83+'D3-H'!C83</f>
        <v>28740.358120666642</v>
      </c>
      <c r="D4">
        <f>C4/7.27</f>
        <v>3953.2817222375024</v>
      </c>
      <c r="E4">
        <f>D4*B4</f>
        <v>72107.858613612043</v>
      </c>
    </row>
    <row r="5" spans="1:5">
      <c r="A5" t="s">
        <v>124</v>
      </c>
      <c r="B5">
        <f>0.006*8.3</f>
        <v>4.9800000000000004E-2</v>
      </c>
      <c r="C5">
        <f>'D1-H'!C83</f>
        <v>38278.193604582222</v>
      </c>
      <c r="D5">
        <f>C5/8.3</f>
        <v>4611.8305547689424</v>
      </c>
      <c r="E5">
        <f>B5*D5</f>
        <v>229.66916162749334</v>
      </c>
    </row>
    <row r="6" spans="1:5">
      <c r="A6" t="s">
        <v>122</v>
      </c>
      <c r="B6">
        <v>0.3</v>
      </c>
      <c r="C6">
        <f>'D3-C'!C83</f>
        <v>73398.551227317075</v>
      </c>
      <c r="D6">
        <f>C6*0.00976</f>
        <v>716.36985997861461</v>
      </c>
      <c r="E6">
        <f>D6*B6</f>
        <v>214.91095799358439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5001-A299-4D6C-8528-8749EF94038C}">
  <dimension ref="A1:E89"/>
  <sheetViews>
    <sheetView zoomScale="156" zoomScaleNormal="115" workbookViewId="0">
      <selection activeCell="C4" sqref="C4"/>
    </sheetView>
  </sheetViews>
  <sheetFormatPr defaultColWidth="11" defaultRowHeight="15.95"/>
  <cols>
    <col min="1" max="1" width="6.125" customWidth="1"/>
    <col min="2" max="2" width="21.625" customWidth="1"/>
    <col min="3" max="4" width="9" bestFit="1" customWidth="1"/>
    <col min="5" max="5" width="54.375" customWidth="1"/>
  </cols>
  <sheetData>
    <row r="1" spans="1:5" ht="15.75">
      <c r="A1" t="s">
        <v>12</v>
      </c>
    </row>
    <row r="2" spans="1:5" ht="15.75">
      <c r="B2" t="s">
        <v>13</v>
      </c>
      <c r="C2" t="s">
        <v>14</v>
      </c>
      <c r="E2" t="s">
        <v>15</v>
      </c>
    </row>
    <row r="3" spans="1:5" ht="15.75">
      <c r="B3" t="s">
        <v>16</v>
      </c>
      <c r="C3" t="s">
        <v>17</v>
      </c>
      <c r="E3" t="s">
        <v>15</v>
      </c>
    </row>
    <row r="5" spans="1:5" ht="15.75">
      <c r="A5" t="s">
        <v>18</v>
      </c>
    </row>
    <row r="6" spans="1:5" ht="15.75">
      <c r="B6" t="s">
        <v>19</v>
      </c>
      <c r="C6">
        <v>130.30000000000001</v>
      </c>
      <c r="D6" t="s">
        <v>20</v>
      </c>
      <c r="E6" t="s">
        <v>21</v>
      </c>
    </row>
    <row r="7" spans="1:5" ht="15.75">
      <c r="B7" t="s">
        <v>22</v>
      </c>
      <c r="C7">
        <v>0</v>
      </c>
      <c r="D7" t="s">
        <v>20</v>
      </c>
      <c r="E7" t="s">
        <v>23</v>
      </c>
    </row>
    <row r="8" spans="1:5" ht="15.75">
      <c r="B8" t="s">
        <v>24</v>
      </c>
      <c r="C8">
        <v>5</v>
      </c>
      <c r="D8" t="s">
        <v>20</v>
      </c>
      <c r="E8" t="s">
        <v>23</v>
      </c>
    </row>
    <row r="10" spans="1:5" ht="15.75">
      <c r="A10" t="s">
        <v>25</v>
      </c>
    </row>
    <row r="11" spans="1:5" ht="15.75">
      <c r="B11" t="s">
        <v>26</v>
      </c>
      <c r="C11">
        <v>750</v>
      </c>
      <c r="D11" t="s">
        <v>27</v>
      </c>
      <c r="E11" t="s">
        <v>28</v>
      </c>
    </row>
    <row r="12" spans="1:5" ht="15.75">
      <c r="B12" t="s">
        <v>29</v>
      </c>
      <c r="C12">
        <v>450</v>
      </c>
      <c r="D12" t="s">
        <v>27</v>
      </c>
      <c r="E12" t="s">
        <v>28</v>
      </c>
    </row>
    <row r="13" spans="1:5" ht="15.75">
      <c r="B13" t="s">
        <v>30</v>
      </c>
      <c r="C13">
        <v>420.6</v>
      </c>
      <c r="D13" t="s">
        <v>27</v>
      </c>
      <c r="E13" t="s">
        <v>31</v>
      </c>
    </row>
    <row r="14" spans="1:5" ht="15.75">
      <c r="B14" t="s">
        <v>32</v>
      </c>
      <c r="C14">
        <v>421</v>
      </c>
      <c r="D14" t="s">
        <v>27</v>
      </c>
      <c r="E14" t="s">
        <v>31</v>
      </c>
    </row>
    <row r="15" spans="1:5" ht="15.75">
      <c r="B15" t="s">
        <v>33</v>
      </c>
      <c r="C15">
        <f>C12-C13</f>
        <v>29.399999999999977</v>
      </c>
      <c r="D15" t="s">
        <v>27</v>
      </c>
      <c r="E15" t="s">
        <v>34</v>
      </c>
    </row>
    <row r="16" spans="1:5" ht="15.75">
      <c r="B16" t="s">
        <v>35</v>
      </c>
      <c r="C16">
        <f>C11-C14</f>
        <v>329</v>
      </c>
      <c r="D16" t="s">
        <v>27</v>
      </c>
      <c r="E16" t="s">
        <v>34</v>
      </c>
    </row>
    <row r="17" spans="1:5" ht="15.75">
      <c r="B17" t="s">
        <v>36</v>
      </c>
      <c r="C17">
        <f>(C15-C16)/LN(C15/C16)</f>
        <v>124.05473087850962</v>
      </c>
      <c r="D17" t="s">
        <v>27</v>
      </c>
      <c r="E17" t="s">
        <v>34</v>
      </c>
    </row>
    <row r="18" spans="1:5" ht="15.75">
      <c r="B18" t="s">
        <v>37</v>
      </c>
      <c r="C18">
        <f>(C11-C12)/(C14-C13)</f>
        <v>750.00000000004263</v>
      </c>
      <c r="E18" t="s">
        <v>34</v>
      </c>
    </row>
    <row r="19" spans="1:5" ht="15.75">
      <c r="B19" t="s">
        <v>38</v>
      </c>
      <c r="C19">
        <f>(C14-C13)/(C11-C13)</f>
        <v>1.2143290831814733E-3</v>
      </c>
      <c r="E19" t="s">
        <v>34</v>
      </c>
    </row>
    <row r="20" spans="1:5" ht="15.75">
      <c r="B20" t="s">
        <v>39</v>
      </c>
      <c r="C20">
        <v>0.99</v>
      </c>
      <c r="E20" t="s">
        <v>40</v>
      </c>
    </row>
    <row r="21" spans="1:5" ht="15.75">
      <c r="B21" t="s">
        <v>41</v>
      </c>
      <c r="C21" s="5"/>
      <c r="E21" t="s">
        <v>40</v>
      </c>
    </row>
    <row r="22" spans="1:5" ht="15.75">
      <c r="B22" t="s">
        <v>42</v>
      </c>
    </row>
    <row r="23" spans="1:5" ht="15.75">
      <c r="B23" t="s">
        <v>43</v>
      </c>
    </row>
    <row r="25" spans="1:5" ht="15.75">
      <c r="A25" t="s">
        <v>44</v>
      </c>
    </row>
    <row r="26" spans="1:5" ht="15.75">
      <c r="B26" t="s">
        <v>45</v>
      </c>
      <c r="C26">
        <v>22</v>
      </c>
      <c r="D26" t="s">
        <v>46</v>
      </c>
      <c r="E26" t="s">
        <v>47</v>
      </c>
    </row>
    <row r="27" spans="1:5" ht="15.75">
      <c r="B27" t="s">
        <v>48</v>
      </c>
      <c r="C27" s="3">
        <v>44700000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16543.839829905886</v>
      </c>
      <c r="D28" t="s">
        <v>51</v>
      </c>
      <c r="E28" t="s">
        <v>52</v>
      </c>
    </row>
    <row r="30" spans="1:5" ht="15.75">
      <c r="A30" t="s">
        <v>53</v>
      </c>
    </row>
    <row r="31" spans="1:5" ht="15.75">
      <c r="B31" t="s">
        <v>54</v>
      </c>
      <c r="D31" t="s">
        <v>55</v>
      </c>
      <c r="E31" t="s">
        <v>28</v>
      </c>
    </row>
    <row r="32" spans="1:5" ht="15.75">
      <c r="B32" t="s">
        <v>56</v>
      </c>
      <c r="D32" t="s">
        <v>55</v>
      </c>
      <c r="E32" t="s">
        <v>28</v>
      </c>
    </row>
    <row r="33" spans="1:5" ht="15.75">
      <c r="B33" t="s">
        <v>57</v>
      </c>
      <c r="D33" t="s">
        <v>55</v>
      </c>
      <c r="E33" t="s">
        <v>28</v>
      </c>
    </row>
    <row r="34" spans="1:5" ht="15.75">
      <c r="B34" t="s">
        <v>58</v>
      </c>
      <c r="D34" t="s">
        <v>55</v>
      </c>
      <c r="E34" t="s">
        <v>28</v>
      </c>
    </row>
    <row r="35" spans="1:5" ht="15.75">
      <c r="B35" t="s">
        <v>59</v>
      </c>
      <c r="C35" s="3"/>
      <c r="D35" t="s">
        <v>60</v>
      </c>
      <c r="E35" t="s">
        <v>28</v>
      </c>
    </row>
    <row r="36" spans="1:5" ht="15.75">
      <c r="B36" t="s">
        <v>61</v>
      </c>
      <c r="C36" s="3"/>
      <c r="D36" t="s">
        <v>60</v>
      </c>
      <c r="E36" t="s">
        <v>28</v>
      </c>
    </row>
    <row r="37" spans="1:5" ht="15.75">
      <c r="B37" t="s">
        <v>62</v>
      </c>
      <c r="D37" t="s">
        <v>60</v>
      </c>
      <c r="E37" t="s">
        <v>28</v>
      </c>
    </row>
    <row r="38" spans="1:5" ht="15.7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 ht="15.75">
      <c r="B40" t="s">
        <v>64</v>
      </c>
      <c r="C40">
        <f>C41*35.31</f>
        <v>4632.6719999999996</v>
      </c>
      <c r="D40" t="s">
        <v>65</v>
      </c>
      <c r="E40" t="s">
        <v>28</v>
      </c>
    </row>
    <row r="41" spans="1:5" ht="15.75">
      <c r="B41" t="s">
        <v>64</v>
      </c>
      <c r="C41">
        <v>131.19999999999999</v>
      </c>
      <c r="D41" t="s">
        <v>66</v>
      </c>
      <c r="E41" t="s">
        <v>28</v>
      </c>
    </row>
    <row r="42" spans="1:5" ht="15.7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 ht="15.7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 ht="15.75">
      <c r="B44" t="s">
        <v>70</v>
      </c>
    </row>
    <row r="45" spans="1:5" ht="15.75">
      <c r="B45" t="s">
        <v>71</v>
      </c>
      <c r="E45" t="s">
        <v>72</v>
      </c>
    </row>
    <row r="46" spans="1:5" ht="15.75">
      <c r="B46" t="s">
        <v>73</v>
      </c>
      <c r="E46" t="s">
        <v>72</v>
      </c>
    </row>
    <row r="48" spans="1:5" ht="15.75">
      <c r="A48" t="s">
        <v>74</v>
      </c>
    </row>
    <row r="49" spans="1:5" ht="15.75">
      <c r="B49" t="s">
        <v>75</v>
      </c>
      <c r="C49" s="2">
        <v>0.75</v>
      </c>
      <c r="D49" t="s">
        <v>76</v>
      </c>
      <c r="E49" t="s">
        <v>77</v>
      </c>
    </row>
    <row r="50" spans="1:5" ht="15.75">
      <c r="B50" t="s">
        <v>78</v>
      </c>
      <c r="C50">
        <v>14</v>
      </c>
      <c r="E50" t="s">
        <v>79</v>
      </c>
    </row>
    <row r="51" spans="1:5" ht="15.75">
      <c r="B51" t="s">
        <v>80</v>
      </c>
      <c r="C51">
        <v>0.26800000000000002</v>
      </c>
      <c r="D51" t="s">
        <v>81</v>
      </c>
      <c r="E51" t="s">
        <v>79</v>
      </c>
    </row>
    <row r="52" spans="1:5" ht="15.75">
      <c r="B52" t="s">
        <v>82</v>
      </c>
      <c r="C52">
        <f>0.1963</f>
        <v>0.1963</v>
      </c>
      <c r="D52" t="s">
        <v>81</v>
      </c>
      <c r="E52" t="s">
        <v>79</v>
      </c>
    </row>
    <row r="54" spans="1:5" ht="15.75">
      <c r="A54" t="s">
        <v>83</v>
      </c>
    </row>
    <row r="55" spans="1:5" ht="15.75">
      <c r="B55" t="s">
        <v>84</v>
      </c>
      <c r="C55">
        <v>16</v>
      </c>
      <c r="D55" t="s">
        <v>85</v>
      </c>
      <c r="E55" t="s">
        <v>77</v>
      </c>
    </row>
    <row r="56" spans="1:5" ht="15.7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 ht="15.75">
      <c r="C57">
        <v>0.26800000000000002</v>
      </c>
      <c r="D57" t="s">
        <v>81</v>
      </c>
    </row>
    <row r="58" spans="1:5" ht="15.75">
      <c r="A58" t="s">
        <v>88</v>
      </c>
    </row>
    <row r="59" spans="1:5" ht="15.75">
      <c r="B59" t="s">
        <v>89</v>
      </c>
      <c r="C59">
        <f>C28/(C56/144)/2</f>
        <v>30865.372816988591</v>
      </c>
      <c r="D59" t="s">
        <v>90</v>
      </c>
    </row>
    <row r="61" spans="1:5" ht="15.75">
      <c r="A61" t="s">
        <v>91</v>
      </c>
    </row>
    <row r="62" spans="1:5" ht="15.75">
      <c r="B62" t="s">
        <v>92</v>
      </c>
      <c r="C62">
        <f>C40/C57/C59</f>
        <v>0.56004797527423278</v>
      </c>
      <c r="D62" t="s">
        <v>93</v>
      </c>
      <c r="E62" t="s">
        <v>94</v>
      </c>
    </row>
    <row r="64" spans="1:5" ht="15.75">
      <c r="A64" t="s">
        <v>95</v>
      </c>
    </row>
    <row r="65" spans="1:5" ht="15.75">
      <c r="B65" t="s">
        <v>96</v>
      </c>
    </row>
    <row r="67" spans="1:5" ht="15.75">
      <c r="A67" t="s">
        <v>97</v>
      </c>
    </row>
    <row r="68" spans="1:5" ht="15.75">
      <c r="B68" t="s">
        <v>98</v>
      </c>
      <c r="C68">
        <v>1</v>
      </c>
      <c r="D68" t="s">
        <v>76</v>
      </c>
      <c r="E68" t="s">
        <v>99</v>
      </c>
    </row>
    <row r="69" spans="1:5" ht="15.75">
      <c r="B69" t="s">
        <v>100</v>
      </c>
      <c r="C69">
        <f>ROUND(16*12/7,0)</f>
        <v>27</v>
      </c>
      <c r="D69" t="s">
        <v>76</v>
      </c>
    </row>
    <row r="70" spans="1:5" ht="15.7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 ht="15.75">
      <c r="B71" t="s">
        <v>103</v>
      </c>
      <c r="C71">
        <f>0.3*C69</f>
        <v>8.1</v>
      </c>
      <c r="D71" t="s">
        <v>76</v>
      </c>
      <c r="E71" t="s">
        <v>104</v>
      </c>
    </row>
    <row r="73" spans="1:5" ht="15.75">
      <c r="A73" t="s">
        <v>105</v>
      </c>
    </row>
    <row r="74" spans="1:5" ht="15.75">
      <c r="B74" t="s">
        <v>106</v>
      </c>
      <c r="C74" t="s">
        <v>107</v>
      </c>
      <c r="E74" t="s">
        <v>108</v>
      </c>
    </row>
    <row r="75" spans="1:5" ht="15.75">
      <c r="B75" t="s">
        <v>109</v>
      </c>
      <c r="C75" t="s">
        <v>107</v>
      </c>
    </row>
    <row r="80" spans="1:5">
      <c r="B80" t="s">
        <v>110</v>
      </c>
      <c r="C80">
        <v>3504</v>
      </c>
      <c r="D80" t="s">
        <v>111</v>
      </c>
    </row>
    <row r="81" spans="2:5">
      <c r="B81" t="s">
        <v>112</v>
      </c>
      <c r="C81">
        <v>42.37</v>
      </c>
      <c r="D81" t="s">
        <v>113</v>
      </c>
    </row>
    <row r="82" spans="2:5">
      <c r="B82" t="s">
        <v>114</v>
      </c>
      <c r="C82">
        <v>2.5</v>
      </c>
      <c r="D82" t="s">
        <v>113</v>
      </c>
    </row>
    <row r="83" spans="2:5">
      <c r="B83" t="s">
        <v>115</v>
      </c>
      <c r="C83">
        <f>C80*C81*(C14-C13)/(C11-C12)/C82</f>
        <v>79.181055999995493</v>
      </c>
      <c r="D83" t="s">
        <v>111</v>
      </c>
    </row>
    <row r="86" spans="2:5">
      <c r="B86" t="s">
        <v>116</v>
      </c>
      <c r="C86">
        <f>C59*C51</f>
        <v>8271.9199149529431</v>
      </c>
    </row>
    <row r="88" spans="2:5">
      <c r="B88" t="s">
        <v>117</v>
      </c>
      <c r="C88">
        <v>0</v>
      </c>
    </row>
    <row r="89" spans="2:5">
      <c r="B89" t="s">
        <v>118</v>
      </c>
      <c r="C89">
        <f>3*C88+5*(1-C88)</f>
        <v>5</v>
      </c>
      <c r="D89" t="s">
        <v>20</v>
      </c>
      <c r="E89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9B03-466A-44C5-8DCA-45DBE887AAEE}">
  <dimension ref="A1:E89"/>
  <sheetViews>
    <sheetView zoomScale="156" zoomScaleNormal="115" workbookViewId="0">
      <selection activeCell="C3" sqref="C3"/>
    </sheetView>
  </sheetViews>
  <sheetFormatPr defaultColWidth="11" defaultRowHeight="15.95"/>
  <cols>
    <col min="1" max="1" width="6.125" customWidth="1"/>
    <col min="2" max="2" width="21.625" customWidth="1"/>
    <col min="3" max="4" width="9" bestFit="1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120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355.9</v>
      </c>
      <c r="D11" t="s">
        <v>27</v>
      </c>
      <c r="E11" t="s">
        <v>28</v>
      </c>
    </row>
    <row r="12" spans="1:5">
      <c r="B12" t="s">
        <v>29</v>
      </c>
      <c r="C12">
        <v>349.2</v>
      </c>
      <c r="D12" t="s">
        <v>27</v>
      </c>
      <c r="E12" t="s">
        <v>28</v>
      </c>
    </row>
    <row r="13" spans="1:5">
      <c r="B13" t="s">
        <v>30</v>
      </c>
      <c r="C13">
        <v>0</v>
      </c>
      <c r="D13" t="s">
        <v>27</v>
      </c>
      <c r="E13" t="s">
        <v>31</v>
      </c>
    </row>
    <row r="14" spans="1:5">
      <c r="B14" t="s">
        <v>32</v>
      </c>
      <c r="C14">
        <v>60</v>
      </c>
      <c r="D14" t="s">
        <v>27</v>
      </c>
      <c r="E14" t="s">
        <v>31</v>
      </c>
    </row>
    <row r="15" spans="1:5">
      <c r="B15" t="s">
        <v>33</v>
      </c>
      <c r="C15">
        <f>C12-C13</f>
        <v>349.2</v>
      </c>
      <c r="D15" t="s">
        <v>27</v>
      </c>
      <c r="E15" t="s">
        <v>34</v>
      </c>
    </row>
    <row r="16" spans="1:5">
      <c r="B16" t="s">
        <v>35</v>
      </c>
      <c r="C16">
        <f>C11-C14</f>
        <v>295.89999999999998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321.81469277175017</v>
      </c>
      <c r="D17" t="s">
        <v>27</v>
      </c>
      <c r="E17" t="s">
        <v>34</v>
      </c>
    </row>
    <row r="18" spans="1:5">
      <c r="B18" t="s">
        <v>37</v>
      </c>
      <c r="C18">
        <f>(C11-C12)/(C14-C13)</f>
        <v>0.11166666666666648</v>
      </c>
      <c r="E18" t="s">
        <v>34</v>
      </c>
    </row>
    <row r="19" spans="1:5">
      <c r="B19" t="s">
        <v>38</v>
      </c>
      <c r="C19">
        <f>(C14-C13)/(C11-C13)</f>
        <v>0.16858668165214949</v>
      </c>
      <c r="E19" t="s">
        <v>34</v>
      </c>
    </row>
    <row r="20" spans="1:5">
      <c r="B20" t="s">
        <v>39</v>
      </c>
      <c r="C20">
        <v>0.99</v>
      </c>
      <c r="E20" t="s">
        <v>40</v>
      </c>
    </row>
    <row r="21" spans="1:5">
      <c r="B21" t="s">
        <v>41</v>
      </c>
      <c r="C21" s="5"/>
      <c r="E21" t="s">
        <v>40</v>
      </c>
    </row>
    <row r="22" spans="1:5">
      <c r="B22" t="s">
        <v>42</v>
      </c>
    </row>
    <row r="23" spans="1:5">
      <c r="B23" t="s">
        <v>43</v>
      </c>
    </row>
    <row r="25" spans="1:5">
      <c r="A25" t="s">
        <v>44</v>
      </c>
    </row>
    <row r="26" spans="1:5">
      <c r="B26" t="s">
        <v>45</v>
      </c>
      <c r="C26">
        <v>62.5</v>
      </c>
      <c r="D26" t="s">
        <v>46</v>
      </c>
      <c r="E26" t="s">
        <v>47</v>
      </c>
    </row>
    <row r="27" spans="1:5">
      <c r="B27" t="s">
        <v>48</v>
      </c>
      <c r="C27" s="3">
        <v>47830000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2402.0348305177135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4795.0980000000009</v>
      </c>
      <c r="D40" t="s">
        <v>65</v>
      </c>
      <c r="E40" t="s">
        <v>28</v>
      </c>
    </row>
    <row r="41" spans="1:5">
      <c r="B41" t="s">
        <v>64</v>
      </c>
      <c r="C41">
        <v>135.80000000000001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4481.4082658912566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3.9925299492568205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3929</v>
      </c>
      <c r="D80" t="s">
        <v>111</v>
      </c>
    </row>
    <row r="81" spans="2:5">
      <c r="B81" t="s">
        <v>112</v>
      </c>
      <c r="C81">
        <v>25.04</v>
      </c>
      <c r="D81" t="s">
        <v>113</v>
      </c>
    </row>
    <row r="82" spans="2:5">
      <c r="B82" t="s">
        <v>114</v>
      </c>
      <c r="C82">
        <v>0.97660000000000002</v>
      </c>
      <c r="D82" t="s">
        <v>113</v>
      </c>
    </row>
    <row r="83" spans="2:5">
      <c r="B83" t="s">
        <v>115</v>
      </c>
      <c r="C83">
        <f>C80*C81*(C11-C12)/(C14-C13)/C82</f>
        <v>11249.240084647397</v>
      </c>
      <c r="D83" t="s">
        <v>111</v>
      </c>
    </row>
    <row r="86" spans="2:5">
      <c r="B86" t="s">
        <v>116</v>
      </c>
      <c r="C86">
        <f>C59*C51</f>
        <v>1201.0174152588568</v>
      </c>
    </row>
    <row r="88" spans="2:5">
      <c r="B88" t="s">
        <v>117</v>
      </c>
      <c r="C88">
        <v>1</v>
      </c>
    </row>
    <row r="89" spans="2:5">
      <c r="B89" t="s">
        <v>118</v>
      </c>
      <c r="C89">
        <f>3*C88+5*(1-C88)</f>
        <v>3</v>
      </c>
      <c r="D89" t="s">
        <v>20</v>
      </c>
      <c r="E89" t="s">
        <v>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D480-A41B-4B39-944D-94FA3B7EBA1A}">
  <dimension ref="A1:E89"/>
  <sheetViews>
    <sheetView zoomScale="156" zoomScaleNormal="115" workbookViewId="0">
      <selection activeCell="C4" sqref="C4"/>
    </sheetView>
  </sheetViews>
  <sheetFormatPr defaultColWidth="11" defaultRowHeight="15.95"/>
  <cols>
    <col min="1" max="1" width="6.125" customWidth="1"/>
    <col min="2" max="2" width="21.625" customWidth="1"/>
    <col min="3" max="4" width="9" bestFit="1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17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750</v>
      </c>
      <c r="D11" t="s">
        <v>27</v>
      </c>
      <c r="E11" t="s">
        <v>28</v>
      </c>
    </row>
    <row r="12" spans="1:5">
      <c r="B12" t="s">
        <v>29</v>
      </c>
      <c r="C12">
        <v>450</v>
      </c>
      <c r="D12" t="s">
        <v>27</v>
      </c>
      <c r="E12" t="s">
        <v>28</v>
      </c>
    </row>
    <row r="13" spans="1:5">
      <c r="B13" t="s">
        <v>30</v>
      </c>
      <c r="C13">
        <v>328.7</v>
      </c>
      <c r="D13" t="s">
        <v>27</v>
      </c>
      <c r="E13" t="s">
        <v>31</v>
      </c>
    </row>
    <row r="14" spans="1:5">
      <c r="B14" t="s">
        <v>32</v>
      </c>
      <c r="C14">
        <v>367.5</v>
      </c>
      <c r="D14" t="s">
        <v>27</v>
      </c>
      <c r="E14" t="s">
        <v>31</v>
      </c>
    </row>
    <row r="15" spans="1:5">
      <c r="B15" t="s">
        <v>33</v>
      </c>
      <c r="C15">
        <f>C12-C13</f>
        <v>121.30000000000001</v>
      </c>
      <c r="D15" t="s">
        <v>27</v>
      </c>
      <c r="E15" t="s">
        <v>34</v>
      </c>
    </row>
    <row r="16" spans="1:5">
      <c r="B16" t="s">
        <v>35</v>
      </c>
      <c r="C16">
        <f>C11-C14</f>
        <v>382.5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227.43463606096068</v>
      </c>
      <c r="D17" t="s">
        <v>27</v>
      </c>
      <c r="E17" t="s">
        <v>34</v>
      </c>
    </row>
    <row r="18" spans="1:5">
      <c r="B18" t="s">
        <v>37</v>
      </c>
      <c r="C18">
        <f>(C11-C12)/(C14-C13)</f>
        <v>7.7319587628865953</v>
      </c>
      <c r="E18" t="s">
        <v>34</v>
      </c>
    </row>
    <row r="19" spans="1:5">
      <c r="B19" t="s">
        <v>38</v>
      </c>
      <c r="C19">
        <f>(C14-C13)/(C11-C13)</f>
        <v>9.2095893662473324E-2</v>
      </c>
      <c r="E19" t="s">
        <v>34</v>
      </c>
    </row>
    <row r="20" spans="1:5">
      <c r="B20" t="s">
        <v>39</v>
      </c>
      <c r="C20">
        <v>0.999</v>
      </c>
      <c r="E20" t="s">
        <v>40</v>
      </c>
    </row>
    <row r="21" spans="1:5">
      <c r="B21" t="s">
        <v>41</v>
      </c>
      <c r="C21" s="5" t="s">
        <v>121</v>
      </c>
      <c r="E21" t="s">
        <v>40</v>
      </c>
    </row>
    <row r="22" spans="1:5">
      <c r="B22" t="s">
        <v>42</v>
      </c>
      <c r="C22">
        <v>1</v>
      </c>
    </row>
    <row r="23" spans="1:5">
      <c r="B23" t="s">
        <v>43</v>
      </c>
      <c r="C23">
        <v>2</v>
      </c>
    </row>
    <row r="25" spans="1:5">
      <c r="A25" t="s">
        <v>44</v>
      </c>
    </row>
    <row r="26" spans="1:5">
      <c r="B26" t="s">
        <v>45</v>
      </c>
      <c r="C26">
        <v>22</v>
      </c>
      <c r="D26" t="s">
        <v>46</v>
      </c>
      <c r="E26" t="s">
        <v>47</v>
      </c>
    </row>
    <row r="27" spans="1:5">
      <c r="B27" t="s">
        <v>48</v>
      </c>
      <c r="C27" s="3">
        <v>6729000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1346.1881245200561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1385.9175</v>
      </c>
      <c r="D40" t="s">
        <v>65</v>
      </c>
      <c r="E40" t="s">
        <v>28</v>
      </c>
    </row>
    <row r="41" spans="1:5">
      <c r="B41" t="s">
        <v>64</v>
      </c>
      <c r="C41">
        <v>39.25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2511.5450084329404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2.0590249977046979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1161</v>
      </c>
      <c r="D80" t="s">
        <v>111</v>
      </c>
    </row>
    <row r="81" spans="2:5">
      <c r="B81" t="s">
        <v>112</v>
      </c>
      <c r="C81">
        <v>35.18</v>
      </c>
      <c r="D81" t="s">
        <v>113</v>
      </c>
    </row>
    <row r="82" spans="2:5">
      <c r="B82" t="s">
        <v>114</v>
      </c>
      <c r="C82">
        <v>2.5</v>
      </c>
      <c r="D82" t="s">
        <v>113</v>
      </c>
    </row>
    <row r="83" spans="2:5">
      <c r="B83" t="s">
        <v>115</v>
      </c>
      <c r="C83">
        <f>C80*C81*(C14-C13)/(C11-C12)/C82</f>
        <v>2112.9952320000007</v>
      </c>
      <c r="D83" t="s">
        <v>111</v>
      </c>
    </row>
    <row r="86" spans="2:5">
      <c r="B86" t="s">
        <v>116</v>
      </c>
      <c r="C86">
        <f>C59*C51</f>
        <v>673.09406226002807</v>
      </c>
    </row>
    <row r="88" spans="2:5">
      <c r="B88" t="s">
        <v>117</v>
      </c>
      <c r="C88">
        <v>0</v>
      </c>
    </row>
    <row r="89" spans="2:5">
      <c r="B89" t="s">
        <v>118</v>
      </c>
      <c r="C89">
        <f>3*C88+5*(1-C88)</f>
        <v>5</v>
      </c>
      <c r="D89" t="s">
        <v>20</v>
      </c>
      <c r="E89" t="s">
        <v>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08A1-3A2B-4176-A481-E240228AD866}">
  <dimension ref="A1:E89"/>
  <sheetViews>
    <sheetView topLeftCell="A75" zoomScale="156" zoomScaleNormal="115" workbookViewId="0">
      <selection activeCell="C6" sqref="C6"/>
    </sheetView>
  </sheetViews>
  <sheetFormatPr defaultColWidth="11" defaultRowHeight="15.95"/>
  <cols>
    <col min="1" max="1" width="6.125" customWidth="1"/>
    <col min="2" max="2" width="21.625" customWidth="1"/>
    <col min="3" max="4" width="9" bestFit="1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122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-14.35</v>
      </c>
      <c r="D11" t="s">
        <v>27</v>
      </c>
      <c r="E11" t="s">
        <v>28</v>
      </c>
    </row>
    <row r="12" spans="1:5">
      <c r="B12" t="s">
        <v>29</v>
      </c>
      <c r="C12">
        <v>-33.770000000000003</v>
      </c>
      <c r="D12" t="s">
        <v>27</v>
      </c>
      <c r="E12" t="s">
        <v>28</v>
      </c>
    </row>
    <row r="13" spans="1:5">
      <c r="B13" t="s">
        <v>30</v>
      </c>
      <c r="C13">
        <v>-150</v>
      </c>
      <c r="D13" t="s">
        <v>27</v>
      </c>
      <c r="E13" t="s">
        <v>31</v>
      </c>
    </row>
    <row r="14" spans="1:5">
      <c r="B14" t="s">
        <v>32</v>
      </c>
      <c r="C14">
        <v>-100</v>
      </c>
      <c r="D14" t="s">
        <v>27</v>
      </c>
      <c r="E14" t="s">
        <v>31</v>
      </c>
    </row>
    <row r="15" spans="1:5">
      <c r="B15" t="s">
        <v>33</v>
      </c>
      <c r="C15">
        <f>C12-C13</f>
        <v>116.22999999999999</v>
      </c>
      <c r="D15" t="s">
        <v>27</v>
      </c>
      <c r="E15" t="s">
        <v>34</v>
      </c>
    </row>
    <row r="16" spans="1:5">
      <c r="B16" t="s">
        <v>35</v>
      </c>
      <c r="C16">
        <f>C11-C14</f>
        <v>85.65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100.16319529616707</v>
      </c>
      <c r="D17" t="s">
        <v>27</v>
      </c>
      <c r="E17" t="s">
        <v>34</v>
      </c>
    </row>
    <row r="18" spans="1:5">
      <c r="B18" t="s">
        <v>37</v>
      </c>
      <c r="C18">
        <f>(C11-C12)/(C14-C13)</f>
        <v>0.38840000000000002</v>
      </c>
      <c r="E18" t="s">
        <v>34</v>
      </c>
    </row>
    <row r="19" spans="1:5">
      <c r="B19" t="s">
        <v>38</v>
      </c>
      <c r="C19">
        <f>(C14-C13)/(C11-C13)</f>
        <v>0.36859565057132326</v>
      </c>
      <c r="E19" t="s">
        <v>34</v>
      </c>
    </row>
    <row r="20" spans="1:5">
      <c r="B20" t="s">
        <v>39</v>
      </c>
      <c r="C20">
        <v>0.99</v>
      </c>
      <c r="E20" t="s">
        <v>40</v>
      </c>
    </row>
    <row r="21" spans="1:5">
      <c r="B21" t="s">
        <v>41</v>
      </c>
      <c r="C21" s="5" t="s">
        <v>121</v>
      </c>
      <c r="E21" t="s">
        <v>40</v>
      </c>
    </row>
    <row r="22" spans="1:5">
      <c r="B22" t="s">
        <v>42</v>
      </c>
      <c r="C22">
        <v>1</v>
      </c>
    </row>
    <row r="23" spans="1:5">
      <c r="B23" t="s">
        <v>43</v>
      </c>
      <c r="C23">
        <v>2</v>
      </c>
    </row>
    <row r="25" spans="1:5">
      <c r="A25" t="s">
        <v>44</v>
      </c>
    </row>
    <row r="26" spans="1:5">
      <c r="B26" t="s">
        <v>45</v>
      </c>
      <c r="C26">
        <v>40</v>
      </c>
      <c r="D26" t="s">
        <v>46</v>
      </c>
      <c r="E26" t="s">
        <v>47</v>
      </c>
    </row>
    <row r="27" spans="1:5">
      <c r="B27" t="s">
        <v>48</v>
      </c>
      <c r="C27" s="3">
        <v>1218000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307.07462623002755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176.44407000000001</v>
      </c>
      <c r="D40" t="s">
        <v>65</v>
      </c>
      <c r="E40" t="s">
        <v>28</v>
      </c>
    </row>
    <row r="41" spans="1:5">
      <c r="B41" t="s">
        <v>64</v>
      </c>
      <c r="C41">
        <v>4.9969999999999999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572.90042207094689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1.1491934202849241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207.3</v>
      </c>
      <c r="D80" t="s">
        <v>111</v>
      </c>
    </row>
    <row r="81" spans="2:5">
      <c r="B81" t="s">
        <v>112</v>
      </c>
      <c r="C81">
        <v>9.3439999999999994</v>
      </c>
      <c r="D81" t="s">
        <v>113</v>
      </c>
    </row>
    <row r="82" spans="2:5">
      <c r="B82" t="s">
        <v>114</v>
      </c>
      <c r="C82" s="3">
        <v>1.025E-2</v>
      </c>
      <c r="D82" t="s">
        <v>113</v>
      </c>
    </row>
    <row r="83" spans="2:5">
      <c r="B83" t="s">
        <v>115</v>
      </c>
      <c r="C83">
        <f>C80*C81*(C11-C12)/(C14-C13)/C82</f>
        <v>73398.551227317075</v>
      </c>
      <c r="D83" t="s">
        <v>111</v>
      </c>
    </row>
    <row r="86" spans="2:5">
      <c r="B86" t="s">
        <v>116</v>
      </c>
      <c r="C86">
        <f>C59*C51</f>
        <v>153.53731311501377</v>
      </c>
    </row>
    <row r="88" spans="2:5">
      <c r="B88" t="s">
        <v>117</v>
      </c>
      <c r="C88">
        <v>1</v>
      </c>
    </row>
    <row r="89" spans="2:5">
      <c r="B89" t="s">
        <v>118</v>
      </c>
      <c r="C89">
        <f>3*C88+5*(1-C88)</f>
        <v>3</v>
      </c>
      <c r="D89" t="s">
        <v>20</v>
      </c>
      <c r="E89" t="s">
        <v>119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9E20-4BC4-4685-8A3A-11B2F8F904F2}">
  <dimension ref="A1:E89"/>
  <sheetViews>
    <sheetView zoomScale="156" zoomScaleNormal="115" workbookViewId="0">
      <selection activeCell="C4" sqref="C4"/>
    </sheetView>
  </sheetViews>
  <sheetFormatPr defaultColWidth="11" defaultRowHeight="15.95"/>
  <cols>
    <col min="1" max="1" width="6.125" customWidth="1"/>
    <col min="2" max="2" width="21.625" customWidth="1"/>
    <col min="3" max="4" width="9" bestFit="1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17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750</v>
      </c>
      <c r="D11" t="s">
        <v>27</v>
      </c>
      <c r="E11" t="s">
        <v>28</v>
      </c>
    </row>
    <row r="12" spans="1:5">
      <c r="B12" t="s">
        <v>29</v>
      </c>
      <c r="C12">
        <v>450</v>
      </c>
      <c r="D12" t="s">
        <v>27</v>
      </c>
      <c r="E12" t="s">
        <v>28</v>
      </c>
    </row>
    <row r="13" spans="1:5">
      <c r="B13" t="s">
        <v>30</v>
      </c>
      <c r="C13">
        <v>423</v>
      </c>
      <c r="D13" t="s">
        <v>27</v>
      </c>
      <c r="E13" t="s">
        <v>31</v>
      </c>
    </row>
    <row r="14" spans="1:5">
      <c r="B14" t="s">
        <v>32</v>
      </c>
      <c r="C14">
        <v>428.9</v>
      </c>
      <c r="D14" t="s">
        <v>27</v>
      </c>
      <c r="E14" t="s">
        <v>31</v>
      </c>
    </row>
    <row r="15" spans="1:5">
      <c r="B15" t="s">
        <v>33</v>
      </c>
      <c r="C15">
        <f>C12-C13</f>
        <v>27</v>
      </c>
      <c r="D15" t="s">
        <v>27</v>
      </c>
      <c r="E15" t="s">
        <v>34</v>
      </c>
    </row>
    <row r="16" spans="1:5">
      <c r="B16" t="s">
        <v>35</v>
      </c>
      <c r="C16">
        <f>C11-C14</f>
        <v>321.10000000000002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118.78433334047781</v>
      </c>
      <c r="D17" t="s">
        <v>27</v>
      </c>
      <c r="E17" t="s">
        <v>34</v>
      </c>
    </row>
    <row r="18" spans="1:5">
      <c r="B18" t="s">
        <v>37</v>
      </c>
      <c r="C18">
        <f>(C11-C12)/(C14-C13)</f>
        <v>50.847457627118843</v>
      </c>
      <c r="E18" t="s">
        <v>34</v>
      </c>
    </row>
    <row r="19" spans="1:5">
      <c r="B19" t="s">
        <v>38</v>
      </c>
      <c r="C19">
        <f>(C14-C13)/(C11-C13)</f>
        <v>1.8042813455657423E-2</v>
      </c>
      <c r="E19" t="s">
        <v>34</v>
      </c>
    </row>
    <row r="20" spans="1:5">
      <c r="B20" t="s">
        <v>39</v>
      </c>
      <c r="C20">
        <v>0.99</v>
      </c>
      <c r="E20" t="s">
        <v>40</v>
      </c>
    </row>
    <row r="21" spans="1:5">
      <c r="B21" t="s">
        <v>41</v>
      </c>
      <c r="C21" s="5" t="s">
        <v>121</v>
      </c>
      <c r="E21" t="s">
        <v>40</v>
      </c>
    </row>
    <row r="22" spans="1:5">
      <c r="B22" t="s">
        <v>42</v>
      </c>
      <c r="C22">
        <v>1</v>
      </c>
    </row>
    <row r="23" spans="1:5">
      <c r="B23" t="s">
        <v>43</v>
      </c>
      <c r="C23">
        <v>2</v>
      </c>
    </row>
    <row r="25" spans="1:5">
      <c r="A25" t="s">
        <v>44</v>
      </c>
    </row>
    <row r="26" spans="1:5">
      <c r="B26" t="s">
        <v>45</v>
      </c>
      <c r="C26">
        <v>22</v>
      </c>
      <c r="D26" t="s">
        <v>46</v>
      </c>
      <c r="E26" t="s">
        <v>47</v>
      </c>
    </row>
    <row r="27" spans="1:5">
      <c r="B27" t="s">
        <v>48</v>
      </c>
      <c r="C27" s="3">
        <v>14360000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5550.5676460922714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19575.864000000001</v>
      </c>
      <c r="D40" t="s">
        <v>65</v>
      </c>
      <c r="E40" t="s">
        <v>28</v>
      </c>
    </row>
    <row r="41" spans="1:5">
      <c r="B41" t="s">
        <v>64</v>
      </c>
      <c r="C41">
        <v>554.4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10355.536653157222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7.0536439687504267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 s="3">
        <v>15050</v>
      </c>
      <c r="D80" t="s">
        <v>111</v>
      </c>
    </row>
    <row r="81" spans="2:5">
      <c r="B81" t="s">
        <v>112</v>
      </c>
      <c r="C81">
        <v>43.99</v>
      </c>
      <c r="D81" t="s">
        <v>113</v>
      </c>
    </row>
    <row r="82" spans="2:5">
      <c r="B82" t="s">
        <v>114</v>
      </c>
      <c r="C82">
        <v>2.5</v>
      </c>
      <c r="D82" t="s">
        <v>113</v>
      </c>
    </row>
    <row r="83" spans="2:5">
      <c r="B83" t="s">
        <v>115</v>
      </c>
      <c r="C83">
        <f>C80*C81*(C14-C13)/(C11-C12)/C82</f>
        <v>5208.1227333333136</v>
      </c>
      <c r="D83" t="s">
        <v>111</v>
      </c>
    </row>
    <row r="86" spans="2:5">
      <c r="B86" t="s">
        <v>116</v>
      </c>
      <c r="C86">
        <f>C59*C51</f>
        <v>2775.2838230461357</v>
      </c>
    </row>
    <row r="88" spans="2:5">
      <c r="B88" t="s">
        <v>117</v>
      </c>
      <c r="C88">
        <v>0</v>
      </c>
    </row>
    <row r="89" spans="2:5">
      <c r="B89" t="s">
        <v>118</v>
      </c>
      <c r="C89">
        <f>3*C88+5*(1-C88)</f>
        <v>5</v>
      </c>
      <c r="D89" t="s">
        <v>20</v>
      </c>
      <c r="E89" t="s">
        <v>119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1294-2C92-459F-BEE0-9C7C705E0C8C}">
  <dimension ref="A1:E89"/>
  <sheetViews>
    <sheetView zoomScale="156" zoomScaleNormal="115" workbookViewId="0">
      <selection activeCell="C2" sqref="C2"/>
    </sheetView>
  </sheetViews>
  <sheetFormatPr defaultColWidth="11" defaultRowHeight="15.95"/>
  <cols>
    <col min="1" max="1" width="6.125" customWidth="1"/>
    <col min="2" max="2" width="21.625" customWidth="1"/>
    <col min="3" max="4" width="9" bestFit="1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123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202.7</v>
      </c>
      <c r="D11" t="s">
        <v>27</v>
      </c>
      <c r="E11" t="s">
        <v>28</v>
      </c>
    </row>
    <row r="12" spans="1:5">
      <c r="B12" t="s">
        <v>29</v>
      </c>
      <c r="C12">
        <v>202.6</v>
      </c>
      <c r="D12" t="s">
        <v>27</v>
      </c>
      <c r="E12" t="s">
        <v>28</v>
      </c>
    </row>
    <row r="13" spans="1:5">
      <c r="B13" t="s">
        <v>30</v>
      </c>
      <c r="C13">
        <v>90</v>
      </c>
      <c r="D13" t="s">
        <v>27</v>
      </c>
      <c r="E13" t="s">
        <v>31</v>
      </c>
    </row>
    <row r="14" spans="1:5">
      <c r="B14" t="s">
        <v>32</v>
      </c>
      <c r="C14">
        <v>120</v>
      </c>
      <c r="D14" t="s">
        <v>27</v>
      </c>
      <c r="E14" t="s">
        <v>31</v>
      </c>
    </row>
    <row r="15" spans="1:5">
      <c r="B15" t="s">
        <v>33</v>
      </c>
      <c r="C15">
        <f>C12-C13</f>
        <v>112.6</v>
      </c>
      <c r="D15" t="s">
        <v>27</v>
      </c>
      <c r="E15" t="s">
        <v>34</v>
      </c>
    </row>
    <row r="16" spans="1:5">
      <c r="B16" t="s">
        <v>35</v>
      </c>
      <c r="C16">
        <f>C11-C14</f>
        <v>82.699999999999989</v>
      </c>
      <c r="D16" t="s">
        <v>27</v>
      </c>
      <c r="E16" t="s">
        <v>34</v>
      </c>
    </row>
    <row r="17" spans="1:5">
      <c r="B17" t="s">
        <v>36</v>
      </c>
      <c r="C17">
        <f>(C15-C16)/LN(C15/C16)</f>
        <v>96.88223453551754</v>
      </c>
      <c r="D17" t="s">
        <v>27</v>
      </c>
      <c r="E17" t="s">
        <v>34</v>
      </c>
    </row>
    <row r="18" spans="1:5">
      <c r="B18" t="s">
        <v>37</v>
      </c>
      <c r="C18">
        <f>(C11-C12)/(C14-C13)</f>
        <v>3.333333333333144E-3</v>
      </c>
      <c r="E18" t="s">
        <v>34</v>
      </c>
    </row>
    <row r="19" spans="1:5">
      <c r="B19" t="s">
        <v>38</v>
      </c>
      <c r="C19">
        <f>(C14-C13)/(C11-C13)</f>
        <v>0.26619343389529726</v>
      </c>
      <c r="E19" t="s">
        <v>34</v>
      </c>
    </row>
    <row r="20" spans="1:5">
      <c r="B20" t="s">
        <v>39</v>
      </c>
      <c r="C20">
        <v>0.999</v>
      </c>
      <c r="E20" t="s">
        <v>40</v>
      </c>
    </row>
    <row r="21" spans="1:5">
      <c r="B21" t="s">
        <v>41</v>
      </c>
      <c r="C21" s="5" t="s">
        <v>121</v>
      </c>
      <c r="E21" t="s">
        <v>40</v>
      </c>
    </row>
    <row r="22" spans="1:5">
      <c r="B22" t="s">
        <v>42</v>
      </c>
      <c r="C22">
        <v>1</v>
      </c>
    </row>
    <row r="23" spans="1:5">
      <c r="B23" t="s">
        <v>43</v>
      </c>
      <c r="C23">
        <v>2</v>
      </c>
    </row>
    <row r="25" spans="1:5">
      <c r="A25" t="s">
        <v>44</v>
      </c>
    </row>
    <row r="26" spans="1:5">
      <c r="B26" t="s">
        <v>45</v>
      </c>
      <c r="C26">
        <v>100</v>
      </c>
      <c r="D26" t="s">
        <v>46</v>
      </c>
      <c r="E26" t="s">
        <v>47</v>
      </c>
    </row>
    <row r="27" spans="1:5">
      <c r="B27" t="s">
        <v>48</v>
      </c>
      <c r="C27" s="3">
        <v>13930000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1439.2673755715264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23933.117999999999</v>
      </c>
      <c r="D40" t="s">
        <v>65</v>
      </c>
      <c r="E40" t="s">
        <v>28</v>
      </c>
    </row>
    <row r="41" spans="1:5">
      <c r="B41" t="s">
        <v>64</v>
      </c>
      <c r="C41">
        <v>677.8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2685.2003275588177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33.257361913725404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 s="3">
        <v>21550</v>
      </c>
      <c r="D80" t="s">
        <v>111</v>
      </c>
    </row>
    <row r="81" spans="2:5">
      <c r="B81" t="s">
        <v>112</v>
      </c>
      <c r="C81">
        <v>18.97</v>
      </c>
      <c r="D81" t="s">
        <v>113</v>
      </c>
    </row>
    <row r="82" spans="2:5">
      <c r="B82" t="s">
        <v>114</v>
      </c>
      <c r="C82">
        <v>1.0009999999999999</v>
      </c>
      <c r="D82" t="s">
        <v>113</v>
      </c>
    </row>
    <row r="83" spans="2:5">
      <c r="B83" t="s">
        <v>115</v>
      </c>
      <c r="C83">
        <f>C80*C81*(C11-C12)/(C14-C13)/C82</f>
        <v>1361.3170163169391</v>
      </c>
      <c r="D83" t="s">
        <v>111</v>
      </c>
    </row>
    <row r="86" spans="2:5">
      <c r="B86" t="s">
        <v>116</v>
      </c>
      <c r="C86">
        <f>C59*C51</f>
        <v>719.63368778576319</v>
      </c>
    </row>
    <row r="88" spans="2:5">
      <c r="B88" t="s">
        <v>117</v>
      </c>
      <c r="C88">
        <v>1</v>
      </c>
    </row>
    <row r="89" spans="2:5">
      <c r="B89" t="s">
        <v>118</v>
      </c>
      <c r="C89">
        <f>3*C88+5*(1-C88)</f>
        <v>3</v>
      </c>
      <c r="D89" t="s">
        <v>20</v>
      </c>
      <c r="E89" t="s">
        <v>119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0A01-858F-4505-AA97-4181B35943FA}">
  <dimension ref="A1:E89"/>
  <sheetViews>
    <sheetView topLeftCell="A74" zoomScale="156" zoomScaleNormal="115" workbookViewId="0">
      <selection activeCell="C5" sqref="C5"/>
    </sheetView>
  </sheetViews>
  <sheetFormatPr defaultColWidth="11" defaultRowHeight="15.95"/>
  <cols>
    <col min="1" max="1" width="6.125" customWidth="1"/>
    <col min="2" max="2" width="21.625" customWidth="1"/>
    <col min="3" max="4" width="9" bestFit="1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124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450</v>
      </c>
      <c r="D11" t="s">
        <v>27</v>
      </c>
      <c r="E11" t="s">
        <v>28</v>
      </c>
    </row>
    <row r="12" spans="1:5">
      <c r="B12" t="s">
        <v>29</v>
      </c>
      <c r="C12">
        <v>220</v>
      </c>
      <c r="D12" t="s">
        <v>27</v>
      </c>
      <c r="E12" t="s">
        <v>28</v>
      </c>
    </row>
    <row r="13" spans="1:5">
      <c r="B13" t="s">
        <v>30</v>
      </c>
      <c r="C13">
        <v>232.7</v>
      </c>
      <c r="D13" t="s">
        <v>27</v>
      </c>
      <c r="E13" t="s">
        <v>31</v>
      </c>
    </row>
    <row r="14" spans="1:5">
      <c r="B14" t="s">
        <v>32</v>
      </c>
      <c r="C14">
        <v>260.2</v>
      </c>
      <c r="D14" t="s">
        <v>27</v>
      </c>
      <c r="E14" t="s">
        <v>31</v>
      </c>
    </row>
    <row r="15" spans="1:5">
      <c r="B15" t="s">
        <v>33</v>
      </c>
      <c r="C15">
        <f>C12-C13</f>
        <v>-12.699999999999989</v>
      </c>
      <c r="D15" t="s">
        <v>27</v>
      </c>
      <c r="E15" t="s">
        <v>34</v>
      </c>
    </row>
    <row r="16" spans="1:5">
      <c r="B16" t="s">
        <v>35</v>
      </c>
      <c r="C16">
        <f>C11-C14</f>
        <v>189.8</v>
      </c>
      <c r="D16" t="s">
        <v>27</v>
      </c>
      <c r="E16" t="s">
        <v>34</v>
      </c>
    </row>
    <row r="17" spans="1:5">
      <c r="B17" t="s">
        <v>36</v>
      </c>
      <c r="C17">
        <f>(C15-C16)/LN(ABS(C15)/C16)</f>
        <v>74.878837922507785</v>
      </c>
      <c r="D17" t="s">
        <v>27</v>
      </c>
      <c r="E17" t="s">
        <v>34</v>
      </c>
    </row>
    <row r="18" spans="1:5">
      <c r="B18" t="s">
        <v>37</v>
      </c>
      <c r="C18">
        <f>(C11-C12)/(C14-C13)</f>
        <v>8.3636363636363633</v>
      </c>
      <c r="E18" t="s">
        <v>34</v>
      </c>
    </row>
    <row r="19" spans="1:5">
      <c r="B19" t="s">
        <v>38</v>
      </c>
      <c r="C19">
        <f>(C14-C13)/(C11-C13)</f>
        <v>0.12655315232397607</v>
      </c>
      <c r="E19" t="s">
        <v>34</v>
      </c>
    </row>
    <row r="20" spans="1:5">
      <c r="B20" t="s">
        <v>39</v>
      </c>
      <c r="C20">
        <v>0.97499999999999998</v>
      </c>
      <c r="E20" t="s">
        <v>40</v>
      </c>
    </row>
    <row r="21" spans="1:5">
      <c r="B21" t="s">
        <v>41</v>
      </c>
      <c r="C21" s="5" t="s">
        <v>121</v>
      </c>
      <c r="E21" t="s">
        <v>40</v>
      </c>
    </row>
    <row r="22" spans="1:5">
      <c r="B22" t="s">
        <v>42</v>
      </c>
      <c r="C22">
        <v>1</v>
      </c>
    </row>
    <row r="23" spans="1:5">
      <c r="B23" t="s">
        <v>43</v>
      </c>
      <c r="C23">
        <v>2</v>
      </c>
    </row>
    <row r="25" spans="1:5">
      <c r="A25" t="s">
        <v>44</v>
      </c>
    </row>
    <row r="26" spans="1:5">
      <c r="B26" t="s">
        <v>45</v>
      </c>
      <c r="C26">
        <v>100</v>
      </c>
      <c r="D26" t="s">
        <v>46</v>
      </c>
      <c r="E26" t="s">
        <v>47</v>
      </c>
    </row>
    <row r="27" spans="1:5">
      <c r="B27" t="s">
        <v>48</v>
      </c>
      <c r="C27" s="3">
        <v>22400000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C27/(C26*C20*C17)</f>
        <v>3068.2045303821583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15525.807000000001</v>
      </c>
      <c r="D40" t="s">
        <v>65</v>
      </c>
      <c r="E40" t="s">
        <v>28</v>
      </c>
    </row>
    <row r="41" spans="1:5">
      <c r="B41" t="s">
        <v>64</v>
      </c>
      <c r="C41">
        <v>439.7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>
        <f>C28/(C56/144)/2</f>
        <v>5724.2621835488026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10.120451127856326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5099</v>
      </c>
      <c r="D80" t="s">
        <v>111</v>
      </c>
    </row>
    <row r="81" spans="2:5">
      <c r="B81" t="s">
        <v>112</v>
      </c>
      <c r="C81">
        <v>29.93</v>
      </c>
      <c r="D81" t="s">
        <v>113</v>
      </c>
    </row>
    <row r="82" spans="2:5">
      <c r="B82" t="s">
        <v>114</v>
      </c>
      <c r="C82">
        <v>0.47670000000000001</v>
      </c>
      <c r="D82" t="s">
        <v>113</v>
      </c>
    </row>
    <row r="83" spans="2:5">
      <c r="B83" t="s">
        <v>115</v>
      </c>
      <c r="C83">
        <f>C80*C81*(C14-C13)/(C11-C12)/C82</f>
        <v>38278.193604582222</v>
      </c>
      <c r="D83" t="s">
        <v>111</v>
      </c>
    </row>
    <row r="86" spans="2:5">
      <c r="B86" t="s">
        <v>116</v>
      </c>
      <c r="C86">
        <f>C59*C51</f>
        <v>1534.1022651910791</v>
      </c>
    </row>
    <row r="88" spans="2:5">
      <c r="B88" t="s">
        <v>117</v>
      </c>
      <c r="C88">
        <v>0</v>
      </c>
    </row>
    <row r="89" spans="2:5">
      <c r="B89" t="s">
        <v>118</v>
      </c>
      <c r="C89">
        <f>3*C88+5*(1-C88)</f>
        <v>5</v>
      </c>
      <c r="D89" t="s">
        <v>20</v>
      </c>
      <c r="E89" t="s">
        <v>119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1AAE-7771-49F3-B772-B852BF31DDB4}">
  <dimension ref="A1:E89"/>
  <sheetViews>
    <sheetView zoomScale="156" zoomScaleNormal="115" workbookViewId="0">
      <selection activeCell="C4" sqref="C4"/>
    </sheetView>
  </sheetViews>
  <sheetFormatPr defaultColWidth="11" defaultRowHeight="15.95"/>
  <cols>
    <col min="1" max="1" width="6.125" customWidth="1"/>
    <col min="2" max="2" width="21.625" customWidth="1"/>
    <col min="5" max="5" width="54.375" customWidth="1"/>
  </cols>
  <sheetData>
    <row r="1" spans="1:5">
      <c r="A1" t="s">
        <v>12</v>
      </c>
    </row>
    <row r="2" spans="1:5">
      <c r="B2" t="s">
        <v>13</v>
      </c>
      <c r="C2" t="s">
        <v>14</v>
      </c>
      <c r="E2" t="s">
        <v>15</v>
      </c>
    </row>
    <row r="3" spans="1:5">
      <c r="B3" t="s">
        <v>16</v>
      </c>
      <c r="C3" t="s">
        <v>120</v>
      </c>
      <c r="E3" t="s">
        <v>15</v>
      </c>
    </row>
    <row r="5" spans="1:5">
      <c r="A5" t="s">
        <v>18</v>
      </c>
    </row>
    <row r="6" spans="1:5">
      <c r="B6" t="s">
        <v>19</v>
      </c>
      <c r="C6">
        <v>130.30000000000001</v>
      </c>
      <c r="D6" t="s">
        <v>20</v>
      </c>
      <c r="E6" t="s">
        <v>21</v>
      </c>
    </row>
    <row r="7" spans="1:5">
      <c r="B7" t="s">
        <v>22</v>
      </c>
      <c r="C7">
        <v>0</v>
      </c>
      <c r="D7" t="s">
        <v>20</v>
      </c>
      <c r="E7" t="s">
        <v>23</v>
      </c>
    </row>
    <row r="8" spans="1:5">
      <c r="B8" t="s">
        <v>24</v>
      </c>
      <c r="C8">
        <v>5</v>
      </c>
      <c r="D8" t="s">
        <v>20</v>
      </c>
      <c r="E8" t="s">
        <v>23</v>
      </c>
    </row>
    <row r="10" spans="1:5">
      <c r="A10" t="s">
        <v>25</v>
      </c>
    </row>
    <row r="11" spans="1:5">
      <c r="B11" t="s">
        <v>26</v>
      </c>
      <c r="C11">
        <v>21.7</v>
      </c>
      <c r="D11" t="s">
        <v>27</v>
      </c>
      <c r="E11" t="s">
        <v>28</v>
      </c>
    </row>
    <row r="12" spans="1:5">
      <c r="B12" t="s">
        <v>29</v>
      </c>
      <c r="C12">
        <v>15.4</v>
      </c>
      <c r="D12" t="s">
        <v>27</v>
      </c>
      <c r="E12" t="s">
        <v>28</v>
      </c>
    </row>
    <row r="13" spans="1:5">
      <c r="B13" t="s">
        <v>30</v>
      </c>
      <c r="C13">
        <v>0</v>
      </c>
      <c r="D13" t="s">
        <v>27</v>
      </c>
      <c r="E13" t="s">
        <v>31</v>
      </c>
    </row>
    <row r="14" spans="1:5">
      <c r="B14" t="s">
        <v>32</v>
      </c>
      <c r="C14">
        <v>60</v>
      </c>
      <c r="D14" t="s">
        <v>27</v>
      </c>
      <c r="E14" t="s">
        <v>31</v>
      </c>
    </row>
    <row r="15" spans="1:5">
      <c r="B15" t="s">
        <v>33</v>
      </c>
      <c r="C15">
        <f>C12-C13</f>
        <v>15.4</v>
      </c>
      <c r="D15" t="s">
        <v>27</v>
      </c>
      <c r="E15" t="s">
        <v>34</v>
      </c>
    </row>
    <row r="16" spans="1:5">
      <c r="B16" t="s">
        <v>35</v>
      </c>
      <c r="C16">
        <f>C11-C14</f>
        <v>-38.299999999999997</v>
      </c>
      <c r="D16" t="s">
        <v>27</v>
      </c>
      <c r="E16" t="s">
        <v>34</v>
      </c>
    </row>
    <row r="17" spans="1:5">
      <c r="B17" t="s">
        <v>36</v>
      </c>
      <c r="C17">
        <f>(C15-C16)/LN(C15/ABS(C16))</f>
        <v>-58.940882602894874</v>
      </c>
      <c r="D17" t="s">
        <v>27</v>
      </c>
      <c r="E17" t="s">
        <v>34</v>
      </c>
    </row>
    <row r="18" spans="1:5">
      <c r="B18" t="s">
        <v>37</v>
      </c>
      <c r="C18">
        <f>(C11-C12)/(C14-C13)</f>
        <v>0.10499999999999998</v>
      </c>
      <c r="E18" t="s">
        <v>34</v>
      </c>
    </row>
    <row r="19" spans="1:5">
      <c r="B19" t="s">
        <v>38</v>
      </c>
      <c r="C19">
        <f>(C14-C13)/(C11-C13)</f>
        <v>2.7649769585253456</v>
      </c>
      <c r="E19" t="s">
        <v>34</v>
      </c>
    </row>
    <row r="20" spans="1:5">
      <c r="B20" t="s">
        <v>39</v>
      </c>
      <c r="C20">
        <v>0.99</v>
      </c>
      <c r="E20" t="s">
        <v>40</v>
      </c>
    </row>
    <row r="21" spans="1:5">
      <c r="B21" t="s">
        <v>41</v>
      </c>
      <c r="C21" s="5" t="s">
        <v>121</v>
      </c>
      <c r="E21" t="s">
        <v>40</v>
      </c>
    </row>
    <row r="22" spans="1:5">
      <c r="B22" t="s">
        <v>42</v>
      </c>
      <c r="C22">
        <v>1</v>
      </c>
    </row>
    <row r="23" spans="1:5">
      <c r="B23" t="s">
        <v>43</v>
      </c>
      <c r="C23">
        <v>2</v>
      </c>
    </row>
    <row r="25" spans="1:5">
      <c r="A25" t="s">
        <v>44</v>
      </c>
    </row>
    <row r="26" spans="1:5">
      <c r="B26" t="s">
        <v>45</v>
      </c>
      <c r="C26">
        <v>62.5</v>
      </c>
      <c r="D26" t="s">
        <v>46</v>
      </c>
      <c r="E26" t="s">
        <v>47</v>
      </c>
    </row>
    <row r="27" spans="1:5">
      <c r="B27" t="s">
        <v>48</v>
      </c>
      <c r="C27" s="3">
        <v>14560000</v>
      </c>
      <c r="D27" t="s">
        <v>49</v>
      </c>
      <c r="E27" t="s">
        <v>28</v>
      </c>
    </row>
    <row r="28" spans="1:5" ht="33.950000000000003">
      <c r="B28" s="1" t="s">
        <v>50</v>
      </c>
      <c r="C28">
        <f>C27/(C26*C20*ABS(C17))</f>
        <v>3992.358460230691</v>
      </c>
      <c r="D28" t="s">
        <v>51</v>
      </c>
      <c r="E28" t="s">
        <v>52</v>
      </c>
    </row>
    <row r="30" spans="1:5">
      <c r="A30" t="s">
        <v>53</v>
      </c>
    </row>
    <row r="31" spans="1:5">
      <c r="B31" t="s">
        <v>54</v>
      </c>
      <c r="D31" t="s">
        <v>55</v>
      </c>
      <c r="E31" t="s">
        <v>28</v>
      </c>
    </row>
    <row r="32" spans="1:5">
      <c r="B32" t="s">
        <v>56</v>
      </c>
      <c r="D32" t="s">
        <v>55</v>
      </c>
      <c r="E32" t="s">
        <v>28</v>
      </c>
    </row>
    <row r="33" spans="1:5">
      <c r="B33" t="s">
        <v>57</v>
      </c>
      <c r="D33" t="s">
        <v>55</v>
      </c>
      <c r="E33" t="s">
        <v>28</v>
      </c>
    </row>
    <row r="34" spans="1:5">
      <c r="B34" t="s">
        <v>58</v>
      </c>
      <c r="D34" t="s">
        <v>55</v>
      </c>
      <c r="E34" t="s">
        <v>28</v>
      </c>
    </row>
    <row r="35" spans="1:5">
      <c r="B35" t="s">
        <v>59</v>
      </c>
      <c r="C35" s="3"/>
      <c r="D35" t="s">
        <v>60</v>
      </c>
      <c r="E35" t="s">
        <v>28</v>
      </c>
    </row>
    <row r="36" spans="1:5">
      <c r="B36" t="s">
        <v>61</v>
      </c>
      <c r="C36" s="3"/>
      <c r="D36" t="s">
        <v>60</v>
      </c>
      <c r="E36" t="s">
        <v>28</v>
      </c>
    </row>
    <row r="37" spans="1:5">
      <c r="B37" t="s">
        <v>62</v>
      </c>
      <c r="D37" t="s">
        <v>60</v>
      </c>
      <c r="E37" t="s">
        <v>28</v>
      </c>
    </row>
    <row r="38" spans="1:5">
      <c r="B38" t="s">
        <v>63</v>
      </c>
      <c r="D38" t="s">
        <v>60</v>
      </c>
      <c r="E38" t="s">
        <v>28</v>
      </c>
    </row>
    <row r="39" spans="1:5">
      <c r="C39" s="4"/>
      <c r="D39" s="4"/>
    </row>
    <row r="40" spans="1:5">
      <c r="B40" t="s">
        <v>64</v>
      </c>
      <c r="C40">
        <f>C41*35.31</f>
        <v>10028.040000000001</v>
      </c>
      <c r="D40" t="s">
        <v>65</v>
      </c>
      <c r="E40" t="s">
        <v>28</v>
      </c>
    </row>
    <row r="41" spans="1:5">
      <c r="B41" t="s">
        <v>64</v>
      </c>
      <c r="C41">
        <v>284</v>
      </c>
      <c r="D41" t="s">
        <v>66</v>
      </c>
      <c r="E41" t="s">
        <v>28</v>
      </c>
    </row>
    <row r="42" spans="1:5">
      <c r="B42" t="s">
        <v>67</v>
      </c>
      <c r="C42" t="e">
        <f>C27/C33/C37/30</f>
        <v>#DIV/0!</v>
      </c>
      <c r="D42" t="s">
        <v>65</v>
      </c>
      <c r="E42" t="s">
        <v>68</v>
      </c>
    </row>
    <row r="43" spans="1:5">
      <c r="B43" t="s">
        <v>69</v>
      </c>
      <c r="C43" t="e">
        <f>C27/C34/C38/30</f>
        <v>#DIV/0!</v>
      </c>
      <c r="D43" t="s">
        <v>65</v>
      </c>
      <c r="E43" t="s">
        <v>68</v>
      </c>
    </row>
    <row r="44" spans="1:5">
      <c r="B44" t="s">
        <v>70</v>
      </c>
    </row>
    <row r="45" spans="1:5">
      <c r="B45" t="s">
        <v>71</v>
      </c>
      <c r="E45" t="s">
        <v>72</v>
      </c>
    </row>
    <row r="46" spans="1:5">
      <c r="B46" t="s">
        <v>73</v>
      </c>
      <c r="E46" t="s">
        <v>72</v>
      </c>
    </row>
    <row r="48" spans="1:5">
      <c r="A48" t="s">
        <v>74</v>
      </c>
    </row>
    <row r="49" spans="1:5">
      <c r="B49" t="s">
        <v>75</v>
      </c>
      <c r="C49" s="2">
        <v>0.75</v>
      </c>
      <c r="D49" t="s">
        <v>76</v>
      </c>
      <c r="E49" t="s">
        <v>77</v>
      </c>
    </row>
    <row r="50" spans="1:5">
      <c r="B50" t="s">
        <v>78</v>
      </c>
      <c r="C50">
        <v>14</v>
      </c>
      <c r="E50" t="s">
        <v>79</v>
      </c>
    </row>
    <row r="51" spans="1:5">
      <c r="B51" t="s">
        <v>80</v>
      </c>
      <c r="C51">
        <v>0.26800000000000002</v>
      </c>
      <c r="D51" t="s">
        <v>81</v>
      </c>
      <c r="E51" t="s">
        <v>79</v>
      </c>
    </row>
    <row r="52" spans="1:5">
      <c r="B52" t="s">
        <v>82</v>
      </c>
      <c r="C52">
        <f>0.1963</f>
        <v>0.1963</v>
      </c>
      <c r="D52" t="s">
        <v>81</v>
      </c>
      <c r="E52" t="s">
        <v>79</v>
      </c>
    </row>
    <row r="54" spans="1:5">
      <c r="A54" t="s">
        <v>83</v>
      </c>
    </row>
    <row r="55" spans="1:5">
      <c r="B55" t="s">
        <v>84</v>
      </c>
      <c r="C55">
        <v>16</v>
      </c>
      <c r="D55" t="s">
        <v>85</v>
      </c>
      <c r="E55" t="s">
        <v>77</v>
      </c>
    </row>
    <row r="56" spans="1:5">
      <c r="B56" t="s">
        <v>86</v>
      </c>
      <c r="C56">
        <f>144*C51</f>
        <v>38.591999999999999</v>
      </c>
      <c r="D56" t="s">
        <v>87</v>
      </c>
      <c r="E56" t="s">
        <v>52</v>
      </c>
    </row>
    <row r="57" spans="1:5">
      <c r="C57">
        <v>0.26800000000000002</v>
      </c>
      <c r="D57" t="s">
        <v>81</v>
      </c>
    </row>
    <row r="58" spans="1:5">
      <c r="A58" t="s">
        <v>88</v>
      </c>
    </row>
    <row r="59" spans="1:5">
      <c r="B59" t="s">
        <v>89</v>
      </c>
      <c r="C59" s="2">
        <f>C28/(C56/144)/2</f>
        <v>7448.4299631169606</v>
      </c>
      <c r="D59" t="s">
        <v>90</v>
      </c>
    </row>
    <row r="61" spans="1:5">
      <c r="A61" t="s">
        <v>91</v>
      </c>
    </row>
    <row r="62" spans="1:5">
      <c r="B62" t="s">
        <v>92</v>
      </c>
      <c r="C62">
        <f>C40/C57/C59</f>
        <v>5.023617042353731</v>
      </c>
      <c r="D62" t="s">
        <v>93</v>
      </c>
      <c r="E62" t="s">
        <v>94</v>
      </c>
    </row>
    <row r="64" spans="1:5">
      <c r="A64" t="s">
        <v>95</v>
      </c>
    </row>
    <row r="65" spans="1:5">
      <c r="B65" t="s">
        <v>96</v>
      </c>
    </row>
    <row r="67" spans="1:5">
      <c r="A67" t="s">
        <v>97</v>
      </c>
    </row>
    <row r="68" spans="1:5">
      <c r="B68" t="s">
        <v>98</v>
      </c>
      <c r="C68">
        <v>1</v>
      </c>
      <c r="D68" t="s">
        <v>76</v>
      </c>
      <c r="E68" t="s">
        <v>99</v>
      </c>
    </row>
    <row r="69" spans="1:5">
      <c r="B69" t="s">
        <v>100</v>
      </c>
      <c r="C69">
        <f>ROUND(16*12/7,0)</f>
        <v>27</v>
      </c>
      <c r="D69" t="s">
        <v>76</v>
      </c>
    </row>
    <row r="70" spans="1:5">
      <c r="B70" t="s">
        <v>101</v>
      </c>
      <c r="C70">
        <f>ROUND(0.25*C69,1)</f>
        <v>6.8</v>
      </c>
      <c r="D70" t="s">
        <v>76</v>
      </c>
      <c r="E70" t="s">
        <v>102</v>
      </c>
    </row>
    <row r="71" spans="1:5">
      <c r="B71" t="s">
        <v>103</v>
      </c>
      <c r="C71">
        <f>0.3*C69</f>
        <v>8.1</v>
      </c>
      <c r="D71" t="s">
        <v>76</v>
      </c>
      <c r="E71" t="s">
        <v>104</v>
      </c>
    </row>
    <row r="73" spans="1:5">
      <c r="A73" t="s">
        <v>105</v>
      </c>
    </row>
    <row r="74" spans="1:5">
      <c r="B74" t="s">
        <v>106</v>
      </c>
      <c r="C74" t="s">
        <v>107</v>
      </c>
      <c r="E74" t="s">
        <v>108</v>
      </c>
    </row>
    <row r="75" spans="1:5">
      <c r="B75" t="s">
        <v>109</v>
      </c>
      <c r="C75" t="s">
        <v>107</v>
      </c>
    </row>
    <row r="80" spans="1:5">
      <c r="B80" t="s">
        <v>110</v>
      </c>
      <c r="C80">
        <v>2647</v>
      </c>
      <c r="D80" t="s">
        <v>111</v>
      </c>
    </row>
    <row r="81" spans="2:5">
      <c r="B81" t="s">
        <v>112</v>
      </c>
      <c r="C81">
        <v>9.2889999999999997</v>
      </c>
      <c r="D81" t="s">
        <v>113</v>
      </c>
    </row>
    <row r="82" spans="2:5">
      <c r="B82" t="s">
        <v>114</v>
      </c>
      <c r="C82">
        <v>0.97660000000000002</v>
      </c>
      <c r="D82" t="s">
        <v>113</v>
      </c>
    </row>
    <row r="83" spans="2:5">
      <c r="B83" t="s">
        <v>115</v>
      </c>
      <c r="C83">
        <f>C80*C81*(C11-C12)/(C14-C13)/C82</f>
        <v>2643.5984179807488</v>
      </c>
      <c r="D83" t="s">
        <v>111</v>
      </c>
    </row>
    <row r="86" spans="2:5">
      <c r="B86" t="s">
        <v>116</v>
      </c>
      <c r="C86">
        <f>C59*C51</f>
        <v>1996.1792301153455</v>
      </c>
    </row>
    <row r="88" spans="2:5">
      <c r="B88" t="s">
        <v>117</v>
      </c>
      <c r="C88">
        <v>1</v>
      </c>
    </row>
    <row r="89" spans="2:5">
      <c r="B89" t="s">
        <v>118</v>
      </c>
      <c r="C89">
        <f>3*C88+5*(1-C88)</f>
        <v>3</v>
      </c>
      <c r="D89" t="s">
        <v>20</v>
      </c>
      <c r="E89" t="s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Smith</dc:creator>
  <cp:keywords/>
  <dc:description/>
  <cp:lastModifiedBy/>
  <cp:revision/>
  <dcterms:created xsi:type="dcterms:W3CDTF">2021-09-29T22:54:19Z</dcterms:created>
  <dcterms:modified xsi:type="dcterms:W3CDTF">2021-12-12T06:29:11Z</dcterms:modified>
  <cp:category/>
  <cp:contentStatus/>
</cp:coreProperties>
</file>