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so\Desktop\Design Final Project\"/>
    </mc:Choice>
  </mc:AlternateContent>
  <xr:revisionPtr revIDLastSave="0" documentId="13_ncr:1_{9380D874-05E2-4EF3-9457-F19FB16D0EC1}" xr6:coauthVersionLast="47" xr6:coauthVersionMax="47" xr10:uidLastSave="{00000000-0000-0000-0000-000000000000}"/>
  <bookViews>
    <workbookView xWindow="-108" yWindow="-108" windowWidth="23256" windowHeight="12576" xr2:uid="{1D1074BD-86E1-2D49-A1AD-734106F19308}"/>
  </bookViews>
  <sheets>
    <sheet name="D1" sheetId="1" r:id="rId1"/>
    <sheet name="D2" sheetId="2" r:id="rId2"/>
    <sheet name="D3" sheetId="3" r:id="rId3"/>
    <sheet name="D4" sheetId="4" r:id="rId4"/>
  </sheets>
  <definedNames>
    <definedName name="solver_adj" localSheetId="0" hidden="1">'D1'!$C$87</definedName>
    <definedName name="solver_adj" localSheetId="1" hidden="1">'D2'!$C$85</definedName>
    <definedName name="solver_adj" localSheetId="2" hidden="1">'D3'!$C$87</definedName>
    <definedName name="solver_adj" localSheetId="3" hidden="1">'D4'!$C$84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'D1'!$G$86</definedName>
    <definedName name="solver_opt" localSheetId="1" hidden="1">'D2'!$G$84</definedName>
    <definedName name="solver_opt" localSheetId="2" hidden="1">'D3'!$G$86</definedName>
    <definedName name="solver_opt" localSheetId="3" hidden="1">'D4'!$G$83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3</definedName>
    <definedName name="solver_typ" localSheetId="1" hidden="1">3</definedName>
    <definedName name="solver_typ" localSheetId="2" hidden="1">3</definedName>
    <definedName name="solver_typ" localSheetId="3" hidden="1">3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3" i="2" l="1"/>
  <c r="C111" i="2"/>
  <c r="C115" i="2"/>
  <c r="C117" i="2"/>
  <c r="C126" i="2"/>
  <c r="E68" i="3"/>
  <c r="E69" i="3"/>
  <c r="E70" i="3"/>
  <c r="E71" i="3"/>
  <c r="E72" i="3"/>
  <c r="E73" i="3"/>
  <c r="E74" i="3"/>
  <c r="E75" i="3"/>
  <c r="E76" i="3"/>
  <c r="E77" i="3"/>
  <c r="C64" i="3"/>
  <c r="K49" i="3"/>
  <c r="C115" i="3"/>
  <c r="C113" i="3"/>
  <c r="C117" i="3"/>
  <c r="C119" i="3"/>
  <c r="C128" i="3"/>
  <c r="C130" i="3"/>
  <c r="F35" i="3"/>
  <c r="F31" i="3"/>
  <c r="C105" i="3"/>
  <c r="C104" i="3"/>
  <c r="C108" i="3"/>
  <c r="C135" i="3"/>
  <c r="C134" i="3"/>
  <c r="C139" i="3"/>
  <c r="C114" i="3"/>
  <c r="C122" i="3"/>
  <c r="C123" i="3"/>
  <c r="C126" i="3"/>
  <c r="C127" i="3"/>
  <c r="C118" i="3"/>
  <c r="C131" i="3"/>
  <c r="C120" i="3"/>
  <c r="C116" i="3"/>
  <c r="F29" i="3"/>
  <c r="F30" i="3"/>
  <c r="C106" i="3"/>
  <c r="C105" i="4"/>
  <c r="C132" i="4"/>
  <c r="C110" i="4"/>
  <c r="C111" i="4"/>
  <c r="C119" i="4"/>
  <c r="C120" i="4"/>
  <c r="C123" i="4"/>
  <c r="C116" i="4"/>
  <c r="C114" i="4"/>
  <c r="C124" i="4"/>
  <c r="C112" i="4"/>
  <c r="C125" i="4"/>
  <c r="C127" i="4"/>
  <c r="C115" i="4"/>
  <c r="C128" i="4"/>
  <c r="F32" i="4"/>
  <c r="F33" i="4"/>
  <c r="C102" i="4"/>
  <c r="C101" i="4"/>
  <c r="C120" i="2"/>
  <c r="C102" i="2"/>
  <c r="F29" i="2"/>
  <c r="F30" i="2"/>
  <c r="C103" i="2"/>
  <c r="C106" i="2"/>
  <c r="C133" i="2"/>
  <c r="C132" i="2"/>
  <c r="C137" i="2"/>
  <c r="C112" i="2"/>
  <c r="C121" i="2"/>
  <c r="C124" i="2"/>
  <c r="C125" i="2"/>
  <c r="C116" i="2"/>
  <c r="C129" i="2"/>
  <c r="C118" i="2"/>
  <c r="C114" i="2"/>
  <c r="C104" i="2"/>
  <c r="C113" i="1"/>
  <c r="C114" i="1"/>
  <c r="C122" i="1"/>
  <c r="C123" i="1"/>
  <c r="C126" i="1"/>
  <c r="C119" i="1"/>
  <c r="C117" i="1"/>
  <c r="C127" i="1"/>
  <c r="C118" i="1"/>
  <c r="C131" i="1"/>
  <c r="C131" i="4"/>
  <c r="C136" i="4"/>
  <c r="C117" i="4"/>
  <c r="C113" i="4"/>
  <c r="F26" i="4"/>
  <c r="F27" i="4"/>
  <c r="C103" i="4"/>
  <c r="F27" i="2"/>
  <c r="F28" i="2"/>
  <c r="C108" i="1"/>
  <c r="C135" i="1"/>
  <c r="C134" i="1"/>
  <c r="C139" i="1"/>
  <c r="C115" i="1"/>
  <c r="C128" i="1"/>
  <c r="C104" i="1"/>
  <c r="F29" i="1"/>
  <c r="F30" i="1"/>
  <c r="C105" i="1"/>
  <c r="C106" i="1"/>
  <c r="C120" i="1"/>
  <c r="C116" i="1"/>
  <c r="E6" i="1"/>
  <c r="I6" i="1"/>
  <c r="E7" i="1"/>
  <c r="I7" i="1"/>
  <c r="E8" i="1"/>
  <c r="I8" i="1"/>
  <c r="E9" i="1"/>
  <c r="I9" i="1"/>
  <c r="E10" i="1"/>
  <c r="G10" i="1"/>
  <c r="I10" i="1"/>
  <c r="E11" i="1"/>
  <c r="I11" i="1"/>
  <c r="E12" i="1"/>
  <c r="I12" i="1"/>
  <c r="E13" i="1"/>
  <c r="I13" i="1"/>
  <c r="E14" i="1"/>
  <c r="I14" i="1"/>
  <c r="E15" i="1"/>
  <c r="I15" i="1"/>
  <c r="E16" i="1"/>
  <c r="I16" i="1"/>
  <c r="I17" i="1"/>
  <c r="E12" i="4"/>
  <c r="I12" i="4"/>
  <c r="K12" i="4"/>
  <c r="H6" i="1"/>
  <c r="H7" i="1"/>
  <c r="H8" i="1"/>
  <c r="H9" i="1"/>
  <c r="H10" i="1"/>
  <c r="H11" i="1"/>
  <c r="H12" i="1"/>
  <c r="H13" i="1"/>
  <c r="H14" i="1"/>
  <c r="H15" i="1"/>
  <c r="H16" i="1"/>
  <c r="H17" i="1"/>
  <c r="E13" i="4"/>
  <c r="H13" i="4"/>
  <c r="J13" i="4"/>
  <c r="E6" i="4"/>
  <c r="I6" i="4"/>
  <c r="E7" i="4"/>
  <c r="I7" i="4"/>
  <c r="E8" i="4"/>
  <c r="I8" i="4"/>
  <c r="E9" i="4"/>
  <c r="I9" i="4"/>
  <c r="E10" i="4"/>
  <c r="I10" i="4"/>
  <c r="E11" i="4"/>
  <c r="I11" i="4"/>
  <c r="I13" i="4"/>
  <c r="E14" i="4"/>
  <c r="I14" i="4"/>
  <c r="E15" i="4"/>
  <c r="I15" i="4"/>
  <c r="E16" i="4"/>
  <c r="I16" i="4"/>
  <c r="I17" i="4"/>
  <c r="H6" i="4"/>
  <c r="H7" i="4"/>
  <c r="H8" i="4"/>
  <c r="H9" i="4"/>
  <c r="H10" i="4"/>
  <c r="H11" i="4"/>
  <c r="H12" i="4"/>
  <c r="H14" i="4"/>
  <c r="H15" i="4"/>
  <c r="H16" i="4"/>
  <c r="H17" i="4"/>
  <c r="C88" i="4"/>
  <c r="C89" i="4"/>
  <c r="C90" i="4"/>
  <c r="C91" i="4"/>
  <c r="E11" i="3"/>
  <c r="F11" i="3"/>
  <c r="H11" i="3"/>
  <c r="E5" i="3"/>
  <c r="H5" i="3"/>
  <c r="E6" i="3"/>
  <c r="H6" i="3"/>
  <c r="E7" i="3"/>
  <c r="H7" i="3"/>
  <c r="E8" i="3"/>
  <c r="H8" i="3"/>
  <c r="E9" i="3"/>
  <c r="H9" i="3"/>
  <c r="E10" i="3"/>
  <c r="H10" i="3"/>
  <c r="E12" i="3"/>
  <c r="H12" i="3"/>
  <c r="E13" i="3"/>
  <c r="H13" i="3"/>
  <c r="E14" i="3"/>
  <c r="H14" i="3"/>
  <c r="E15" i="3"/>
  <c r="H15" i="3"/>
  <c r="H16" i="3"/>
  <c r="J11" i="3"/>
  <c r="I5" i="3"/>
  <c r="I6" i="3"/>
  <c r="I7" i="3"/>
  <c r="I8" i="3"/>
  <c r="I9" i="3"/>
  <c r="I10" i="3"/>
  <c r="I11" i="3"/>
  <c r="I12" i="3"/>
  <c r="I13" i="3"/>
  <c r="I14" i="3"/>
  <c r="I15" i="3"/>
  <c r="I16" i="3"/>
  <c r="K15" i="3"/>
  <c r="C91" i="3"/>
  <c r="C92" i="3"/>
  <c r="C93" i="3"/>
  <c r="C94" i="3"/>
  <c r="E5" i="2"/>
  <c r="I5" i="2"/>
  <c r="E6" i="2"/>
  <c r="I6" i="2"/>
  <c r="E7" i="2"/>
  <c r="I7" i="2"/>
  <c r="E8" i="2"/>
  <c r="I8" i="2"/>
  <c r="E9" i="2"/>
  <c r="G9" i="2"/>
  <c r="I9" i="2"/>
  <c r="E10" i="2"/>
  <c r="I10" i="2"/>
  <c r="E11" i="2"/>
  <c r="I11" i="2"/>
  <c r="E12" i="2"/>
  <c r="I12" i="2"/>
  <c r="E13" i="2"/>
  <c r="I13" i="2"/>
  <c r="E14" i="2"/>
  <c r="I14" i="2"/>
  <c r="E15" i="2"/>
  <c r="I15" i="2"/>
  <c r="I16" i="2"/>
  <c r="H5" i="2"/>
  <c r="H6" i="2"/>
  <c r="H7" i="2"/>
  <c r="H8" i="2"/>
  <c r="H9" i="2"/>
  <c r="H10" i="2"/>
  <c r="H11" i="2"/>
  <c r="H12" i="2"/>
  <c r="H13" i="2"/>
  <c r="H14" i="2"/>
  <c r="H15" i="2"/>
  <c r="H16" i="2"/>
  <c r="K9" i="2"/>
  <c r="J10" i="2"/>
  <c r="C89" i="2"/>
  <c r="C90" i="2"/>
  <c r="C91" i="2"/>
  <c r="C92" i="2"/>
  <c r="K46" i="2"/>
  <c r="C68" i="2"/>
  <c r="D68" i="2"/>
  <c r="E68" i="2"/>
  <c r="K47" i="2"/>
  <c r="C69" i="2"/>
  <c r="D69" i="2"/>
  <c r="E69" i="2"/>
  <c r="K48" i="2"/>
  <c r="C70" i="2"/>
  <c r="D70" i="2"/>
  <c r="E70" i="2"/>
  <c r="K49" i="2"/>
  <c r="C71" i="2"/>
  <c r="D71" i="2"/>
  <c r="E71" i="2"/>
  <c r="K50" i="2"/>
  <c r="C72" i="2"/>
  <c r="D72" i="2"/>
  <c r="E72" i="2"/>
  <c r="K51" i="2"/>
  <c r="C73" i="2"/>
  <c r="D73" i="2"/>
  <c r="E73" i="2"/>
  <c r="K52" i="2"/>
  <c r="C74" i="2"/>
  <c r="D74" i="2"/>
  <c r="E74" i="2"/>
  <c r="K53" i="2"/>
  <c r="C75" i="2"/>
  <c r="D75" i="2"/>
  <c r="E75" i="2"/>
  <c r="E76" i="2"/>
  <c r="C63" i="2"/>
  <c r="C64" i="2"/>
  <c r="K9" i="1"/>
  <c r="J10" i="1"/>
  <c r="C91" i="1"/>
  <c r="C92" i="1"/>
  <c r="C93" i="1"/>
  <c r="C94" i="1"/>
  <c r="D70" i="4"/>
  <c r="K50" i="4"/>
  <c r="C69" i="4"/>
  <c r="D69" i="4"/>
  <c r="E69" i="4"/>
  <c r="K51" i="4"/>
  <c r="C70" i="4"/>
  <c r="E70" i="4"/>
  <c r="K52" i="4"/>
  <c r="C71" i="4"/>
  <c r="D71" i="4"/>
  <c r="E71" i="4"/>
  <c r="K53" i="4"/>
  <c r="C72" i="4"/>
  <c r="D72" i="4"/>
  <c r="E72" i="4"/>
  <c r="K54" i="4"/>
  <c r="C73" i="4"/>
  <c r="D73" i="4"/>
  <c r="E73" i="4"/>
  <c r="K57" i="4"/>
  <c r="C74" i="4"/>
  <c r="D74" i="4"/>
  <c r="E74" i="4"/>
  <c r="E75" i="4"/>
  <c r="C64" i="4"/>
  <c r="C65" i="4"/>
  <c r="E39" i="3"/>
  <c r="E40" i="3"/>
  <c r="E41" i="3"/>
  <c r="H56" i="3"/>
  <c r="C39" i="3"/>
  <c r="G56" i="3"/>
  <c r="C40" i="3"/>
  <c r="G52" i="3"/>
  <c r="C41" i="3"/>
  <c r="H52" i="3"/>
  <c r="C42" i="3"/>
  <c r="D37" i="3"/>
  <c r="C86" i="3"/>
  <c r="F27" i="3"/>
  <c r="F28" i="3"/>
  <c r="D69" i="3"/>
  <c r="D70" i="3"/>
  <c r="D71" i="3"/>
  <c r="D72" i="3"/>
  <c r="D73" i="3"/>
  <c r="D74" i="3"/>
  <c r="D75" i="3"/>
  <c r="D76" i="3"/>
  <c r="D68" i="3"/>
  <c r="K47" i="3"/>
  <c r="C69" i="3"/>
  <c r="K48" i="3"/>
  <c r="C70" i="3"/>
  <c r="C71" i="3"/>
  <c r="K50" i="3"/>
  <c r="C72" i="3"/>
  <c r="K51" i="3"/>
  <c r="C73" i="3"/>
  <c r="K52" i="3"/>
  <c r="C74" i="3"/>
  <c r="K53" i="3"/>
  <c r="K54" i="3"/>
  <c r="K55" i="3"/>
  <c r="C75" i="3"/>
  <c r="K56" i="3"/>
  <c r="C76" i="3"/>
  <c r="K46" i="3"/>
  <c r="E47" i="3"/>
  <c r="E48" i="3"/>
  <c r="E49" i="3"/>
  <c r="E50" i="3"/>
  <c r="E51" i="3"/>
  <c r="E52" i="3"/>
  <c r="E53" i="3"/>
  <c r="E54" i="3"/>
  <c r="E55" i="3"/>
  <c r="E56" i="3"/>
  <c r="E46" i="3"/>
  <c r="D56" i="3"/>
  <c r="D55" i="3"/>
  <c r="D54" i="3"/>
  <c r="D53" i="3"/>
  <c r="D51" i="3"/>
  <c r="D50" i="3"/>
  <c r="D49" i="3"/>
  <c r="D48" i="3"/>
  <c r="D47" i="3"/>
  <c r="D46" i="3"/>
  <c r="K47" i="1"/>
  <c r="C69" i="1"/>
  <c r="E40" i="1"/>
  <c r="E41" i="1"/>
  <c r="E42" i="1"/>
  <c r="H50" i="1"/>
  <c r="C40" i="1"/>
  <c r="G50" i="1"/>
  <c r="C41" i="1"/>
  <c r="G51" i="1"/>
  <c r="C42" i="1"/>
  <c r="H51" i="1"/>
  <c r="C43" i="1"/>
  <c r="D38" i="1"/>
  <c r="K10" i="1"/>
  <c r="F47" i="1"/>
  <c r="C47" i="1"/>
  <c r="M47" i="1"/>
  <c r="L47" i="1"/>
  <c r="K48" i="1"/>
  <c r="F48" i="1"/>
  <c r="C48" i="1"/>
  <c r="M48" i="1"/>
  <c r="L48" i="1"/>
  <c r="K49" i="1"/>
  <c r="F49" i="1"/>
  <c r="C49" i="1"/>
  <c r="M49" i="1"/>
  <c r="L49" i="1"/>
  <c r="K50" i="1"/>
  <c r="F50" i="1"/>
  <c r="C50" i="1"/>
  <c r="M50" i="1"/>
  <c r="L50" i="1"/>
  <c r="K51" i="1"/>
  <c r="F51" i="1"/>
  <c r="C51" i="1"/>
  <c r="M51" i="1"/>
  <c r="L51" i="1"/>
  <c r="K52" i="1"/>
  <c r="F52" i="1"/>
  <c r="C52" i="1"/>
  <c r="M52" i="1"/>
  <c r="L52" i="1"/>
  <c r="K53" i="1"/>
  <c r="F53" i="1"/>
  <c r="C53" i="1"/>
  <c r="M53" i="1"/>
  <c r="L53" i="1"/>
  <c r="K54" i="1"/>
  <c r="F54" i="1"/>
  <c r="C54" i="1"/>
  <c r="M54" i="1"/>
  <c r="L54" i="1"/>
  <c r="K55" i="1"/>
  <c r="F55" i="1"/>
  <c r="C55" i="1"/>
  <c r="M55" i="1"/>
  <c r="L55" i="1"/>
  <c r="K56" i="1"/>
  <c r="F56" i="1"/>
  <c r="C56" i="1"/>
  <c r="M56" i="1"/>
  <c r="L56" i="1"/>
  <c r="K57" i="1"/>
  <c r="F57" i="1"/>
  <c r="C57" i="1"/>
  <c r="M57" i="1"/>
  <c r="L57" i="1"/>
  <c r="L58" i="1"/>
  <c r="I47" i="1"/>
  <c r="F69" i="1"/>
  <c r="I48" i="1"/>
  <c r="C70" i="1"/>
  <c r="F70" i="1"/>
  <c r="I49" i="1"/>
  <c r="C71" i="1"/>
  <c r="F71" i="1"/>
  <c r="I50" i="1"/>
  <c r="C72" i="1"/>
  <c r="F72" i="1"/>
  <c r="I51" i="1"/>
  <c r="C73" i="1"/>
  <c r="F73" i="1"/>
  <c r="I52" i="1"/>
  <c r="C74" i="1"/>
  <c r="F74" i="1"/>
  <c r="I53" i="1"/>
  <c r="C75" i="1"/>
  <c r="F75" i="1"/>
  <c r="I54" i="1"/>
  <c r="C76" i="1"/>
  <c r="F76" i="1"/>
  <c r="F77" i="1"/>
  <c r="D80" i="1"/>
  <c r="C82" i="1"/>
  <c r="E86" i="1"/>
  <c r="C86" i="1"/>
  <c r="D74" i="1"/>
  <c r="E74" i="1"/>
  <c r="D75" i="1"/>
  <c r="E75" i="1"/>
  <c r="D70" i="1"/>
  <c r="D71" i="1"/>
  <c r="D72" i="1"/>
  <c r="D73" i="1"/>
  <c r="D76" i="1"/>
  <c r="D69" i="1"/>
  <c r="E48" i="1"/>
  <c r="E49" i="1"/>
  <c r="E50" i="1"/>
  <c r="E52" i="1"/>
  <c r="E53" i="1"/>
  <c r="E54" i="1"/>
  <c r="E55" i="1"/>
  <c r="E56" i="1"/>
  <c r="E57" i="1"/>
  <c r="E47" i="1"/>
  <c r="D57" i="1"/>
  <c r="D56" i="1"/>
  <c r="D55" i="1"/>
  <c r="D54" i="1"/>
  <c r="D53" i="1"/>
  <c r="D52" i="1"/>
  <c r="D51" i="1"/>
  <c r="D50" i="1"/>
  <c r="D49" i="1"/>
  <c r="D48" i="1"/>
  <c r="D47" i="1"/>
  <c r="H50" i="2"/>
  <c r="C39" i="2"/>
  <c r="G50" i="2"/>
  <c r="C40" i="2"/>
  <c r="G51" i="2"/>
  <c r="C41" i="2"/>
  <c r="H51" i="2"/>
  <c r="C42" i="2"/>
  <c r="E39" i="2"/>
  <c r="E40" i="2"/>
  <c r="E41" i="2"/>
  <c r="D37" i="2"/>
  <c r="C84" i="2"/>
  <c r="C46" i="2"/>
  <c r="K10" i="2"/>
  <c r="F46" i="2"/>
  <c r="M46" i="2"/>
  <c r="L46" i="2"/>
  <c r="C47" i="2"/>
  <c r="F47" i="2"/>
  <c r="M47" i="2"/>
  <c r="L47" i="2"/>
  <c r="C48" i="2"/>
  <c r="F48" i="2"/>
  <c r="M48" i="2"/>
  <c r="L48" i="2"/>
  <c r="C49" i="2"/>
  <c r="F49" i="2"/>
  <c r="M49" i="2"/>
  <c r="L49" i="2"/>
  <c r="C50" i="2"/>
  <c r="F50" i="2"/>
  <c r="M50" i="2"/>
  <c r="L50" i="2"/>
  <c r="C51" i="2"/>
  <c r="F51" i="2"/>
  <c r="M51" i="2"/>
  <c r="L51" i="2"/>
  <c r="C52" i="2"/>
  <c r="F52" i="2"/>
  <c r="M52" i="2"/>
  <c r="L52" i="2"/>
  <c r="C53" i="2"/>
  <c r="F53" i="2"/>
  <c r="M53" i="2"/>
  <c r="L53" i="2"/>
  <c r="C54" i="2"/>
  <c r="K54" i="2"/>
  <c r="F54" i="2"/>
  <c r="M54" i="2"/>
  <c r="L54" i="2"/>
  <c r="C55" i="2"/>
  <c r="K55" i="2"/>
  <c r="F55" i="2"/>
  <c r="M55" i="2"/>
  <c r="L55" i="2"/>
  <c r="C56" i="2"/>
  <c r="K56" i="2"/>
  <c r="F56" i="2"/>
  <c r="M56" i="2"/>
  <c r="L56" i="2"/>
  <c r="L57" i="2"/>
  <c r="I46" i="2"/>
  <c r="F68" i="2"/>
  <c r="I47" i="2"/>
  <c r="F69" i="2"/>
  <c r="I48" i="2"/>
  <c r="F70" i="2"/>
  <c r="I49" i="2"/>
  <c r="F71" i="2"/>
  <c r="I50" i="2"/>
  <c r="F72" i="2"/>
  <c r="I51" i="2"/>
  <c r="F73" i="2"/>
  <c r="I52" i="2"/>
  <c r="F74" i="2"/>
  <c r="I53" i="2"/>
  <c r="F75" i="2"/>
  <c r="F76" i="2"/>
  <c r="D78" i="2"/>
  <c r="C80" i="2"/>
  <c r="E84" i="2"/>
  <c r="G84" i="2"/>
  <c r="E47" i="2"/>
  <c r="E48" i="2"/>
  <c r="E49" i="2"/>
  <c r="E51" i="2"/>
  <c r="E52" i="2"/>
  <c r="E53" i="2"/>
  <c r="E54" i="2"/>
  <c r="E55" i="2"/>
  <c r="E56" i="2"/>
  <c r="E46" i="2"/>
  <c r="D56" i="2"/>
  <c r="D55" i="2"/>
  <c r="D54" i="2"/>
  <c r="D53" i="2"/>
  <c r="D52" i="2"/>
  <c r="D51" i="2"/>
  <c r="D50" i="2"/>
  <c r="D49" i="2"/>
  <c r="D48" i="2"/>
  <c r="D47" i="2"/>
  <c r="D46" i="2"/>
  <c r="C63" i="3"/>
  <c r="C64" i="1"/>
  <c r="E40" i="4"/>
  <c r="E41" i="4"/>
  <c r="E42" i="4"/>
  <c r="C40" i="4"/>
  <c r="C41" i="4"/>
  <c r="C42" i="4"/>
  <c r="C43" i="4"/>
  <c r="D38" i="4"/>
  <c r="C83" i="4"/>
  <c r="C68" i="3"/>
  <c r="G86" i="1"/>
  <c r="E69" i="1"/>
  <c r="E71" i="1"/>
  <c r="E73" i="1"/>
  <c r="E70" i="1"/>
  <c r="E72" i="1"/>
  <c r="E76" i="1"/>
  <c r="E77" i="1"/>
  <c r="C65" i="1"/>
  <c r="H58" i="4"/>
  <c r="G58" i="4"/>
  <c r="K48" i="4"/>
  <c r="K49" i="4"/>
  <c r="K55" i="4"/>
  <c r="K56" i="4"/>
  <c r="K47" i="4"/>
  <c r="D48" i="4"/>
  <c r="D49" i="4"/>
  <c r="D50" i="4"/>
  <c r="D51" i="4"/>
  <c r="D52" i="4"/>
  <c r="D53" i="4"/>
  <c r="D54" i="4"/>
  <c r="D55" i="4"/>
  <c r="D56" i="4"/>
  <c r="D57" i="4"/>
  <c r="D47" i="4"/>
  <c r="C27" i="1"/>
  <c r="C28" i="1"/>
  <c r="C29" i="1"/>
  <c r="C30" i="1"/>
  <c r="C31" i="1"/>
  <c r="C32" i="1"/>
  <c r="C33" i="1"/>
  <c r="C34" i="1"/>
  <c r="C35" i="1"/>
  <c r="C36" i="1"/>
  <c r="C26" i="1"/>
  <c r="C26" i="2"/>
  <c r="C27" i="2"/>
  <c r="C28" i="2"/>
  <c r="C29" i="2"/>
  <c r="C30" i="2"/>
  <c r="C31" i="2"/>
  <c r="C32" i="2"/>
  <c r="C33" i="2"/>
  <c r="C34" i="2"/>
  <c r="C35" i="2"/>
  <c r="C25" i="2"/>
  <c r="F27" i="1"/>
  <c r="F28" i="1"/>
  <c r="F31" i="1"/>
  <c r="F32" i="1"/>
  <c r="F33" i="1"/>
  <c r="F34" i="1"/>
  <c r="F35" i="1"/>
  <c r="F36" i="1"/>
  <c r="F26" i="1"/>
  <c r="F26" i="2"/>
  <c r="F31" i="2"/>
  <c r="F32" i="2"/>
  <c r="F33" i="2"/>
  <c r="F34" i="2"/>
  <c r="F35" i="2"/>
  <c r="F25" i="2"/>
  <c r="F26" i="3"/>
  <c r="F32" i="3"/>
  <c r="F33" i="3"/>
  <c r="F34" i="3"/>
  <c r="F25" i="3"/>
  <c r="F28" i="4"/>
  <c r="F29" i="4"/>
  <c r="F30" i="4"/>
  <c r="F31" i="4"/>
  <c r="F34" i="4"/>
  <c r="F35" i="4"/>
  <c r="F36" i="4"/>
  <c r="C26" i="3"/>
  <c r="C27" i="3"/>
  <c r="C28" i="3"/>
  <c r="C29" i="3"/>
  <c r="C30" i="3"/>
  <c r="C31" i="3"/>
  <c r="C32" i="3"/>
  <c r="C33" i="3"/>
  <c r="C34" i="3"/>
  <c r="C35" i="3"/>
  <c r="C25" i="3"/>
  <c r="C23" i="1"/>
  <c r="C22" i="2"/>
  <c r="C22" i="3"/>
  <c r="C23" i="4"/>
  <c r="P7" i="1"/>
  <c r="P7" i="2"/>
  <c r="P7" i="3"/>
  <c r="O8" i="4"/>
  <c r="F4" i="4"/>
  <c r="D4" i="4"/>
  <c r="D52" i="3"/>
  <c r="E50" i="2"/>
  <c r="F3" i="2"/>
  <c r="F4" i="1"/>
  <c r="D3" i="2"/>
  <c r="D4" i="1"/>
  <c r="E51" i="1"/>
  <c r="C46" i="3"/>
  <c r="G46" i="3"/>
  <c r="G53" i="3"/>
  <c r="C53" i="3"/>
  <c r="G47" i="3"/>
  <c r="C47" i="3"/>
  <c r="G54" i="3"/>
  <c r="C54" i="3"/>
  <c r="G48" i="3"/>
  <c r="C48" i="3"/>
  <c r="G55" i="3"/>
  <c r="C55" i="3"/>
  <c r="C56" i="3"/>
  <c r="G50" i="3"/>
  <c r="C50" i="3"/>
  <c r="H49" i="3"/>
  <c r="C49" i="3"/>
  <c r="G51" i="3"/>
  <c r="C51" i="3"/>
  <c r="C52" i="3"/>
  <c r="H48" i="1"/>
  <c r="G53" i="1"/>
  <c r="G52" i="1"/>
  <c r="G56" i="1"/>
  <c r="H55" i="1"/>
  <c r="H54" i="1"/>
  <c r="H47" i="1"/>
  <c r="G57" i="1"/>
  <c r="G49" i="1"/>
  <c r="C57" i="4"/>
  <c r="C53" i="4"/>
  <c r="C51" i="4"/>
  <c r="C52" i="4"/>
  <c r="C55" i="4"/>
  <c r="C49" i="4"/>
  <c r="C50" i="4"/>
  <c r="C54" i="4"/>
  <c r="C47" i="4"/>
  <c r="C48" i="4"/>
  <c r="C56" i="4"/>
  <c r="H54" i="3"/>
  <c r="H51" i="3"/>
  <c r="H55" i="3"/>
  <c r="H46" i="3"/>
  <c r="H48" i="3"/>
  <c r="H50" i="3"/>
  <c r="H53" i="3"/>
  <c r="H47" i="3"/>
  <c r="G48" i="1"/>
  <c r="G47" i="1"/>
  <c r="G54" i="1"/>
  <c r="G55" i="1"/>
  <c r="G58" i="1"/>
  <c r="H53" i="1"/>
  <c r="H52" i="1"/>
  <c r="H57" i="1"/>
  <c r="H49" i="1"/>
  <c r="H56" i="1"/>
  <c r="K14" i="3"/>
  <c r="G49" i="3"/>
  <c r="J15" i="3"/>
  <c r="G57" i="3"/>
  <c r="C57" i="3"/>
  <c r="C58" i="1"/>
  <c r="H58" i="1"/>
  <c r="H54" i="2"/>
  <c r="H56" i="2"/>
  <c r="C57" i="2"/>
  <c r="H48" i="2"/>
  <c r="H49" i="2"/>
  <c r="H46" i="2"/>
  <c r="H52" i="2"/>
  <c r="H55" i="2"/>
  <c r="G53" i="2"/>
  <c r="G52" i="2"/>
  <c r="G48" i="2"/>
  <c r="H47" i="2"/>
  <c r="G49" i="2"/>
  <c r="G54" i="2"/>
  <c r="H53" i="2"/>
  <c r="G56" i="2"/>
  <c r="G46" i="2"/>
  <c r="G55" i="2"/>
  <c r="G47" i="2"/>
  <c r="C58" i="4"/>
  <c r="K8" i="3"/>
  <c r="K5" i="3"/>
  <c r="K6" i="3"/>
  <c r="K9" i="3"/>
  <c r="K7" i="3"/>
  <c r="K11" i="3"/>
  <c r="K15" i="2"/>
  <c r="J5" i="2"/>
  <c r="J14" i="4"/>
  <c r="H57" i="3"/>
  <c r="F56" i="3"/>
  <c r="M56" i="3"/>
  <c r="F53" i="3"/>
  <c r="M53" i="3"/>
  <c r="F52" i="3"/>
  <c r="M52" i="3"/>
  <c r="L52" i="3"/>
  <c r="F51" i="3"/>
  <c r="M51" i="3"/>
  <c r="F48" i="3"/>
  <c r="M48" i="3"/>
  <c r="F55" i="3"/>
  <c r="M55" i="3"/>
  <c r="F47" i="3"/>
  <c r="M47" i="3"/>
  <c r="F46" i="3"/>
  <c r="M46" i="3"/>
  <c r="F49" i="3"/>
  <c r="M49" i="3"/>
  <c r="F50" i="3"/>
  <c r="M50" i="3"/>
  <c r="F54" i="3"/>
  <c r="M54" i="3"/>
  <c r="H57" i="2"/>
  <c r="K12" i="2"/>
  <c r="J8" i="2"/>
  <c r="K6" i="2"/>
  <c r="J15" i="2"/>
  <c r="G57" i="2"/>
  <c r="K8" i="2"/>
  <c r="J11" i="2"/>
  <c r="J7" i="2"/>
  <c r="J13" i="2"/>
  <c r="K13" i="2"/>
  <c r="K14" i="2"/>
  <c r="K5" i="2"/>
  <c r="J6" i="2"/>
  <c r="K11" i="2"/>
  <c r="K7" i="2"/>
  <c r="J12" i="2"/>
  <c r="J9" i="2"/>
  <c r="J14" i="2"/>
  <c r="J8" i="4"/>
  <c r="J10" i="4"/>
  <c r="J15" i="4"/>
  <c r="J11" i="4"/>
  <c r="J9" i="4"/>
  <c r="K13" i="4"/>
  <c r="K6" i="4"/>
  <c r="K10" i="4"/>
  <c r="K9" i="4"/>
  <c r="K8" i="4"/>
  <c r="K7" i="4"/>
  <c r="K14" i="4"/>
  <c r="K15" i="4"/>
  <c r="K11" i="4"/>
  <c r="K16" i="4"/>
  <c r="J6" i="4"/>
  <c r="J16" i="4"/>
  <c r="J7" i="4"/>
  <c r="J12" i="4"/>
  <c r="J8" i="3"/>
  <c r="J10" i="3"/>
  <c r="J13" i="3"/>
  <c r="J5" i="3"/>
  <c r="K12" i="3"/>
  <c r="K13" i="3"/>
  <c r="K10" i="3"/>
  <c r="J14" i="3"/>
  <c r="J7" i="3"/>
  <c r="J9" i="3"/>
  <c r="J12" i="3"/>
  <c r="J6" i="3"/>
  <c r="J16" i="1"/>
  <c r="J13" i="1"/>
  <c r="J7" i="1"/>
  <c r="J8" i="1"/>
  <c r="J14" i="1"/>
  <c r="J15" i="1"/>
  <c r="J12" i="1"/>
  <c r="J6" i="1"/>
  <c r="J11" i="1"/>
  <c r="J9" i="1"/>
  <c r="K12" i="1"/>
  <c r="K16" i="1"/>
  <c r="K8" i="1"/>
  <c r="K14" i="1"/>
  <c r="K11" i="1"/>
  <c r="K13" i="1"/>
  <c r="K6" i="1"/>
  <c r="K15" i="1"/>
  <c r="K7" i="1"/>
  <c r="L55" i="3"/>
  <c r="L48" i="3"/>
  <c r="L51" i="3"/>
  <c r="L47" i="3"/>
  <c r="L50" i="3"/>
  <c r="L53" i="3"/>
  <c r="M57" i="3"/>
  <c r="J52" i="3"/>
  <c r="L46" i="3"/>
  <c r="L54" i="3"/>
  <c r="L49" i="3"/>
  <c r="L56" i="3"/>
  <c r="F52" i="4"/>
  <c r="M52" i="4"/>
  <c r="F50" i="4"/>
  <c r="M50" i="4"/>
  <c r="F53" i="4"/>
  <c r="M53" i="4"/>
  <c r="F57" i="4"/>
  <c r="M57" i="4"/>
  <c r="F49" i="4"/>
  <c r="M49" i="4"/>
  <c r="F55" i="4"/>
  <c r="M55" i="4"/>
  <c r="F48" i="4"/>
  <c r="M48" i="4"/>
  <c r="F56" i="4"/>
  <c r="M56" i="4"/>
  <c r="F54" i="4"/>
  <c r="M54" i="4"/>
  <c r="F51" i="4"/>
  <c r="M51" i="4"/>
  <c r="F47" i="4"/>
  <c r="M47" i="4"/>
  <c r="J56" i="3"/>
  <c r="J46" i="3"/>
  <c r="J47" i="3"/>
  <c r="J51" i="3"/>
  <c r="J53" i="3"/>
  <c r="J49" i="3"/>
  <c r="J48" i="3"/>
  <c r="L57" i="3"/>
  <c r="I52" i="3"/>
  <c r="F74" i="3"/>
  <c r="J50" i="3"/>
  <c r="J54" i="3"/>
  <c r="J55" i="3"/>
  <c r="M58" i="1"/>
  <c r="J47" i="1"/>
  <c r="J57" i="1"/>
  <c r="J55" i="1"/>
  <c r="J51" i="1"/>
  <c r="J53" i="1"/>
  <c r="J56" i="1"/>
  <c r="J54" i="1"/>
  <c r="J49" i="1"/>
  <c r="J52" i="1"/>
  <c r="J50" i="1"/>
  <c r="M57" i="2"/>
  <c r="J52" i="2"/>
  <c r="J55" i="2"/>
  <c r="J50" i="2"/>
  <c r="L48" i="4"/>
  <c r="L54" i="4"/>
  <c r="L55" i="4"/>
  <c r="L56" i="4"/>
  <c r="L57" i="4"/>
  <c r="L52" i="4"/>
  <c r="L49" i="4"/>
  <c r="M58" i="4"/>
  <c r="J47" i="4"/>
  <c r="L47" i="4"/>
  <c r="L53" i="4"/>
  <c r="L51" i="4"/>
  <c r="L50" i="4"/>
  <c r="J57" i="3"/>
  <c r="I50" i="3"/>
  <c r="F72" i="3"/>
  <c r="I47" i="3"/>
  <c r="F69" i="3"/>
  <c r="I51" i="3"/>
  <c r="F73" i="3"/>
  <c r="I49" i="3"/>
  <c r="F71" i="3"/>
  <c r="I53" i="3"/>
  <c r="I48" i="3"/>
  <c r="F70" i="3"/>
  <c r="I55" i="3"/>
  <c r="F75" i="3"/>
  <c r="I56" i="3"/>
  <c r="F76" i="3"/>
  <c r="I54" i="3"/>
  <c r="I46" i="3"/>
  <c r="J48" i="1"/>
  <c r="J58" i="1"/>
  <c r="I56" i="1"/>
  <c r="I55" i="1"/>
  <c r="I57" i="1"/>
  <c r="I56" i="2"/>
  <c r="J53" i="2"/>
  <c r="J46" i="2"/>
  <c r="J51" i="2"/>
  <c r="J56" i="2"/>
  <c r="J47" i="2"/>
  <c r="J48" i="2"/>
  <c r="J49" i="2"/>
  <c r="J54" i="2"/>
  <c r="J57" i="4"/>
  <c r="J53" i="4"/>
  <c r="J48" i="4"/>
  <c r="L58" i="4"/>
  <c r="I49" i="4"/>
  <c r="J50" i="4"/>
  <c r="J49" i="4"/>
  <c r="J51" i="4"/>
  <c r="J52" i="4"/>
  <c r="J54" i="4"/>
  <c r="J56" i="4"/>
  <c r="J55" i="4"/>
  <c r="I57" i="3"/>
  <c r="F68" i="3"/>
  <c r="F77" i="3"/>
  <c r="D80" i="3"/>
  <c r="C82" i="3"/>
  <c r="E86" i="3"/>
  <c r="G86" i="3"/>
  <c r="I58" i="1"/>
  <c r="I55" i="2"/>
  <c r="I54" i="2"/>
  <c r="I51" i="4"/>
  <c r="F70" i="4"/>
  <c r="J57" i="2"/>
  <c r="I57" i="2"/>
  <c r="I52" i="4"/>
  <c r="F71" i="4"/>
  <c r="I54" i="4"/>
  <c r="F73" i="4"/>
  <c r="I50" i="4"/>
  <c r="F69" i="4"/>
  <c r="I48" i="4"/>
  <c r="I56" i="4"/>
  <c r="I55" i="4"/>
  <c r="I47" i="4"/>
  <c r="I57" i="4"/>
  <c r="F74" i="4"/>
  <c r="I53" i="4"/>
  <c r="F72" i="4"/>
  <c r="J58" i="4"/>
  <c r="I58" i="4"/>
  <c r="F75" i="4"/>
  <c r="D77" i="4"/>
  <c r="C79" i="4"/>
  <c r="E83" i="4"/>
  <c r="G83" i="4"/>
</calcChain>
</file>

<file path=xl/sharedStrings.xml><?xml version="1.0" encoding="utf-8"?>
<sst xmlns="http://schemas.openxmlformats.org/spreadsheetml/2006/main" count="884" uniqueCount="174">
  <si>
    <t>Column 1</t>
  </si>
  <si>
    <t>K Feed Value</t>
  </si>
  <si>
    <t>Feed Molar Flow</t>
  </si>
  <si>
    <t>Distillate Recovery</t>
  </si>
  <si>
    <t>Bottoms Recovery</t>
  </si>
  <si>
    <t>Distillate Molar Flows</t>
  </si>
  <si>
    <t>Bottoms Molar Flow</t>
  </si>
  <si>
    <t>Distillate Mol frac</t>
  </si>
  <si>
    <t>Bottoms Mol Frac</t>
  </si>
  <si>
    <t>Ethylene</t>
  </si>
  <si>
    <t>HCl</t>
  </si>
  <si>
    <t>Acetylene</t>
  </si>
  <si>
    <t>Cl2</t>
  </si>
  <si>
    <t>VinylCl</t>
  </si>
  <si>
    <t>Oxygen</t>
  </si>
  <si>
    <t>CO2</t>
  </si>
  <si>
    <t>Water</t>
  </si>
  <si>
    <t>Butadiene</t>
  </si>
  <si>
    <t>12-ClC2</t>
  </si>
  <si>
    <t>112-ClC2</t>
  </si>
  <si>
    <t>Feed Molar Frac</t>
  </si>
  <si>
    <t>sum</t>
  </si>
  <si>
    <t>Column 2</t>
  </si>
  <si>
    <t>Column 3</t>
  </si>
  <si>
    <t>total flowrate</t>
  </si>
  <si>
    <t>kgmole/hr</t>
  </si>
  <si>
    <t>Feed P</t>
  </si>
  <si>
    <t>kPa</t>
  </si>
  <si>
    <t>Feed T</t>
  </si>
  <si>
    <t>C</t>
  </si>
  <si>
    <t>Light Key</t>
  </si>
  <si>
    <t>Heavy Key</t>
  </si>
  <si>
    <t>HYSYS</t>
  </si>
  <si>
    <t>Given</t>
  </si>
  <si>
    <t>Mol Flow</t>
  </si>
  <si>
    <t>kmol/hr</t>
  </si>
  <si>
    <t>Feed Molar
Flows (kmol/hr)</t>
  </si>
  <si>
    <t>Distillate
Recovery</t>
  </si>
  <si>
    <t>Bottoms
Recovery</t>
  </si>
  <si>
    <t>Distallate Molar
Flows (kmol/hr)</t>
  </si>
  <si>
    <t>Bottoms Molar
Flows (kmol/hr)</t>
  </si>
  <si>
    <t>Shortcut Column</t>
  </si>
  <si>
    <t>Min # of Trays</t>
  </si>
  <si>
    <t>Actual # of Trays</t>
  </si>
  <si>
    <t>Optimal Feed Stage</t>
  </si>
  <si>
    <t>Condesner Temp</t>
  </si>
  <si>
    <t>Reboiler Temp</t>
  </si>
  <si>
    <t>Reboiler Pressure</t>
  </si>
  <si>
    <t>psia</t>
  </si>
  <si>
    <t>Min Reflux Ratio</t>
  </si>
  <si>
    <t>Condensor Pressure</t>
  </si>
  <si>
    <t>External reflux Ratio</t>
  </si>
  <si>
    <t>K Values
Geometric</t>
  </si>
  <si>
    <t>dLK</t>
  </si>
  <si>
    <t>bLK</t>
  </si>
  <si>
    <t>alpha B</t>
  </si>
  <si>
    <t>bHK</t>
  </si>
  <si>
    <t>alpha average</t>
  </si>
  <si>
    <t>dHK</t>
  </si>
  <si>
    <t xml:space="preserve">Estimate of non-key comppnents compisitions: </t>
  </si>
  <si>
    <t>Fi = Di + Bi</t>
  </si>
  <si>
    <t>Component</t>
  </si>
  <si>
    <t>X_D_i</t>
  </si>
  <si>
    <t>X_B_i</t>
  </si>
  <si>
    <t>alpha i</t>
  </si>
  <si>
    <t>D i</t>
  </si>
  <si>
    <t>B i</t>
  </si>
  <si>
    <t>Min Reflux Ratio (Underwood Eqn)</t>
  </si>
  <si>
    <t>Net Liquid</t>
  </si>
  <si>
    <t>Net Feed</t>
  </si>
  <si>
    <t>Θ</t>
  </si>
  <si>
    <t>X_F,i</t>
  </si>
  <si>
    <t>Alpha i*X_F,i/
(alpha - Θ)</t>
  </si>
  <si>
    <t>(Alpha_i*X_D,i)/
(alpha-Θ)</t>
  </si>
  <si>
    <t>Rmin</t>
  </si>
  <si>
    <t>R/Rmin</t>
  </si>
  <si>
    <t>N</t>
  </si>
  <si>
    <t>solver</t>
  </si>
  <si>
    <t>N_D / N_B</t>
  </si>
  <si>
    <t>N_B</t>
  </si>
  <si>
    <t>N_D</t>
  </si>
  <si>
    <t>Feed Stage</t>
  </si>
  <si>
    <t>Column Internals (trays, random or structural packing)</t>
  </si>
  <si>
    <t>ft</t>
  </si>
  <si>
    <t>cP</t>
  </si>
  <si>
    <t>Column Diameter</t>
  </si>
  <si>
    <t>G</t>
  </si>
  <si>
    <t>lb/hr</t>
  </si>
  <si>
    <t>L</t>
  </si>
  <si>
    <t>rho_g</t>
  </si>
  <si>
    <t>rho_I</t>
  </si>
  <si>
    <t>lb/ft^3</t>
  </si>
  <si>
    <t>C_SB</t>
  </si>
  <si>
    <t>sigma</t>
  </si>
  <si>
    <t>dyne/cm</t>
  </si>
  <si>
    <t>F_ST (surface tension factor)</t>
  </si>
  <si>
    <t>F_F (foam factor)</t>
  </si>
  <si>
    <t>F_HA (hole factor)</t>
  </si>
  <si>
    <t>C (empirical capacity parameter)</t>
  </si>
  <si>
    <t>F_LG</t>
  </si>
  <si>
    <t>f (fraction of the vapor flooding velocity)</t>
  </si>
  <si>
    <t>Tower Diameter</t>
  </si>
  <si>
    <t>Column Height</t>
  </si>
  <si>
    <t>Tower Height</t>
  </si>
  <si>
    <t>-</t>
  </si>
  <si>
    <t>in dist</t>
  </si>
  <si>
    <t>in bottoms</t>
  </si>
  <si>
    <t>Column 4</t>
  </si>
  <si>
    <t>Textbook
Page 386</t>
  </si>
  <si>
    <t>Min # of Stages
(Fenske Eqn)</t>
  </si>
  <si>
    <t>alpha A (Lk/Hk)</t>
  </si>
  <si>
    <t>Sum</t>
  </si>
  <si>
    <t>Ratio
Ditillate / Bottoms</t>
  </si>
  <si>
    <t>Q</t>
  </si>
  <si>
    <t>set eqn = 0</t>
  </si>
  <si>
    <t>Alpha i</t>
  </si>
  <si>
    <t xml:space="preserve">R </t>
  </si>
  <si>
    <t>Actual # of stages, N (Gilliland Correlation or Figure 13.1)</t>
  </si>
  <si>
    <t>Left Side</t>
  </si>
  <si>
    <t>Right Side</t>
  </si>
  <si>
    <t>Set = 0</t>
  </si>
  <si>
    <r>
      <rPr>
        <i/>
        <sz val="12"/>
        <color rgb="FF7030A0"/>
        <rFont val="Calibri"/>
        <family val="2"/>
        <scheme val="minor"/>
      </rPr>
      <t>solver</t>
    </r>
    <r>
      <rPr>
        <sz val="12"/>
        <color theme="1"/>
        <rFont val="Calibri"/>
        <family val="2"/>
        <scheme val="minor"/>
      </rPr>
      <t>: find by setting ^ =0</t>
    </r>
  </si>
  <si>
    <t>Feed Stage (Kirkbride Eqn)</t>
  </si>
  <si>
    <t>Downcomer Area</t>
  </si>
  <si>
    <t>Cross-sectional Area</t>
  </si>
  <si>
    <t>Uf (vapor flooding velocity</t>
  </si>
  <si>
    <t>Which Huerstic?</t>
  </si>
  <si>
    <t>kg/s</t>
  </si>
  <si>
    <t>kg/ft^3</t>
  </si>
  <si>
    <t>Disengagment Height</t>
  </si>
  <si>
    <t>bottoms storage height</t>
  </si>
  <si>
    <t>m</t>
  </si>
  <si>
    <t>Hole Diameter</t>
  </si>
  <si>
    <t>Fractional Free Area</t>
  </si>
  <si>
    <t>Pitch/Hole diameter ratio</t>
  </si>
  <si>
    <t>Tray Spacing</t>
  </si>
  <si>
    <t>Weir Height</t>
  </si>
  <si>
    <t>Viscosity through the column (cP)</t>
  </si>
  <si>
    <t>L (lb/hr)</t>
  </si>
  <si>
    <t>G (lb/hr)</t>
  </si>
  <si>
    <t>Liquid density (lb/ft^3)</t>
  </si>
  <si>
    <t>Gas density (lb/ft^3)</t>
  </si>
  <si>
    <t>Surface Tension (dyne/cm)</t>
  </si>
  <si>
    <t>Performance Tab</t>
  </si>
  <si>
    <t>Tower Height (tangent-to-tangent)</t>
  </si>
  <si>
    <t>Average Liquid Viscosity</t>
  </si>
  <si>
    <t>Average Product Volatility</t>
  </si>
  <si>
    <t>product</t>
  </si>
  <si>
    <t>Eo</t>
  </si>
  <si>
    <t>N_Actual</t>
  </si>
  <si>
    <t>ft/s</t>
  </si>
  <si>
    <t>from figure</t>
  </si>
  <si>
    <t>Ad/At</t>
  </si>
  <si>
    <t>Construction Material?</t>
  </si>
  <si>
    <t>mm</t>
  </si>
  <si>
    <t>Tray Type</t>
  </si>
  <si>
    <t>Sieve</t>
  </si>
  <si>
    <t>m^2</t>
  </si>
  <si>
    <t>K Values
Distillate
(Full Column)</t>
  </si>
  <si>
    <t>K Values
Bottoms
(Full Column)</t>
  </si>
  <si>
    <t>from figure 13.3</t>
  </si>
  <si>
    <t>Slides</t>
  </si>
  <si>
    <t>*Assuming no foaming in the system</t>
  </si>
  <si>
    <t>*sieve trays</t>
  </si>
  <si>
    <t>Lk/Hk geometric</t>
  </si>
  <si>
    <t>Trayed vs. Packed?</t>
  </si>
  <si>
    <t>0.75-0.85</t>
  </si>
  <si>
    <t>150 ft max</t>
  </si>
  <si>
    <t>20 ft max</t>
  </si>
  <si>
    <t>plots perf</t>
  </si>
  <si>
    <t>Trayed</t>
  </si>
  <si>
    <t>Packed?</t>
  </si>
  <si>
    <t>3-20 ft max</t>
  </si>
  <si>
    <t>20-150 ft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</si>
</sst>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00"/>
    <numFmt numFmtId="167" formatCode="0.00000"/>
    <numFmt numFmtId="168" formatCode="0.000000"/>
    <numFmt numFmtId="169" formatCode="0.0E+00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i/>
      <sz val="12"/>
      <color rgb="FF7030A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2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0" borderId="4" xfId="0" applyBorder="1"/>
    <xf numFmtId="0" fontId="0" fillId="7" borderId="1" xfId="0" applyFill="1" applyBorder="1"/>
    <xf numFmtId="168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8" fontId="0" fillId="5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8" fontId="0" fillId="7" borderId="1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8" borderId="19" xfId="0" applyFill="1" applyBorder="1"/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9" borderId="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2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9" xfId="0" applyFill="1" applyBorder="1" applyAlignment="1">
      <alignment horizontal="left"/>
    </xf>
    <xf numFmtId="0" fontId="0" fillId="9" borderId="19" xfId="0" applyFill="1" applyBorder="1" applyAlignment="1">
      <alignment horizontal="center"/>
    </xf>
    <xf numFmtId="0" fontId="0" fillId="9" borderId="1" xfId="0" applyFill="1" applyBorder="1"/>
    <xf numFmtId="0" fontId="0" fillId="9" borderId="20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164" fontId="0" fillId="9" borderId="14" xfId="0" applyNumberFormat="1" applyFill="1" applyBorder="1" applyAlignment="1">
      <alignment horizontal="center" vertical="center"/>
    </xf>
    <xf numFmtId="11" fontId="0" fillId="9" borderId="1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 wrapText="1"/>
    </xf>
    <xf numFmtId="2" fontId="2" fillId="11" borderId="1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2" fontId="9" fillId="7" borderId="1" xfId="0" applyNumberFormat="1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11" fontId="0" fillId="9" borderId="1" xfId="0" applyNumberFormat="1" applyFill="1" applyBorder="1" applyAlignment="1">
      <alignment horizontal="center"/>
    </xf>
    <xf numFmtId="2" fontId="9" fillId="6" borderId="1" xfId="0" applyNumberFormat="1" applyFont="1" applyFill="1" applyBorder="1" applyAlignment="1">
      <alignment horizontal="center"/>
    </xf>
    <xf numFmtId="164" fontId="9" fillId="6" borderId="1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4" borderId="22" xfId="0" applyFont="1" applyFill="1" applyBorder="1" applyAlignment="1">
      <alignment horizontal="center" vertical="center"/>
    </xf>
    <xf numFmtId="11" fontId="0" fillId="0" borderId="1" xfId="0" applyNumberFormat="1" applyBorder="1"/>
    <xf numFmtId="0" fontId="2" fillId="5" borderId="25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/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7" fillId="0" borderId="0" xfId="0" applyFont="1"/>
    <xf numFmtId="1" fontId="9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center"/>
    </xf>
    <xf numFmtId="2" fontId="9" fillId="9" borderId="1" xfId="0" applyNumberFormat="1" applyFont="1" applyFill="1" applyBorder="1" applyAlignment="1">
      <alignment horizontal="center"/>
    </xf>
    <xf numFmtId="164" fontId="9" fillId="9" borderId="1" xfId="0" applyNumberFormat="1" applyFont="1" applyFill="1" applyBorder="1" applyAlignment="1">
      <alignment horizontal="center"/>
    </xf>
    <xf numFmtId="2" fontId="9" fillId="9" borderId="3" xfId="0" applyNumberFormat="1" applyFont="1" applyFill="1" applyBorder="1" applyAlignment="1">
      <alignment horizontal="center"/>
    </xf>
    <xf numFmtId="169" fontId="9" fillId="9" borderId="3" xfId="0" applyNumberFormat="1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164" fontId="9" fillId="9" borderId="3" xfId="0" applyNumberFormat="1" applyFont="1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2" fontId="0" fillId="6" borderId="36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9" fillId="9" borderId="1" xfId="0" applyNumberFormat="1" applyFont="1" applyFill="1" applyBorder="1"/>
    <xf numFmtId="2" fontId="9" fillId="9" borderId="0" xfId="0" applyNumberFormat="1" applyFont="1" applyFill="1"/>
    <xf numFmtId="2" fontId="0" fillId="0" borderId="22" xfId="0" applyNumberFormat="1" applyBorder="1" applyAlignment="1">
      <alignment horizontal="center"/>
    </xf>
    <xf numFmtId="165" fontId="0" fillId="9" borderId="1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2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9" borderId="30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9" fillId="0" borderId="0" xfId="0" applyFont="1"/>
    <xf numFmtId="0" fontId="8" fillId="7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" fontId="9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16" borderId="31" xfId="0" applyFill="1" applyBorder="1" applyAlignment="1">
      <alignment horizontal="center"/>
    </xf>
    <xf numFmtId="2" fontId="0" fillId="16" borderId="32" xfId="0" applyNumberFormat="1" applyFill="1" applyBorder="1" applyAlignment="1">
      <alignment horizontal="center"/>
    </xf>
    <xf numFmtId="0" fontId="0" fillId="16" borderId="33" xfId="0" applyFill="1" applyBorder="1" applyAlignment="1">
      <alignment horizontal="center" vertical="center"/>
    </xf>
    <xf numFmtId="2" fontId="0" fillId="16" borderId="2" xfId="0" applyNumberFormat="1" applyFill="1" applyBorder="1" applyAlignment="1">
      <alignment horizontal="center"/>
    </xf>
    <xf numFmtId="0" fontId="0" fillId="16" borderId="35" xfId="0" applyFill="1" applyBorder="1" applyAlignment="1">
      <alignment horizontal="center" vertical="center"/>
    </xf>
    <xf numFmtId="2" fontId="0" fillId="16" borderId="36" xfId="0" applyNumberFormat="1" applyFill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0" fillId="15" borderId="1" xfId="0" applyFill="1" applyBorder="1" applyAlignment="1">
      <alignment horizontal="center"/>
    </xf>
    <xf numFmtId="2" fontId="0" fillId="16" borderId="7" xfId="0" applyNumberForma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5.png"/><Relationship Id="rId3" Type="http://schemas.openxmlformats.org/officeDocument/2006/relationships/image" Target="../media/image9.png"/><Relationship Id="rId7" Type="http://schemas.openxmlformats.org/officeDocument/2006/relationships/image" Target="../media/image5.png"/><Relationship Id="rId12" Type="http://schemas.openxmlformats.org/officeDocument/2006/relationships/image" Target="../media/image1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13.png"/><Relationship Id="rId5" Type="http://schemas.openxmlformats.org/officeDocument/2006/relationships/image" Target="../media/image3.png"/><Relationship Id="rId10" Type="http://schemas.openxmlformats.org/officeDocument/2006/relationships/image" Target="../media/image12.png"/><Relationship Id="rId4" Type="http://schemas.openxmlformats.org/officeDocument/2006/relationships/image" Target="../media/image10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image" Target="../media/image16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9.png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17.png"/><Relationship Id="rId10" Type="http://schemas.openxmlformats.org/officeDocument/2006/relationships/image" Target="../media/image6.PNG"/><Relationship Id="rId4" Type="http://schemas.openxmlformats.org/officeDocument/2006/relationships/image" Target="../media/image10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65314</xdr:colOff>
      <xdr:row>35</xdr:row>
      <xdr:rowOff>119742</xdr:rowOff>
    </xdr:from>
    <xdr:to>
      <xdr:col>10</xdr:col>
      <xdr:colOff>561178</xdr:colOff>
      <xdr:row>37</xdr:row>
      <xdr:rowOff>753153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E22D80-7BBE-4B3E-9A2A-92549D58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2343" y="7630885"/>
          <a:ext cx="3217293" cy="1036182"/>
        </a:xfrm>
        <a:prstGeom prst="rect">
          <a:avLst/>
        </a:prstGeom>
      </xdr:spPr>
    </xdr:pic>
    <xdr:clientData/>
  </xdr:twoCellAnchor>
  <xdr:twoCellAnchor editAs="oneCell">
    <xdr:from>
      <xdr:col>6</xdr:col>
      <xdr:colOff>369795</xdr:colOff>
      <xdr:row>43</xdr:row>
      <xdr:rowOff>67235</xdr:rowOff>
    </xdr:from>
    <xdr:to>
      <xdr:col>8</xdr:col>
      <xdr:colOff>384935</xdr:colOff>
      <xdr:row>44</xdr:row>
      <xdr:rowOff>137672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FC6F4-3868-48C9-B9E8-BAC2D293B328}"/>
            </a:ext>
            <a:ext uri="{147F2762-F138-4A5C-976F-8EAC2B608ADB}">
              <a16:predDERef xmlns:a16="http://schemas.microsoft.com/office/drawing/2014/main" pred="{B35003C6-53FA-40FA-AD07-D56BDCD33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1615" y="10049435"/>
          <a:ext cx="2727288" cy="27617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84</xdr:row>
      <xdr:rowOff>0</xdr:rowOff>
    </xdr:from>
    <xdr:to>
      <xdr:col>10</xdr:col>
      <xdr:colOff>739086</xdr:colOff>
      <xdr:row>87</xdr:row>
      <xdr:rowOff>39787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F6B657-73E7-4985-B968-7C1C73233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0657" y="18745200"/>
          <a:ext cx="2524343" cy="63850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7</xdr:col>
      <xdr:colOff>384326</xdr:colOff>
      <xdr:row>93</xdr:row>
      <xdr:rowOff>131989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C34834-E577-407F-8275-7E2BBC5F6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08714" y="19746686"/>
          <a:ext cx="3535137" cy="926646"/>
        </a:xfrm>
        <a:prstGeom prst="rect">
          <a:avLst/>
        </a:prstGeom>
      </xdr:spPr>
    </xdr:pic>
    <xdr:clientData/>
  </xdr:twoCellAnchor>
  <xdr:twoCellAnchor editAs="oneCell">
    <xdr:from>
      <xdr:col>6</xdr:col>
      <xdr:colOff>140075</xdr:colOff>
      <xdr:row>111</xdr:row>
      <xdr:rowOff>28014</xdr:rowOff>
    </xdr:from>
    <xdr:to>
      <xdr:col>10</xdr:col>
      <xdr:colOff>462243</xdr:colOff>
      <xdr:row>126</xdr:row>
      <xdr:rowOff>48172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395D014-0FFC-436A-BEB5-73119DF2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82244" y="24064632"/>
          <a:ext cx="4818528" cy="2975709"/>
        </a:xfrm>
        <a:prstGeom prst="rect">
          <a:avLst/>
        </a:prstGeom>
      </xdr:spPr>
    </xdr:pic>
    <xdr:clientData/>
  </xdr:twoCellAnchor>
  <xdr:twoCellAnchor editAs="oneCell">
    <xdr:from>
      <xdr:col>8</xdr:col>
      <xdr:colOff>362280</xdr:colOff>
      <xdr:row>129</xdr:row>
      <xdr:rowOff>1341</xdr:rowOff>
    </xdr:from>
    <xdr:to>
      <xdr:col>13</xdr:col>
      <xdr:colOff>408164</xdr:colOff>
      <xdr:row>144</xdr:row>
      <xdr:rowOff>136499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05CE7AF-F2AD-4A9E-8E7D-13480F521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1876" y="27581819"/>
          <a:ext cx="4892428" cy="3160746"/>
        </a:xfrm>
        <a:prstGeom prst="rect">
          <a:avLst/>
        </a:prstGeom>
      </xdr:spPr>
    </xdr:pic>
    <xdr:clientData/>
  </xdr:twoCellAnchor>
  <xdr:twoCellAnchor editAs="oneCell">
    <xdr:from>
      <xdr:col>12</xdr:col>
      <xdr:colOff>658345</xdr:colOff>
      <xdr:row>107</xdr:row>
      <xdr:rowOff>24240</xdr:rowOff>
    </xdr:from>
    <xdr:to>
      <xdr:col>18</xdr:col>
      <xdr:colOff>828629</xdr:colOff>
      <xdr:row>124</xdr:row>
      <xdr:rowOff>20769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693480-C615-4BF3-AC41-EAAF00DF1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4044" y="23262439"/>
          <a:ext cx="5282967" cy="3358293"/>
        </a:xfrm>
        <a:prstGeom prst="rect">
          <a:avLst/>
        </a:prstGeom>
      </xdr:spPr>
    </xdr:pic>
    <xdr:clientData/>
  </xdr:twoCellAnchor>
  <xdr:twoCellAnchor editAs="oneCell">
    <xdr:from>
      <xdr:col>13</xdr:col>
      <xdr:colOff>10758</xdr:colOff>
      <xdr:row>97</xdr:row>
      <xdr:rowOff>126067</xdr:rowOff>
    </xdr:from>
    <xdr:to>
      <xdr:col>17</xdr:col>
      <xdr:colOff>443647</xdr:colOff>
      <xdr:row>104</xdr:row>
      <xdr:rowOff>9919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87E1C6D-1DCC-4D7B-B42F-BB299F3B3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16898" y="21403236"/>
          <a:ext cx="3864690" cy="12565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43542</xdr:colOff>
      <xdr:row>34</xdr:row>
      <xdr:rowOff>97971</xdr:rowOff>
    </xdr:from>
    <xdr:to>
      <xdr:col>9</xdr:col>
      <xdr:colOff>1040150</xdr:colOff>
      <xdr:row>37</xdr:row>
      <xdr:rowOff>132667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335D7F-0F71-4E6C-8D6C-82936D862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199" y="7424057"/>
          <a:ext cx="3217293" cy="1036182"/>
        </a:xfrm>
        <a:prstGeom prst="rect">
          <a:avLst/>
        </a:prstGeom>
      </xdr:spPr>
    </xdr:pic>
    <xdr:clientData/>
  </xdr:twoCellAnchor>
  <xdr:twoCellAnchor editAs="oneCell">
    <xdr:from>
      <xdr:col>6</xdr:col>
      <xdr:colOff>369795</xdr:colOff>
      <xdr:row>42</xdr:row>
      <xdr:rowOff>67235</xdr:rowOff>
    </xdr:from>
    <xdr:to>
      <xdr:col>7</xdr:col>
      <xdr:colOff>398611</xdr:colOff>
      <xdr:row>43</xdr:row>
      <xdr:rowOff>145292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5A9750-C5D6-4AC2-B649-D135D43724F2}"/>
            </a:ext>
            <a:ext uri="{147F2762-F138-4A5C-976F-8EAC2B608ADB}">
              <a16:predDERef xmlns:a16="http://schemas.microsoft.com/office/drawing/2014/main" pred="{B35003C6-53FA-40FA-AD07-D56BDCD33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1615" y="10049435"/>
          <a:ext cx="2727288" cy="27617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860782</xdr:colOff>
      <xdr:row>41</xdr:row>
      <xdr:rowOff>57879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EE9E5C-91EF-40DA-AF50-45D04EE72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96200" y="9189720"/>
          <a:ext cx="1965682" cy="652240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</xdr:colOff>
      <xdr:row>59</xdr:row>
      <xdr:rowOff>152400</xdr:rowOff>
    </xdr:from>
    <xdr:to>
      <xdr:col>7</xdr:col>
      <xdr:colOff>343541</xdr:colOff>
      <xdr:row>64</xdr:row>
      <xdr:rowOff>175532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77B915-7023-4D91-A331-6F9CB9A34B31}"/>
            </a:ext>
            <a:ext uri="{147F2762-F138-4A5C-976F-8EAC2B608ADB}">
              <a16:predDERef xmlns:a16="http://schemas.microsoft.com/office/drawing/2014/main" pred="{3C368288-3A16-4733-8883-5C015E70A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05400" y="13672457"/>
          <a:ext cx="3023507" cy="1013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82</xdr:row>
      <xdr:rowOff>0</xdr:rowOff>
    </xdr:from>
    <xdr:to>
      <xdr:col>10</xdr:col>
      <xdr:colOff>303655</xdr:colOff>
      <xdr:row>85</xdr:row>
      <xdr:rowOff>39787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E02AD5-F0EE-45A9-8E5D-187B25042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41771" y="18266229"/>
          <a:ext cx="2524343" cy="63850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6</xdr:col>
      <xdr:colOff>2136162</xdr:colOff>
      <xdr:row>91</xdr:row>
      <xdr:rowOff>131988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43FD7D-A294-4D45-B102-7413E4297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15543" y="19267714"/>
          <a:ext cx="3535137" cy="926646"/>
        </a:xfrm>
        <a:prstGeom prst="rect">
          <a:avLst/>
        </a:prstGeom>
      </xdr:spPr>
    </xdr:pic>
    <xdr:clientData/>
  </xdr:twoCellAnchor>
  <xdr:twoCellAnchor editAs="oneCell">
    <xdr:from>
      <xdr:col>12</xdr:col>
      <xdr:colOff>44823</xdr:colOff>
      <xdr:row>81</xdr:row>
      <xdr:rowOff>168087</xdr:rowOff>
    </xdr:from>
    <xdr:to>
      <xdr:col>17</xdr:col>
      <xdr:colOff>346596</xdr:colOff>
      <xdr:row>93</xdr:row>
      <xdr:rowOff>858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5251AF-F838-4CF4-876F-BF5FA6194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58147" y="18332822"/>
          <a:ext cx="3484244" cy="2253242"/>
        </a:xfrm>
        <a:prstGeom prst="rect">
          <a:avLst/>
        </a:prstGeom>
      </xdr:spPr>
    </xdr:pic>
    <xdr:clientData/>
  </xdr:twoCellAnchor>
  <xdr:twoCellAnchor editAs="oneCell">
    <xdr:from>
      <xdr:col>7</xdr:col>
      <xdr:colOff>672353</xdr:colOff>
      <xdr:row>79</xdr:row>
      <xdr:rowOff>176094</xdr:rowOff>
    </xdr:from>
    <xdr:to>
      <xdr:col>11</xdr:col>
      <xdr:colOff>376445</xdr:colOff>
      <xdr:row>92</xdr:row>
      <xdr:rowOff>163041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F8B2F72-48FA-433E-A965-BE45FE6A5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5794" y="17937418"/>
          <a:ext cx="4141621" cy="260912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109</xdr:row>
      <xdr:rowOff>0</xdr:rowOff>
    </xdr:from>
    <xdr:to>
      <xdr:col>18</xdr:col>
      <xdr:colOff>1441535</xdr:colOff>
      <xdr:row>125</xdr:row>
      <xdr:rowOff>26728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EF0DE6A-1FB9-4097-91DC-1BD6B10B4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105529" y="23812500"/>
          <a:ext cx="5296359" cy="3254022"/>
        </a:xfrm>
        <a:prstGeom prst="rect">
          <a:avLst/>
        </a:prstGeom>
      </xdr:spPr>
    </xdr:pic>
    <xdr:clientData/>
  </xdr:twoCellAnchor>
  <xdr:twoCellAnchor editAs="oneCell">
    <xdr:from>
      <xdr:col>11</xdr:col>
      <xdr:colOff>358588</xdr:colOff>
      <xdr:row>127</xdr:row>
      <xdr:rowOff>89647</xdr:rowOff>
    </xdr:from>
    <xdr:to>
      <xdr:col>19</xdr:col>
      <xdr:colOff>212973</xdr:colOff>
      <xdr:row>149</xdr:row>
      <xdr:rowOff>78538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2D6FCA-2F3E-42E1-A0D6-21EB861AB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296029" y="27532853"/>
          <a:ext cx="5883150" cy="434377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115</xdr:row>
      <xdr:rowOff>0</xdr:rowOff>
    </xdr:from>
    <xdr:to>
      <xdr:col>28</xdr:col>
      <xdr:colOff>300303</xdr:colOff>
      <xdr:row>131</xdr:row>
      <xdr:rowOff>102935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93F7644-A832-4E9C-A5B6-052236194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313588" y="25022735"/>
          <a:ext cx="5006774" cy="333022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154</xdr:row>
      <xdr:rowOff>0</xdr:rowOff>
    </xdr:from>
    <xdr:to>
      <xdr:col>18</xdr:col>
      <xdr:colOff>1190053</xdr:colOff>
      <xdr:row>172</xdr:row>
      <xdr:rowOff>118659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6DB2B75-63AA-47F1-99A8-69BB14810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105529" y="32687559"/>
          <a:ext cx="5044877" cy="374936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133</xdr:row>
      <xdr:rowOff>0</xdr:rowOff>
    </xdr:from>
    <xdr:to>
      <xdr:col>28</xdr:col>
      <xdr:colOff>346027</xdr:colOff>
      <xdr:row>152</xdr:row>
      <xdr:rowOff>37700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FB8F03-D0E1-4046-94F8-32E60B27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313588" y="28653441"/>
          <a:ext cx="5052498" cy="37874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32336</xdr:colOff>
      <xdr:row>22</xdr:row>
      <xdr:rowOff>25614</xdr:rowOff>
    </xdr:from>
    <xdr:to>
      <xdr:col>13</xdr:col>
      <xdr:colOff>513346</xdr:colOff>
      <xdr:row>32</xdr:row>
      <xdr:rowOff>179294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78726B-0B0B-4808-87C9-A17E6407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924" y="4866555"/>
          <a:ext cx="5221098" cy="256294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34</xdr:row>
      <xdr:rowOff>130629</xdr:rowOff>
    </xdr:from>
    <xdr:to>
      <xdr:col>10</xdr:col>
      <xdr:colOff>735350</xdr:colOff>
      <xdr:row>37</xdr:row>
      <xdr:rowOff>165325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659D56-3E5E-4C4B-B087-029586453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5143" y="7848600"/>
          <a:ext cx="3217293" cy="1036182"/>
        </a:xfrm>
        <a:prstGeom prst="rect">
          <a:avLst/>
        </a:prstGeom>
      </xdr:spPr>
    </xdr:pic>
    <xdr:clientData/>
  </xdr:twoCellAnchor>
  <xdr:twoCellAnchor editAs="oneCell">
    <xdr:from>
      <xdr:col>6</xdr:col>
      <xdr:colOff>369795</xdr:colOff>
      <xdr:row>42</xdr:row>
      <xdr:rowOff>67235</xdr:rowOff>
    </xdr:from>
    <xdr:to>
      <xdr:col>8</xdr:col>
      <xdr:colOff>531865</xdr:colOff>
      <xdr:row>43</xdr:row>
      <xdr:rowOff>137672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1300C4-28C6-4FF9-9D57-1B9889FA0A82}"/>
            </a:ext>
            <a:ext uri="{147F2762-F138-4A5C-976F-8EAC2B608ADB}">
              <a16:predDERef xmlns:a16="http://schemas.microsoft.com/office/drawing/2014/main" pred="{B35003C6-53FA-40FA-AD07-D56BDCD33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1615" y="10049435"/>
          <a:ext cx="2727288" cy="27617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84</xdr:row>
      <xdr:rowOff>0</xdr:rowOff>
    </xdr:from>
    <xdr:to>
      <xdr:col>10</xdr:col>
      <xdr:colOff>793514</xdr:colOff>
      <xdr:row>87</xdr:row>
      <xdr:rowOff>39787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8B4C33-B904-461E-B3F0-75CD0189F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21286" y="18941143"/>
          <a:ext cx="2524343" cy="63850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7</xdr:col>
      <xdr:colOff>334736</xdr:colOff>
      <xdr:row>93</xdr:row>
      <xdr:rowOff>131989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3DEBB0-5064-4F7A-A127-0BC1E38BE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84914" y="19953514"/>
          <a:ext cx="3535137" cy="92664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7</xdr:col>
      <xdr:colOff>295848</xdr:colOff>
      <xdr:row>118</xdr:row>
      <xdr:rowOff>34477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C50CAD-93E2-4DFE-B062-972FA381B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23857" y="23524029"/>
          <a:ext cx="3496249" cy="2200734"/>
        </a:xfrm>
        <a:prstGeom prst="rect">
          <a:avLst/>
        </a:prstGeom>
      </xdr:spPr>
    </xdr:pic>
    <xdr:clientData/>
  </xdr:twoCellAnchor>
  <xdr:twoCellAnchor editAs="oneCell">
    <xdr:from>
      <xdr:col>10</xdr:col>
      <xdr:colOff>639094</xdr:colOff>
      <xdr:row>106</xdr:row>
      <xdr:rowOff>149679</xdr:rowOff>
    </xdr:from>
    <xdr:to>
      <xdr:col>18</xdr:col>
      <xdr:colOff>911678</xdr:colOff>
      <xdr:row>125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8CE31E-E62D-44F8-8B70-47C923B88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0130" y="23948572"/>
          <a:ext cx="5865119" cy="3728357"/>
        </a:xfrm>
        <a:prstGeom prst="rect">
          <a:avLst/>
        </a:prstGeom>
      </xdr:spPr>
    </xdr:pic>
    <xdr:clientData/>
  </xdr:twoCellAnchor>
  <xdr:twoCellAnchor editAs="oneCell">
    <xdr:from>
      <xdr:col>6</xdr:col>
      <xdr:colOff>966106</xdr:colOff>
      <xdr:row>118</xdr:row>
      <xdr:rowOff>81642</xdr:rowOff>
    </xdr:from>
    <xdr:to>
      <xdr:col>11</xdr:col>
      <xdr:colOff>646999</xdr:colOff>
      <xdr:row>133</xdr:row>
      <xdr:rowOff>180781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BCBC989-6385-47E2-AA83-3970134F7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285" y="26329821"/>
          <a:ext cx="4892428" cy="31607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11206</xdr:colOff>
      <xdr:row>35</xdr:row>
      <xdr:rowOff>156881</xdr:rowOff>
    </xdr:from>
    <xdr:to>
      <xdr:col>10</xdr:col>
      <xdr:colOff>595116</xdr:colOff>
      <xdr:row>38</xdr:row>
      <xdr:rowOff>5427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6BA887-889E-4782-ABD4-355B60899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9324" y="8012205"/>
          <a:ext cx="3217293" cy="1036182"/>
        </a:xfrm>
        <a:prstGeom prst="rect">
          <a:avLst/>
        </a:prstGeom>
      </xdr:spPr>
    </xdr:pic>
    <xdr:clientData/>
  </xdr:twoCellAnchor>
  <xdr:twoCellAnchor editAs="oneCell">
    <xdr:from>
      <xdr:col>6</xdr:col>
      <xdr:colOff>369795</xdr:colOff>
      <xdr:row>43</xdr:row>
      <xdr:rowOff>67235</xdr:rowOff>
    </xdr:from>
    <xdr:to>
      <xdr:col>8</xdr:col>
      <xdr:colOff>365313</xdr:colOff>
      <xdr:row>44</xdr:row>
      <xdr:rowOff>137672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665FB4-8A32-4488-B27B-3CBE399C02E3}"/>
            </a:ext>
            <a:ext uri="{147F2762-F138-4A5C-976F-8EAC2B608ADB}">
              <a16:predDERef xmlns:a16="http://schemas.microsoft.com/office/drawing/2014/main" pred="{B35003C6-53FA-40FA-AD07-D56BDCD33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8824" y="10130117"/>
          <a:ext cx="2724150" cy="2721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9</xdr:col>
      <xdr:colOff>274042</xdr:colOff>
      <xdr:row>42</xdr:row>
      <xdr:rowOff>57880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6AC9DA-833F-4ADA-A176-84280B77E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59824" y="9256059"/>
          <a:ext cx="1966130" cy="66299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8</xdr:col>
      <xdr:colOff>294875</xdr:colOff>
      <xdr:row>65</xdr:row>
      <xdr:rowOff>5203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28BDAB-658A-43E4-8C37-3051C6829C21}"/>
            </a:ext>
            <a:ext uri="{147F2762-F138-4A5C-976F-8EAC2B608ADB}">
              <a16:predDERef xmlns:a16="http://schemas.microsoft.com/office/drawing/2014/main" pred="{3C368288-3A16-4733-8883-5C015E70A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91735" y="14287500"/>
          <a:ext cx="3023507" cy="1013732"/>
        </a:xfrm>
        <a:prstGeom prst="rect">
          <a:avLst/>
        </a:prstGeom>
      </xdr:spPr>
    </xdr:pic>
    <xdr:clientData/>
  </xdr:twoCellAnchor>
  <xdr:twoCellAnchor editAs="oneCell">
    <xdr:from>
      <xdr:col>7</xdr:col>
      <xdr:colOff>22412</xdr:colOff>
      <xdr:row>73</xdr:row>
      <xdr:rowOff>123265</xdr:rowOff>
    </xdr:from>
    <xdr:to>
      <xdr:col>10</xdr:col>
      <xdr:colOff>837079</xdr:colOff>
      <xdr:row>77</xdr:row>
      <xdr:rowOff>162533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25B12B55-7CDC-4413-9987-AA7304175FF6}"/>
            </a:ext>
            <a:ext uri="{147F2762-F138-4A5C-976F-8EAC2B608ADB}">
              <a16:predDERef xmlns:a16="http://schemas.microsoft.com/office/drawing/2014/main" pred="{1E8702E0-AD7D-4443-B080-F7C186F7F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7353" y="17346706"/>
          <a:ext cx="3448050" cy="846092"/>
        </a:xfrm>
        <a:prstGeom prst="rect">
          <a:avLst/>
        </a:prstGeom>
      </xdr:spPr>
    </xdr:pic>
    <xdr:clientData/>
  </xdr:twoCellAnchor>
  <xdr:twoCellAnchor editAs="oneCell">
    <xdr:from>
      <xdr:col>7</xdr:col>
      <xdr:colOff>369794</xdr:colOff>
      <xdr:row>81</xdr:row>
      <xdr:rowOff>33618</xdr:rowOff>
    </xdr:from>
    <xdr:to>
      <xdr:col>10</xdr:col>
      <xdr:colOff>260754</xdr:colOff>
      <xdr:row>84</xdr:row>
      <xdr:rowOff>67001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4A0ECE-7988-4810-B787-739F1CD9F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34735" y="18870706"/>
          <a:ext cx="2524343" cy="63850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7</xdr:col>
      <xdr:colOff>339059</xdr:colOff>
      <xdr:row>90</xdr:row>
      <xdr:rowOff>119823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996F656-38B6-4FE4-B8FB-6F27399F7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82353" y="19845618"/>
          <a:ext cx="3535137" cy="926646"/>
        </a:xfrm>
        <a:prstGeom prst="rect">
          <a:avLst/>
        </a:prstGeom>
      </xdr:spPr>
    </xdr:pic>
    <xdr:clientData/>
  </xdr:twoCellAnchor>
  <xdr:twoCellAnchor editAs="oneCell">
    <xdr:from>
      <xdr:col>5</xdr:col>
      <xdr:colOff>1156606</xdr:colOff>
      <xdr:row>122</xdr:row>
      <xdr:rowOff>54428</xdr:rowOff>
    </xdr:from>
    <xdr:to>
      <xdr:col>8</xdr:col>
      <xdr:colOff>531491</xdr:colOff>
      <xdr:row>133</xdr:row>
      <xdr:rowOff>33997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6D8C0B0-7972-4A9B-8401-DB04FD4E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769677" y="27064607"/>
          <a:ext cx="3497850" cy="2224747"/>
        </a:xfrm>
        <a:prstGeom prst="rect">
          <a:avLst/>
        </a:prstGeom>
      </xdr:spPr>
    </xdr:pic>
    <xdr:clientData/>
  </xdr:twoCellAnchor>
  <xdr:twoCellAnchor editAs="oneCell">
    <xdr:from>
      <xdr:col>10</xdr:col>
      <xdr:colOff>71237</xdr:colOff>
      <xdr:row>95</xdr:row>
      <xdr:rowOff>140074</xdr:rowOff>
    </xdr:from>
    <xdr:to>
      <xdr:col>21</xdr:col>
      <xdr:colOff>262785</xdr:colOff>
      <xdr:row>122</xdr:row>
      <xdr:rowOff>53801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1D0AF8C-D607-4D2D-AC64-AA837F3AC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4943" y="21801045"/>
          <a:ext cx="8483901" cy="5359785"/>
        </a:xfrm>
        <a:prstGeom prst="rect">
          <a:avLst/>
        </a:prstGeom>
      </xdr:spPr>
    </xdr:pic>
    <xdr:clientData/>
  </xdr:twoCellAnchor>
  <xdr:twoCellAnchor editAs="oneCell">
    <xdr:from>
      <xdr:col>5</xdr:col>
      <xdr:colOff>258536</xdr:colOff>
      <xdr:row>104</xdr:row>
      <xdr:rowOff>149679</xdr:rowOff>
    </xdr:from>
    <xdr:to>
      <xdr:col>9</xdr:col>
      <xdr:colOff>252392</xdr:colOff>
      <xdr:row>120</xdr:row>
      <xdr:rowOff>44711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0B6C83E-FAC2-4FD7-BAA4-C5CC9A0F5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1607" y="23485929"/>
          <a:ext cx="4892428" cy="31607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F185-A39B-334C-AFD7-6AF9449F9379}">
  <dimension ref="A1:U178"/>
  <sheetViews>
    <sheetView tabSelected="1" zoomScale="68" zoomScaleNormal="68" workbookViewId="0">
      <selection activeCell="H6" sqref="H6"/>
    </sheetView>
  </sheetViews>
  <sheetFormatPr defaultColWidth="11" defaultRowHeight="15.6" x14ac:dyDescent="0.3"/>
  <cols>
    <col min="1" max="1" width="3.09765625" bestFit="1" customWidth="1"/>
    <col min="2" max="2" width="35.5" bestFit="1" customWidth="1"/>
    <col min="3" max="3" width="11" customWidth="1"/>
    <col min="4" max="4" width="16.19921875" customWidth="1"/>
    <col min="5" max="5" width="20.19921875" bestFit="1" customWidth="1"/>
    <col min="6" max="6" width="18.19921875" bestFit="1" customWidth="1"/>
    <col min="7" max="7" width="23.3984375" bestFit="1" customWidth="1"/>
    <col min="8" max="8" width="12.19921875" bestFit="1" customWidth="1"/>
    <col min="9" max="9" width="11.19921875" bestFit="1" customWidth="1"/>
    <col min="10" max="10" width="12.09765625" bestFit="1" customWidth="1"/>
    <col min="11" max="11" width="18.09765625" bestFit="1" customWidth="1"/>
    <col min="15" max="15" width="9.3984375" bestFit="1" customWidth="1"/>
    <col min="16" max="16" width="16.3984375" bestFit="1" customWidth="1"/>
    <col min="17" max="17" width="8.19921875" bestFit="1" customWidth="1"/>
    <col min="19" max="19" width="19.69921875" bestFit="1" customWidth="1"/>
    <col min="20" max="20" width="6.09765625" bestFit="1" customWidth="1"/>
    <col min="21" max="21" width="4.09765625" bestFit="1" customWidth="1"/>
  </cols>
  <sheetData>
    <row r="1" spans="1:21" x14ac:dyDescent="0.3">
      <c r="B1" s="167" t="s">
        <v>30</v>
      </c>
      <c r="C1" s="167"/>
      <c r="D1" s="167"/>
      <c r="E1" s="168" t="s">
        <v>31</v>
      </c>
      <c r="F1" s="168"/>
      <c r="G1" s="168"/>
      <c r="H1" s="169" t="s">
        <v>32</v>
      </c>
      <c r="I1" s="169"/>
      <c r="J1" s="169"/>
      <c r="K1" s="170" t="s">
        <v>33</v>
      </c>
      <c r="L1" s="170"/>
      <c r="M1" s="170"/>
    </row>
    <row r="2" spans="1:21" x14ac:dyDescent="0.3">
      <c r="B2" s="15" t="s">
        <v>106</v>
      </c>
      <c r="E2" s="17" t="s">
        <v>105</v>
      </c>
    </row>
    <row r="3" spans="1:21" ht="16.2" thickBot="1" x14ac:dyDescent="0.35">
      <c r="B3" s="21" t="s">
        <v>170</v>
      </c>
      <c r="E3" s="1"/>
    </row>
    <row r="4" spans="1:21" ht="16.2" thickBot="1" x14ac:dyDescent="0.35">
      <c r="B4" s="35">
        <v>1</v>
      </c>
      <c r="D4" s="1" t="str">
        <f>'D2'!D3</f>
        <v>total flowrate</v>
      </c>
      <c r="E4" s="1">
        <v>1619</v>
      </c>
      <c r="F4" s="1" t="str">
        <f>'D2'!F3</f>
        <v>kgmole/hr</v>
      </c>
    </row>
    <row r="5" spans="1:21" ht="31.8" thickBot="1" x14ac:dyDescent="0.35">
      <c r="B5" s="5" t="s">
        <v>0</v>
      </c>
      <c r="C5" s="41" t="s">
        <v>1</v>
      </c>
      <c r="D5" s="42" t="s">
        <v>20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O5" s="6" t="s">
        <v>26</v>
      </c>
      <c r="P5" s="53">
        <v>2000</v>
      </c>
      <c r="Q5" s="8" t="s">
        <v>27</v>
      </c>
      <c r="S5" s="164" t="s">
        <v>41</v>
      </c>
      <c r="T5" s="165"/>
      <c r="U5" s="166"/>
    </row>
    <row r="6" spans="1:21" x14ac:dyDescent="0.3">
      <c r="A6">
        <v>1</v>
      </c>
      <c r="B6" s="4" t="s">
        <v>9</v>
      </c>
      <c r="C6" s="44">
        <v>3.6579999999999999</v>
      </c>
      <c r="D6" s="44">
        <v>5.0000000000000001E-4</v>
      </c>
      <c r="E6" s="2">
        <f t="shared" ref="E6:E16" si="0">D6*$E$4</f>
        <v>0.8095</v>
      </c>
      <c r="F6" s="2">
        <v>1</v>
      </c>
      <c r="G6" s="2">
        <v>0</v>
      </c>
      <c r="H6" s="2">
        <f t="shared" ref="H6:H16" si="1">$E6*F6</f>
        <v>0.8095</v>
      </c>
      <c r="I6" s="2">
        <f t="shared" ref="I6:I16" si="2">$E6*G6</f>
        <v>0</v>
      </c>
      <c r="J6" s="2">
        <f t="shared" ref="J6:J16" si="3">H6/$H$17</f>
        <v>1.3361481521071059E-3</v>
      </c>
      <c r="K6" s="2">
        <f t="shared" ref="K6:K16" si="4">I6/$I$17</f>
        <v>0</v>
      </c>
      <c r="O6" s="9" t="s">
        <v>28</v>
      </c>
      <c r="P6" s="44">
        <v>40</v>
      </c>
      <c r="Q6" s="10" t="s">
        <v>29</v>
      </c>
      <c r="S6" s="45" t="s">
        <v>42</v>
      </c>
      <c r="T6" s="46">
        <v>14.35</v>
      </c>
      <c r="U6" s="46">
        <v>15</v>
      </c>
    </row>
    <row r="7" spans="1:21" ht="16.2" thickBot="1" x14ac:dyDescent="0.35">
      <c r="A7">
        <v>2</v>
      </c>
      <c r="B7" s="2" t="s">
        <v>11</v>
      </c>
      <c r="C7" s="44">
        <v>2.5499999999999998</v>
      </c>
      <c r="D7" s="44">
        <v>3.0999999999999999E-3</v>
      </c>
      <c r="E7" s="2">
        <f t="shared" si="0"/>
        <v>5.0188999999999995</v>
      </c>
      <c r="F7" s="2">
        <v>1</v>
      </c>
      <c r="G7" s="2">
        <v>0</v>
      </c>
      <c r="H7" s="2">
        <f t="shared" si="1"/>
        <v>5.0188999999999995</v>
      </c>
      <c r="I7" s="2">
        <f t="shared" si="2"/>
        <v>0</v>
      </c>
      <c r="J7" s="2">
        <f t="shared" si="3"/>
        <v>8.2841185430640556E-3</v>
      </c>
      <c r="K7" s="2">
        <f t="shared" si="4"/>
        <v>0</v>
      </c>
      <c r="O7" s="11" t="s">
        <v>34</v>
      </c>
      <c r="P7" s="50">
        <f>E4</f>
        <v>1619</v>
      </c>
      <c r="Q7" s="12" t="s">
        <v>35</v>
      </c>
      <c r="S7" s="45" t="s">
        <v>43</v>
      </c>
      <c r="T7" s="46">
        <v>31</v>
      </c>
      <c r="U7" s="46"/>
    </row>
    <row r="8" spans="1:21" x14ac:dyDescent="0.3">
      <c r="A8">
        <v>3</v>
      </c>
      <c r="B8" s="2" t="s">
        <v>10</v>
      </c>
      <c r="C8" s="44">
        <v>2.278</v>
      </c>
      <c r="D8" s="44">
        <v>0.373</v>
      </c>
      <c r="E8" s="2">
        <f t="shared" si="0"/>
        <v>603.88699999999994</v>
      </c>
      <c r="F8" s="2">
        <v>0.98</v>
      </c>
      <c r="G8" s="2">
        <v>0.02</v>
      </c>
      <c r="H8" s="2">
        <f t="shared" si="1"/>
        <v>591.80925999999988</v>
      </c>
      <c r="I8" s="2">
        <f t="shared" si="2"/>
        <v>12.077739999999999</v>
      </c>
      <c r="J8" s="2">
        <f t="shared" si="3"/>
        <v>0.97683119104246274</v>
      </c>
      <c r="K8" s="2">
        <f t="shared" si="4"/>
        <v>1.1920931942025278E-2</v>
      </c>
      <c r="S8" s="45" t="s">
        <v>44</v>
      </c>
      <c r="T8" s="46">
        <v>14</v>
      </c>
      <c r="U8" s="46"/>
    </row>
    <row r="9" spans="1:21" x14ac:dyDescent="0.3">
      <c r="A9">
        <v>4</v>
      </c>
      <c r="B9" s="28" t="s">
        <v>12</v>
      </c>
      <c r="C9" s="44">
        <v>0.58489999999999998</v>
      </c>
      <c r="D9" s="44">
        <v>1.6000000000000001E-3</v>
      </c>
      <c r="E9" s="2">
        <f t="shared" si="0"/>
        <v>2.5904000000000003</v>
      </c>
      <c r="F9" s="2">
        <v>0.9</v>
      </c>
      <c r="G9" s="2">
        <v>0.1</v>
      </c>
      <c r="H9" s="2">
        <f t="shared" si="1"/>
        <v>2.3313600000000001</v>
      </c>
      <c r="I9" s="2">
        <f t="shared" si="2"/>
        <v>0.25904000000000005</v>
      </c>
      <c r="J9" s="28">
        <f t="shared" si="3"/>
        <v>3.8481066780684651E-3</v>
      </c>
      <c r="K9" s="28">
        <f t="shared" si="4"/>
        <v>2.5567682449383983E-4</v>
      </c>
      <c r="S9" s="45" t="s">
        <v>45</v>
      </c>
      <c r="T9" s="46">
        <v>-9.1999999999999993</v>
      </c>
      <c r="U9" s="46" t="s">
        <v>29</v>
      </c>
    </row>
    <row r="10" spans="1:21" x14ac:dyDescent="0.3">
      <c r="A10">
        <v>5</v>
      </c>
      <c r="B10" s="31" t="s">
        <v>13</v>
      </c>
      <c r="C10" s="44">
        <v>0.36990000000000001</v>
      </c>
      <c r="D10" s="44">
        <v>0.36299999999999999</v>
      </c>
      <c r="E10" s="2">
        <f t="shared" si="0"/>
        <v>587.697</v>
      </c>
      <c r="F10" s="2">
        <v>0.01</v>
      </c>
      <c r="G10" s="2">
        <f>1-F10</f>
        <v>0.99</v>
      </c>
      <c r="H10" s="2">
        <f t="shared" si="1"/>
        <v>5.87697</v>
      </c>
      <c r="I10" s="2">
        <f t="shared" si="2"/>
        <v>581.82002999999997</v>
      </c>
      <c r="J10" s="31">
        <f t="shared" si="3"/>
        <v>9.7004355842975881E-3</v>
      </c>
      <c r="K10" s="31">
        <f t="shared" si="4"/>
        <v>0.57426612761469498</v>
      </c>
      <c r="S10" s="45" t="s">
        <v>46</v>
      </c>
      <c r="T10" s="46">
        <v>126.8</v>
      </c>
      <c r="U10" s="46" t="s">
        <v>29</v>
      </c>
    </row>
    <row r="11" spans="1:21" x14ac:dyDescent="0.3">
      <c r="A11">
        <v>6</v>
      </c>
      <c r="B11" s="2" t="s">
        <v>17</v>
      </c>
      <c r="C11" s="44">
        <v>0.30909999999999999</v>
      </c>
      <c r="D11" s="44">
        <v>1.6000000000000001E-3</v>
      </c>
      <c r="E11" s="2">
        <f t="shared" si="0"/>
        <v>2.5904000000000003</v>
      </c>
      <c r="F11" s="2">
        <v>0</v>
      </c>
      <c r="G11" s="2">
        <v>1</v>
      </c>
      <c r="H11" s="2">
        <f t="shared" si="1"/>
        <v>0</v>
      </c>
      <c r="I11" s="2">
        <f t="shared" si="2"/>
        <v>2.5904000000000003</v>
      </c>
      <c r="J11" s="2">
        <f t="shared" si="3"/>
        <v>0</v>
      </c>
      <c r="K11" s="2">
        <f t="shared" si="4"/>
        <v>2.5567682449383978E-3</v>
      </c>
      <c r="S11" s="45" t="s">
        <v>49</v>
      </c>
      <c r="T11" s="46">
        <v>0.66100000000000003</v>
      </c>
      <c r="U11" s="46" t="s">
        <v>104</v>
      </c>
    </row>
    <row r="12" spans="1:21" x14ac:dyDescent="0.3">
      <c r="A12">
        <v>7</v>
      </c>
      <c r="B12" s="2" t="s">
        <v>18</v>
      </c>
      <c r="C12" s="51">
        <v>1.8450000000000001E-2</v>
      </c>
      <c r="D12" s="44">
        <v>0.25659999999999999</v>
      </c>
      <c r="E12" s="2">
        <f t="shared" si="0"/>
        <v>415.43540000000002</v>
      </c>
      <c r="F12" s="2">
        <v>0</v>
      </c>
      <c r="G12" s="2">
        <v>1</v>
      </c>
      <c r="H12" s="2">
        <f t="shared" si="1"/>
        <v>0</v>
      </c>
      <c r="I12" s="2">
        <f t="shared" si="2"/>
        <v>415.43540000000002</v>
      </c>
      <c r="J12" s="2">
        <f t="shared" si="3"/>
        <v>0</v>
      </c>
      <c r="K12" s="2">
        <f t="shared" si="4"/>
        <v>0.41004170728199552</v>
      </c>
      <c r="S12" s="45" t="s">
        <v>51</v>
      </c>
      <c r="T12" s="46">
        <v>0.94499999999999995</v>
      </c>
      <c r="U12" s="46" t="s">
        <v>104</v>
      </c>
    </row>
    <row r="13" spans="1:21" x14ac:dyDescent="0.3">
      <c r="A13">
        <v>8</v>
      </c>
      <c r="B13" s="2" t="s">
        <v>19</v>
      </c>
      <c r="C13" s="51">
        <v>7.5779999999999997E-3</v>
      </c>
      <c r="D13" s="44">
        <v>5.9999999999999995E-4</v>
      </c>
      <c r="E13" s="2">
        <f t="shared" si="0"/>
        <v>0.97139999999999993</v>
      </c>
      <c r="F13" s="2">
        <v>0</v>
      </c>
      <c r="G13" s="2">
        <v>1</v>
      </c>
      <c r="H13" s="2">
        <f t="shared" si="1"/>
        <v>0</v>
      </c>
      <c r="I13" s="2">
        <f t="shared" si="2"/>
        <v>0.97139999999999993</v>
      </c>
      <c r="J13" s="2">
        <f t="shared" si="3"/>
        <v>0</v>
      </c>
      <c r="K13" s="2">
        <f t="shared" si="4"/>
        <v>9.5878809185189905E-4</v>
      </c>
    </row>
    <row r="14" spans="1:21" x14ac:dyDescent="0.3">
      <c r="A14">
        <v>9</v>
      </c>
      <c r="B14" s="2" t="s">
        <v>14</v>
      </c>
      <c r="C14" s="44">
        <v>0</v>
      </c>
      <c r="D14" s="44">
        <v>0</v>
      </c>
      <c r="E14" s="2">
        <f t="shared" si="0"/>
        <v>0</v>
      </c>
      <c r="F14" s="2">
        <v>0</v>
      </c>
      <c r="G14" s="2">
        <v>1</v>
      </c>
      <c r="H14" s="2">
        <f t="shared" si="1"/>
        <v>0</v>
      </c>
      <c r="I14" s="2">
        <f t="shared" si="2"/>
        <v>0</v>
      </c>
      <c r="J14" s="2">
        <f t="shared" si="3"/>
        <v>0</v>
      </c>
      <c r="K14" s="2">
        <f t="shared" si="4"/>
        <v>0</v>
      </c>
    </row>
    <row r="15" spans="1:21" x14ac:dyDescent="0.3">
      <c r="A15">
        <v>10</v>
      </c>
      <c r="B15" s="2" t="s">
        <v>15</v>
      </c>
      <c r="C15" s="44">
        <v>0</v>
      </c>
      <c r="D15" s="44">
        <v>0</v>
      </c>
      <c r="E15" s="2">
        <f t="shared" si="0"/>
        <v>0</v>
      </c>
      <c r="F15" s="2">
        <v>0</v>
      </c>
      <c r="G15" s="2">
        <v>1</v>
      </c>
      <c r="H15" s="2">
        <f t="shared" si="1"/>
        <v>0</v>
      </c>
      <c r="I15" s="2">
        <f t="shared" si="2"/>
        <v>0</v>
      </c>
      <c r="J15" s="2">
        <f t="shared" si="3"/>
        <v>0</v>
      </c>
      <c r="K15" s="2">
        <f t="shared" si="4"/>
        <v>0</v>
      </c>
    </row>
    <row r="16" spans="1:21" x14ac:dyDescent="0.3">
      <c r="A16">
        <v>11</v>
      </c>
      <c r="B16" s="2" t="s">
        <v>16</v>
      </c>
      <c r="C16" s="44">
        <v>0</v>
      </c>
      <c r="D16" s="44">
        <v>0</v>
      </c>
      <c r="E16" s="2">
        <f t="shared" si="0"/>
        <v>0</v>
      </c>
      <c r="F16" s="2">
        <v>0</v>
      </c>
      <c r="G16" s="2">
        <v>1</v>
      </c>
      <c r="H16" s="2">
        <f t="shared" si="1"/>
        <v>0</v>
      </c>
      <c r="I16" s="2">
        <f t="shared" si="2"/>
        <v>0</v>
      </c>
      <c r="J16" s="2">
        <f t="shared" si="3"/>
        <v>0</v>
      </c>
      <c r="K16" s="2">
        <f t="shared" si="4"/>
        <v>0</v>
      </c>
    </row>
    <row r="17" spans="2:9" x14ac:dyDescent="0.3">
      <c r="G17" s="2" t="s">
        <v>21</v>
      </c>
      <c r="H17" s="2">
        <f>SUM(H6:H16)</f>
        <v>605.84598999999992</v>
      </c>
      <c r="I17" s="2">
        <f>SUM(I6:I16)</f>
        <v>1013.1540100000001</v>
      </c>
    </row>
    <row r="19" spans="2:9" ht="16.2" thickBot="1" x14ac:dyDescent="0.35"/>
    <row r="20" spans="2:9" ht="16.2" thickBot="1" x14ac:dyDescent="0.35">
      <c r="B20" s="35">
        <v>2</v>
      </c>
    </row>
    <row r="22" spans="2:9" x14ac:dyDescent="0.3">
      <c r="B22" s="36" t="s">
        <v>47</v>
      </c>
      <c r="C22" s="37">
        <v>160</v>
      </c>
      <c r="D22" s="39" t="s">
        <v>48</v>
      </c>
      <c r="E22" s="171" t="s">
        <v>108</v>
      </c>
    </row>
    <row r="23" spans="2:9" x14ac:dyDescent="0.3">
      <c r="B23" s="36" t="s">
        <v>50</v>
      </c>
      <c r="C23" s="38">
        <f>C22-6</f>
        <v>154</v>
      </c>
      <c r="D23" s="40" t="s">
        <v>48</v>
      </c>
      <c r="E23" s="172"/>
    </row>
    <row r="24" spans="2:9" x14ac:dyDescent="0.3">
      <c r="D24" s="123"/>
    </row>
    <row r="25" spans="2:9" ht="46.8" x14ac:dyDescent="0.3">
      <c r="B25" s="1"/>
      <c r="C25" s="42" t="s">
        <v>1</v>
      </c>
      <c r="D25" s="42" t="s">
        <v>158</v>
      </c>
      <c r="E25" s="42" t="s">
        <v>159</v>
      </c>
      <c r="F25" s="3" t="s">
        <v>52</v>
      </c>
    </row>
    <row r="26" spans="2:9" x14ac:dyDescent="0.3">
      <c r="B26" s="2" t="s">
        <v>9</v>
      </c>
      <c r="C26" s="156">
        <f>C6</f>
        <v>3.6579999999999999</v>
      </c>
      <c r="D26" s="91">
        <v>1.89</v>
      </c>
      <c r="E26" s="91">
        <v>7.8890000000000002</v>
      </c>
      <c r="F26" s="13">
        <f xml:space="preserve"> ( (D26/$D$30)*(E26/$E$30))^0.5</f>
        <v>10.468457917804891</v>
      </c>
    </row>
    <row r="27" spans="2:9" x14ac:dyDescent="0.3">
      <c r="B27" s="2" t="s">
        <v>11</v>
      </c>
      <c r="C27" s="156">
        <f t="shared" ref="C27:C36" si="5">C7</f>
        <v>2.5499999999999998</v>
      </c>
      <c r="D27" s="91">
        <v>1.109</v>
      </c>
      <c r="E27" s="91">
        <v>6.5890000000000004</v>
      </c>
      <c r="F27" s="13">
        <f t="shared" ref="F27:F36" si="6" xml:space="preserve"> ( (D27/$D$30)*(E27/$E$30))^0.5</f>
        <v>7.3285213649524188</v>
      </c>
    </row>
    <row r="28" spans="2:9" x14ac:dyDescent="0.3">
      <c r="B28" s="2" t="s">
        <v>10</v>
      </c>
      <c r="C28" s="156">
        <f t="shared" si="5"/>
        <v>2.278</v>
      </c>
      <c r="D28" s="91">
        <v>1.0149999999999999</v>
      </c>
      <c r="E28" s="91">
        <v>4.6890000000000001</v>
      </c>
      <c r="F28" s="13">
        <f t="shared" si="6"/>
        <v>5.9144446106831081</v>
      </c>
    </row>
    <row r="29" spans="2:9" x14ac:dyDescent="0.3">
      <c r="B29" s="28" t="s">
        <v>12</v>
      </c>
      <c r="C29" s="156">
        <f t="shared" si="5"/>
        <v>0.58489999999999998</v>
      </c>
      <c r="D29" s="91">
        <v>0.19719999999999999</v>
      </c>
      <c r="E29" s="91">
        <v>1.7450000000000001</v>
      </c>
      <c r="F29" s="13">
        <f t="shared" si="6"/>
        <v>1.5903473970465378</v>
      </c>
    </row>
    <row r="30" spans="2:9" x14ac:dyDescent="0.3">
      <c r="B30" s="31" t="s">
        <v>13</v>
      </c>
      <c r="C30" s="156">
        <f t="shared" si="5"/>
        <v>0.36990000000000001</v>
      </c>
      <c r="D30" s="91">
        <v>0.1099</v>
      </c>
      <c r="E30" s="91">
        <v>1.238</v>
      </c>
      <c r="F30" s="13">
        <f t="shared" si="6"/>
        <v>1</v>
      </c>
    </row>
    <row r="31" spans="2:9" x14ac:dyDescent="0.3">
      <c r="B31" s="2" t="s">
        <v>17</v>
      </c>
      <c r="C31" s="156">
        <f t="shared" si="5"/>
        <v>0.30909999999999999</v>
      </c>
      <c r="D31" s="108">
        <v>8.1820000000000004E-2</v>
      </c>
      <c r="E31" s="91">
        <v>1.7549999999999999</v>
      </c>
      <c r="F31" s="13">
        <f t="shared" si="6"/>
        <v>1.0273280103671221</v>
      </c>
    </row>
    <row r="32" spans="2:9" x14ac:dyDescent="0.3">
      <c r="B32" s="33" t="s">
        <v>18</v>
      </c>
      <c r="C32" s="156">
        <f t="shared" si="5"/>
        <v>1.8450000000000001E-2</v>
      </c>
      <c r="D32" s="108">
        <v>2.3285181419875202E-3</v>
      </c>
      <c r="E32" s="132">
        <v>0.16860741852537001</v>
      </c>
      <c r="F32" s="61">
        <f t="shared" si="6"/>
        <v>5.371789475525706E-2</v>
      </c>
    </row>
    <row r="33" spans="2:13" x14ac:dyDescent="0.3">
      <c r="B33" s="33" t="s">
        <v>19</v>
      </c>
      <c r="C33" s="156">
        <f t="shared" si="5"/>
        <v>7.5779999999999997E-3</v>
      </c>
      <c r="D33" s="108">
        <v>7.7577441108096995E-4</v>
      </c>
      <c r="E33" s="108">
        <v>8.9656869870257103E-2</v>
      </c>
      <c r="F33" s="61">
        <f t="shared" si="6"/>
        <v>2.2609988574154027E-2</v>
      </c>
    </row>
    <row r="34" spans="2:13" x14ac:dyDescent="0.3">
      <c r="B34" s="2" t="s">
        <v>14</v>
      </c>
      <c r="C34" s="156">
        <f t="shared" si="5"/>
        <v>0</v>
      </c>
      <c r="D34" s="91">
        <v>0</v>
      </c>
      <c r="E34" s="91">
        <v>0</v>
      </c>
      <c r="F34" s="61">
        <f t="shared" si="6"/>
        <v>0</v>
      </c>
    </row>
    <row r="35" spans="2:13" x14ac:dyDescent="0.3">
      <c r="B35" s="2" t="s">
        <v>15</v>
      </c>
      <c r="C35" s="156">
        <f t="shared" si="5"/>
        <v>0</v>
      </c>
      <c r="D35" s="148">
        <v>1.2789999999999999</v>
      </c>
      <c r="E35" s="148">
        <v>5.835</v>
      </c>
      <c r="F35" s="61">
        <f t="shared" si="6"/>
        <v>7.4062187270812405</v>
      </c>
    </row>
    <row r="36" spans="2:13" x14ac:dyDescent="0.3">
      <c r="B36" s="2" t="s">
        <v>16</v>
      </c>
      <c r="C36" s="156">
        <f t="shared" si="5"/>
        <v>0</v>
      </c>
      <c r="D36" s="108">
        <v>1.8412512662746301E-2</v>
      </c>
      <c r="E36" s="91">
        <v>0.55100000000000005</v>
      </c>
      <c r="F36" s="61">
        <f t="shared" si="6"/>
        <v>0.27306947800389503</v>
      </c>
    </row>
    <row r="37" spans="2:13" ht="16.2" thickBot="1" x14ac:dyDescent="0.35"/>
    <row r="38" spans="2:13" ht="63" thickBot="1" x14ac:dyDescent="0.35">
      <c r="B38" s="89">
        <v>3</v>
      </c>
      <c r="C38" s="62" t="s">
        <v>109</v>
      </c>
      <c r="D38" s="126">
        <f>LOG( (C40/C41) * (C42/C43) ) / LOG(E42)</f>
        <v>14.640172656746447</v>
      </c>
    </row>
    <row r="40" spans="2:13" x14ac:dyDescent="0.3">
      <c r="B40" s="1" t="s">
        <v>53</v>
      </c>
      <c r="C40" s="1">
        <f>H50</f>
        <v>2.3313600000000001</v>
      </c>
      <c r="D40" s="1" t="s">
        <v>110</v>
      </c>
      <c r="E40" s="1">
        <f>D29/D30</f>
        <v>1.7943585077343038</v>
      </c>
    </row>
    <row r="41" spans="2:13" x14ac:dyDescent="0.3">
      <c r="B41" s="1" t="s">
        <v>54</v>
      </c>
      <c r="C41" s="1">
        <f>G50</f>
        <v>0.25904000000000005</v>
      </c>
      <c r="D41" s="1" t="s">
        <v>55</v>
      </c>
      <c r="E41" s="1">
        <f>E29/E30</f>
        <v>1.4095315024232635</v>
      </c>
    </row>
    <row r="42" spans="2:13" x14ac:dyDescent="0.3">
      <c r="B42" s="1" t="s">
        <v>56</v>
      </c>
      <c r="C42" s="1">
        <f>G51</f>
        <v>581.82002999999997</v>
      </c>
      <c r="D42" s="1" t="s">
        <v>57</v>
      </c>
      <c r="E42" s="1">
        <f>SQRT(E40*E41)</f>
        <v>1.5903473970465378</v>
      </c>
    </row>
    <row r="43" spans="2:13" x14ac:dyDescent="0.3">
      <c r="B43" s="1" t="s">
        <v>58</v>
      </c>
      <c r="C43" s="1">
        <f>H51</f>
        <v>5.87697</v>
      </c>
    </row>
    <row r="44" spans="2:13" ht="16.2" thickBot="1" x14ac:dyDescent="0.35"/>
    <row r="45" spans="2:13" ht="16.2" thickBot="1" x14ac:dyDescent="0.35">
      <c r="B45" s="90">
        <v>4</v>
      </c>
      <c r="C45" s="63" t="s">
        <v>59</v>
      </c>
      <c r="D45" s="64"/>
      <c r="E45" s="64"/>
      <c r="F45" s="65"/>
      <c r="G45" s="66"/>
      <c r="H45" s="66"/>
      <c r="I45" s="66"/>
      <c r="J45" s="66"/>
      <c r="K45" s="66" t="s">
        <v>60</v>
      </c>
      <c r="L45" s="66"/>
      <c r="M45" s="66"/>
    </row>
    <row r="46" spans="2:13" ht="57.6" x14ac:dyDescent="0.3">
      <c r="B46" s="88" t="s">
        <v>61</v>
      </c>
      <c r="C46" s="78" t="s">
        <v>36</v>
      </c>
      <c r="D46" s="67" t="s">
        <v>37</v>
      </c>
      <c r="E46" s="67" t="s">
        <v>38</v>
      </c>
      <c r="F46" s="68" t="s">
        <v>112</v>
      </c>
      <c r="G46" s="69" t="s">
        <v>40</v>
      </c>
      <c r="H46" s="69" t="s">
        <v>39</v>
      </c>
      <c r="I46" s="70" t="s">
        <v>62</v>
      </c>
      <c r="J46" s="71" t="s">
        <v>63</v>
      </c>
      <c r="K46" s="85" t="s">
        <v>64</v>
      </c>
      <c r="L46" s="72" t="s">
        <v>65</v>
      </c>
      <c r="M46" s="85" t="s">
        <v>66</v>
      </c>
    </row>
    <row r="47" spans="2:13" x14ac:dyDescent="0.3">
      <c r="B47" s="72" t="s">
        <v>9</v>
      </c>
      <c r="C47" s="79">
        <f>E6</f>
        <v>0.8095</v>
      </c>
      <c r="D47" s="72">
        <f>F6</f>
        <v>1</v>
      </c>
      <c r="E47" s="72">
        <f>G6</f>
        <v>0</v>
      </c>
      <c r="F47" s="93">
        <f>K47^($D$38) * ($J$10/$K$10)</f>
        <v>14419062433148.766</v>
      </c>
      <c r="G47" s="73">
        <f>I6</f>
        <v>0</v>
      </c>
      <c r="H47" s="73">
        <f>H6</f>
        <v>0.8095</v>
      </c>
      <c r="I47" s="73">
        <f>L47/$L$58</f>
        <v>1.3015093855596521E-3</v>
      </c>
      <c r="J47" s="73">
        <f>M47/$M$58</f>
        <v>5.6308203834975517E-17</v>
      </c>
      <c r="K47" s="72">
        <f>SQRT( (D26/$D$30)*(E26/$E$30) )</f>
        <v>10.468457917804891</v>
      </c>
      <c r="L47" s="75">
        <f>C47-M47</f>
        <v>0.80949999999994382</v>
      </c>
      <c r="M47" s="72">
        <f>C47/(F47+1)</f>
        <v>5.6140959493936331E-14</v>
      </c>
    </row>
    <row r="48" spans="2:13" x14ac:dyDescent="0.3">
      <c r="B48" s="72" t="s">
        <v>11</v>
      </c>
      <c r="C48" s="79">
        <f t="shared" ref="C48:D57" si="7">E7</f>
        <v>5.0188999999999995</v>
      </c>
      <c r="D48" s="72">
        <f t="shared" si="7"/>
        <v>1</v>
      </c>
      <c r="E48" s="72">
        <f t="shared" ref="E48:E57" si="8">G7</f>
        <v>0</v>
      </c>
      <c r="F48" s="93">
        <f t="shared" ref="F48:F57" si="9">K48^($D$38) * ($J$10/$K$10)</f>
        <v>77923216634.408249</v>
      </c>
      <c r="G48" s="73">
        <f t="shared" ref="G48:G57" si="10">I7</f>
        <v>0</v>
      </c>
      <c r="H48" s="73">
        <f t="shared" ref="H48:H57" si="11">H7</f>
        <v>5.0188999999999995</v>
      </c>
      <c r="I48" s="73">
        <f t="shared" ref="I48:I57" si="12">L48/$L$58</f>
        <v>8.0693581903668477E-3</v>
      </c>
      <c r="J48" s="73">
        <f t="shared" ref="J48:J57" si="13">M48/$M$58</f>
        <v>6.4600148174604967E-14</v>
      </c>
      <c r="K48" s="72">
        <f t="shared" ref="K48:K57" si="14">SQRT( (D27/$D$30)*(E27/$E$30) )</f>
        <v>7.3285213649524188</v>
      </c>
      <c r="L48" s="75">
        <f t="shared" ref="L48:L57" si="15">C48-M48</f>
        <v>5.0188999999355914</v>
      </c>
      <c r="M48" s="72">
        <f t="shared" ref="M48:M57" si="16">C48/(F48+1)</f>
        <v>6.4408275437123252E-11</v>
      </c>
    </row>
    <row r="49" spans="2:13" x14ac:dyDescent="0.3">
      <c r="B49" s="72" t="s">
        <v>10</v>
      </c>
      <c r="C49" s="79">
        <f t="shared" si="7"/>
        <v>603.88699999999994</v>
      </c>
      <c r="D49" s="72">
        <f t="shared" si="7"/>
        <v>0.98</v>
      </c>
      <c r="E49" s="72">
        <f t="shared" si="8"/>
        <v>0.02</v>
      </c>
      <c r="F49" s="93">
        <f t="shared" si="9"/>
        <v>3377783553.787477</v>
      </c>
      <c r="G49" s="73">
        <f t="shared" si="10"/>
        <v>12.077739999999999</v>
      </c>
      <c r="H49" s="73">
        <f t="shared" si="11"/>
        <v>591.80925999999988</v>
      </c>
      <c r="I49" s="73">
        <f t="shared" si="12"/>
        <v>0.97092600134012308</v>
      </c>
      <c r="J49" s="73">
        <f t="shared" si="13"/>
        <v>1.7931462276836282E-10</v>
      </c>
      <c r="K49" s="72">
        <f t="shared" si="14"/>
        <v>5.9144446106831081</v>
      </c>
      <c r="L49" s="75">
        <f t="shared" si="15"/>
        <v>603.88699982121796</v>
      </c>
      <c r="M49" s="72">
        <f t="shared" si="16"/>
        <v>1.7878202975560264E-7</v>
      </c>
    </row>
    <row r="50" spans="2:13" x14ac:dyDescent="0.3">
      <c r="B50" s="83" t="s">
        <v>12</v>
      </c>
      <c r="C50" s="79">
        <f t="shared" si="7"/>
        <v>2.5904000000000003</v>
      </c>
      <c r="D50" s="83">
        <f t="shared" si="7"/>
        <v>0.9</v>
      </c>
      <c r="E50" s="83">
        <f t="shared" si="8"/>
        <v>0.1</v>
      </c>
      <c r="F50" s="94">
        <f t="shared" si="9"/>
        <v>15.050666737927912</v>
      </c>
      <c r="G50" s="95">
        <f t="shared" si="10"/>
        <v>0.25904000000000005</v>
      </c>
      <c r="H50" s="95">
        <f t="shared" si="11"/>
        <v>2.3313600000000001</v>
      </c>
      <c r="I50" s="95">
        <f t="shared" si="12"/>
        <v>3.905349845099099E-3</v>
      </c>
      <c r="J50" s="95">
        <f t="shared" si="13"/>
        <v>1.6186971317301929E-4</v>
      </c>
      <c r="K50" s="83">
        <f t="shared" si="14"/>
        <v>1.5903473970465378</v>
      </c>
      <c r="L50" s="87">
        <f t="shared" si="15"/>
        <v>2.4290110656774866</v>
      </c>
      <c r="M50" s="83">
        <f t="shared" si="16"/>
        <v>0.16138893432251353</v>
      </c>
    </row>
    <row r="51" spans="2:13" x14ac:dyDescent="0.3">
      <c r="B51" s="81" t="s">
        <v>13</v>
      </c>
      <c r="C51" s="79">
        <f t="shared" si="7"/>
        <v>587.697</v>
      </c>
      <c r="D51" s="81">
        <f t="shared" si="7"/>
        <v>0.01</v>
      </c>
      <c r="E51" s="81">
        <f t="shared" si="8"/>
        <v>0.99</v>
      </c>
      <c r="F51" s="96">
        <f t="shared" si="9"/>
        <v>1.6891881860749611E-2</v>
      </c>
      <c r="G51" s="97">
        <f t="shared" si="10"/>
        <v>581.82002999999997</v>
      </c>
      <c r="H51" s="97">
        <f t="shared" si="11"/>
        <v>5.87697</v>
      </c>
      <c r="I51" s="97">
        <f t="shared" si="12"/>
        <v>1.5695934586660142E-2</v>
      </c>
      <c r="J51" s="97">
        <f t="shared" si="13"/>
        <v>0.57965626857931085</v>
      </c>
      <c r="K51" s="81">
        <f t="shared" si="14"/>
        <v>1</v>
      </c>
      <c r="L51" s="86">
        <f t="shared" si="15"/>
        <v>9.7624029368308811</v>
      </c>
      <c r="M51" s="81">
        <f t="shared" si="16"/>
        <v>577.93459706316912</v>
      </c>
    </row>
    <row r="52" spans="2:13" x14ac:dyDescent="0.3">
      <c r="B52" s="72" t="s">
        <v>17</v>
      </c>
      <c r="C52" s="79">
        <f t="shared" si="7"/>
        <v>2.5904000000000003</v>
      </c>
      <c r="D52" s="72">
        <f t="shared" si="7"/>
        <v>0</v>
      </c>
      <c r="E52" s="72">
        <f t="shared" si="8"/>
        <v>1</v>
      </c>
      <c r="F52" s="93">
        <f t="shared" si="9"/>
        <v>2.5066962531134048E-2</v>
      </c>
      <c r="G52" s="73">
        <f t="shared" si="10"/>
        <v>2.5904000000000003</v>
      </c>
      <c r="H52" s="73">
        <f t="shared" si="11"/>
        <v>0</v>
      </c>
      <c r="I52" s="73">
        <f t="shared" si="12"/>
        <v>1.0184665219118661E-4</v>
      </c>
      <c r="J52" s="73">
        <f t="shared" si="13"/>
        <v>2.5345825356508848E-3</v>
      </c>
      <c r="K52" s="72">
        <f t="shared" si="14"/>
        <v>1.0273280103671221</v>
      </c>
      <c r="L52" s="75">
        <f t="shared" si="15"/>
        <v>6.3345578497928656E-2</v>
      </c>
      <c r="M52" s="72">
        <f t="shared" si="16"/>
        <v>2.5270544215020716</v>
      </c>
    </row>
    <row r="53" spans="2:13" x14ac:dyDescent="0.3">
      <c r="B53" s="80" t="s">
        <v>18</v>
      </c>
      <c r="C53" s="79">
        <f t="shared" si="7"/>
        <v>415.43540000000002</v>
      </c>
      <c r="D53" s="85">
        <f t="shared" si="7"/>
        <v>0</v>
      </c>
      <c r="E53" s="72">
        <f t="shared" si="8"/>
        <v>1</v>
      </c>
      <c r="F53" s="93">
        <f t="shared" si="9"/>
        <v>4.3291307989644181E-21</v>
      </c>
      <c r="G53" s="73">
        <f t="shared" si="10"/>
        <v>415.43540000000002</v>
      </c>
      <c r="H53" s="73">
        <f t="shared" si="11"/>
        <v>0</v>
      </c>
      <c r="I53" s="105">
        <f t="shared" si="12"/>
        <v>0</v>
      </c>
      <c r="J53" s="105">
        <f t="shared" si="13"/>
        <v>0.41667298518457196</v>
      </c>
      <c r="K53" s="72">
        <f t="shared" si="14"/>
        <v>5.371789475525706E-2</v>
      </c>
      <c r="L53" s="106">
        <f t="shared" si="15"/>
        <v>0</v>
      </c>
      <c r="M53" s="85">
        <f t="shared" si="16"/>
        <v>415.43540000000002</v>
      </c>
    </row>
    <row r="54" spans="2:13" x14ac:dyDescent="0.3">
      <c r="B54" s="80" t="s">
        <v>19</v>
      </c>
      <c r="C54" s="79">
        <f t="shared" si="7"/>
        <v>0.97139999999999993</v>
      </c>
      <c r="D54" s="85">
        <f t="shared" si="7"/>
        <v>0</v>
      </c>
      <c r="E54" s="72">
        <f t="shared" si="8"/>
        <v>1</v>
      </c>
      <c r="F54" s="93">
        <f t="shared" si="9"/>
        <v>1.3625451868615013E-26</v>
      </c>
      <c r="G54" s="73">
        <f t="shared" si="10"/>
        <v>0.97139999999999993</v>
      </c>
      <c r="H54" s="73">
        <f t="shared" si="11"/>
        <v>0</v>
      </c>
      <c r="I54" s="105">
        <f t="shared" si="12"/>
        <v>0</v>
      </c>
      <c r="J54" s="105">
        <f t="shared" si="13"/>
        <v>9.7429380791404186E-4</v>
      </c>
      <c r="K54" s="72">
        <f t="shared" si="14"/>
        <v>2.2609988574154027E-2</v>
      </c>
      <c r="L54" s="106">
        <f t="shared" si="15"/>
        <v>0</v>
      </c>
      <c r="M54" s="85">
        <f t="shared" si="16"/>
        <v>0.97139999999999993</v>
      </c>
    </row>
    <row r="55" spans="2:13" x14ac:dyDescent="0.3">
      <c r="B55" s="72" t="s">
        <v>14</v>
      </c>
      <c r="C55" s="79">
        <f t="shared" si="7"/>
        <v>0</v>
      </c>
      <c r="D55" s="72">
        <f t="shared" si="7"/>
        <v>0</v>
      </c>
      <c r="E55" s="72">
        <f t="shared" si="8"/>
        <v>1</v>
      </c>
      <c r="F55" s="93">
        <f t="shared" si="9"/>
        <v>0</v>
      </c>
      <c r="G55" s="73">
        <f t="shared" si="10"/>
        <v>0</v>
      </c>
      <c r="H55" s="73">
        <f t="shared" si="11"/>
        <v>0</v>
      </c>
      <c r="I55" s="73">
        <f t="shared" si="12"/>
        <v>0</v>
      </c>
      <c r="J55" s="73">
        <f t="shared" si="13"/>
        <v>0</v>
      </c>
      <c r="K55" s="72">
        <f t="shared" si="14"/>
        <v>0</v>
      </c>
      <c r="L55" s="75">
        <f t="shared" si="15"/>
        <v>0</v>
      </c>
      <c r="M55" s="72">
        <f t="shared" si="16"/>
        <v>0</v>
      </c>
    </row>
    <row r="56" spans="2:13" x14ac:dyDescent="0.3">
      <c r="B56" s="72" t="s">
        <v>15</v>
      </c>
      <c r="C56" s="79">
        <f t="shared" si="7"/>
        <v>0</v>
      </c>
      <c r="D56" s="72">
        <f t="shared" si="7"/>
        <v>0</v>
      </c>
      <c r="E56" s="72">
        <f t="shared" si="8"/>
        <v>1</v>
      </c>
      <c r="F56" s="93">
        <f t="shared" si="9"/>
        <v>90932981942.342697</v>
      </c>
      <c r="G56" s="73">
        <f t="shared" si="10"/>
        <v>0</v>
      </c>
      <c r="H56" s="73">
        <f t="shared" si="11"/>
        <v>0</v>
      </c>
      <c r="I56" s="73">
        <f t="shared" si="12"/>
        <v>0</v>
      </c>
      <c r="J56" s="73">
        <f t="shared" si="13"/>
        <v>0</v>
      </c>
      <c r="K56" s="72">
        <f t="shared" si="14"/>
        <v>7.4062187270812405</v>
      </c>
      <c r="L56" s="75">
        <f t="shared" si="15"/>
        <v>0</v>
      </c>
      <c r="M56" s="72">
        <f t="shared" si="16"/>
        <v>0</v>
      </c>
    </row>
    <row r="57" spans="2:13" x14ac:dyDescent="0.3">
      <c r="B57" s="76" t="s">
        <v>16</v>
      </c>
      <c r="C57" s="79">
        <f t="shared" si="7"/>
        <v>0</v>
      </c>
      <c r="D57" s="72">
        <f t="shared" si="7"/>
        <v>0</v>
      </c>
      <c r="E57" s="72">
        <f t="shared" si="8"/>
        <v>1</v>
      </c>
      <c r="F57" s="93">
        <f t="shared" si="9"/>
        <v>9.432346982051069E-11</v>
      </c>
      <c r="G57" s="73">
        <f t="shared" si="10"/>
        <v>0</v>
      </c>
      <c r="H57" s="73">
        <f t="shared" si="11"/>
        <v>0</v>
      </c>
      <c r="I57" s="73">
        <f t="shared" si="12"/>
        <v>0</v>
      </c>
      <c r="J57" s="73">
        <f t="shared" si="13"/>
        <v>0</v>
      </c>
      <c r="K57" s="72">
        <f t="shared" si="14"/>
        <v>0.27306947800389503</v>
      </c>
      <c r="L57" s="75">
        <f t="shared" si="15"/>
        <v>0</v>
      </c>
      <c r="M57" s="72">
        <f t="shared" si="16"/>
        <v>0</v>
      </c>
    </row>
    <row r="58" spans="2:13" x14ac:dyDescent="0.3">
      <c r="B58" s="77" t="s">
        <v>111</v>
      </c>
      <c r="C58" s="18">
        <f>SUM(C47:C57)</f>
        <v>1619</v>
      </c>
      <c r="F58" s="21"/>
      <c r="G58" s="30">
        <f>SUM(G47:G57)</f>
        <v>1013.1540100000001</v>
      </c>
      <c r="H58" s="30">
        <f>SUM(H47:H57)</f>
        <v>605.84598999999992</v>
      </c>
      <c r="I58" s="30">
        <f>SUM(I47:I57)</f>
        <v>1</v>
      </c>
      <c r="J58" s="30">
        <f>SUM(J47:J57)</f>
        <v>1</v>
      </c>
      <c r="K58" s="21"/>
      <c r="L58" s="13">
        <f>SUM(L47:L57)</f>
        <v>621.97015940215977</v>
      </c>
      <c r="M58" s="13">
        <f>SUM(M47:M57)</f>
        <v>997.02984059784023</v>
      </c>
    </row>
    <row r="60" spans="2:13" ht="16.2" thickBot="1" x14ac:dyDescent="0.35"/>
    <row r="61" spans="2:13" ht="16.2" thickBot="1" x14ac:dyDescent="0.35">
      <c r="B61" s="35">
        <v>5</v>
      </c>
      <c r="C61" s="173" t="s">
        <v>67</v>
      </c>
      <c r="D61" s="174"/>
      <c r="E61" s="175"/>
    </row>
    <row r="62" spans="2:13" x14ac:dyDescent="0.3">
      <c r="B62" s="24" t="s">
        <v>68</v>
      </c>
      <c r="C62" s="101">
        <v>2202.6280000000002</v>
      </c>
      <c r="D62" s="1" t="s">
        <v>35</v>
      </c>
    </row>
    <row r="63" spans="2:13" x14ac:dyDescent="0.3">
      <c r="B63" s="1" t="s">
        <v>69</v>
      </c>
      <c r="C63" s="101">
        <v>1619</v>
      </c>
      <c r="D63" s="1" t="s">
        <v>35</v>
      </c>
    </row>
    <row r="64" spans="2:13" x14ac:dyDescent="0.3">
      <c r="B64" s="1" t="s">
        <v>113</v>
      </c>
      <c r="C64" s="116">
        <f>C62/C63</f>
        <v>1.3604867201976529</v>
      </c>
    </row>
    <row r="65" spans="2:6" x14ac:dyDescent="0.3">
      <c r="B65" s="1" t="s">
        <v>114</v>
      </c>
      <c r="C65" s="117">
        <f>1-C64-E77</f>
        <v>-2.2314645686805079E-9</v>
      </c>
    </row>
    <row r="66" spans="2:6" x14ac:dyDescent="0.3">
      <c r="B66" s="1" t="s">
        <v>70</v>
      </c>
      <c r="C66" s="13">
        <v>1.4234869492967237</v>
      </c>
      <c r="D66" s="25" t="s">
        <v>121</v>
      </c>
    </row>
    <row r="68" spans="2:6" ht="31.2" x14ac:dyDescent="0.3">
      <c r="B68" s="72" t="s">
        <v>61</v>
      </c>
      <c r="C68" s="2" t="s">
        <v>115</v>
      </c>
      <c r="D68" s="2" t="s">
        <v>71</v>
      </c>
      <c r="E68" s="3" t="s">
        <v>72</v>
      </c>
      <c r="F68" s="3" t="s">
        <v>73</v>
      </c>
    </row>
    <row r="69" spans="2:6" x14ac:dyDescent="0.3">
      <c r="B69" s="72" t="s">
        <v>9</v>
      </c>
      <c r="C69" s="1">
        <f>K47</f>
        <v>10.468457917804891</v>
      </c>
      <c r="D69" s="1">
        <f>D6</f>
        <v>5.0000000000000001E-4</v>
      </c>
      <c r="E69" s="30">
        <f t="shared" ref="E69:E76" si="17">C69*D69/(C69-$C$66)</f>
        <v>5.7868941504914009E-4</v>
      </c>
      <c r="F69" s="30">
        <f>C69*I47/(C69-$C$66)</f>
        <v>1.5063394100209616E-3</v>
      </c>
    </row>
    <row r="70" spans="2:6" x14ac:dyDescent="0.3">
      <c r="B70" s="72" t="s">
        <v>11</v>
      </c>
      <c r="C70" s="1">
        <f t="shared" ref="C70:C76" si="18">K48</f>
        <v>7.3285213649524188</v>
      </c>
      <c r="D70" s="1">
        <f t="shared" ref="D70:D76" si="19">D7</f>
        <v>3.0999999999999999E-3</v>
      </c>
      <c r="E70" s="30">
        <f t="shared" si="17"/>
        <v>3.8472961598869605E-3</v>
      </c>
      <c r="F70" s="30">
        <f t="shared" ref="F70:F76" si="20">C70*I48/(C70-$C$66)</f>
        <v>1.0014584122113149E-2</v>
      </c>
    </row>
    <row r="71" spans="2:6" x14ac:dyDescent="0.3">
      <c r="B71" s="72" t="s">
        <v>10</v>
      </c>
      <c r="C71" s="1">
        <f t="shared" si="18"/>
        <v>5.9144446106831081</v>
      </c>
      <c r="D71" s="1">
        <f t="shared" si="19"/>
        <v>0.373</v>
      </c>
      <c r="E71" s="30">
        <f t="shared" si="17"/>
        <v>0.49122882158362791</v>
      </c>
      <c r="F71" s="30">
        <f t="shared" si="20"/>
        <v>1.2786778431185324</v>
      </c>
    </row>
    <row r="72" spans="2:6" x14ac:dyDescent="0.3">
      <c r="B72" s="83" t="s">
        <v>12</v>
      </c>
      <c r="C72" s="15">
        <f t="shared" si="18"/>
        <v>1.5903473970465378</v>
      </c>
      <c r="D72" s="15">
        <f t="shared" si="19"/>
        <v>1.6000000000000001E-3</v>
      </c>
      <c r="E72" s="16">
        <f t="shared" si="17"/>
        <v>1.5249604502378517E-2</v>
      </c>
      <c r="F72" s="16">
        <f t="shared" si="20"/>
        <v>3.7221900363241536E-2</v>
      </c>
    </row>
    <row r="73" spans="2:6" x14ac:dyDescent="0.3">
      <c r="B73" s="81" t="s">
        <v>13</v>
      </c>
      <c r="C73" s="17">
        <f t="shared" si="18"/>
        <v>1</v>
      </c>
      <c r="D73" s="17">
        <f t="shared" si="19"/>
        <v>0.36299999999999999</v>
      </c>
      <c r="E73" s="100">
        <f t="shared" si="17"/>
        <v>-0.8571692719287497</v>
      </c>
      <c r="F73" s="100">
        <f t="shared" si="20"/>
        <v>-3.7063561492806485E-2</v>
      </c>
    </row>
    <row r="74" spans="2:6" x14ac:dyDescent="0.3">
      <c r="B74" s="72" t="s">
        <v>17</v>
      </c>
      <c r="C74" s="1">
        <f t="shared" si="18"/>
        <v>1.0273280103671221</v>
      </c>
      <c r="D74" s="1">
        <f t="shared" si="19"/>
        <v>1.6000000000000001E-3</v>
      </c>
      <c r="E74" s="30">
        <f t="shared" si="17"/>
        <v>-4.1491549352102065E-3</v>
      </c>
      <c r="F74" s="30">
        <f t="shared" si="20"/>
        <v>-2.6411096223356205E-4</v>
      </c>
    </row>
    <row r="75" spans="2:6" x14ac:dyDescent="0.3">
      <c r="B75" s="80" t="s">
        <v>18</v>
      </c>
      <c r="C75" s="1">
        <f t="shared" si="18"/>
        <v>5.371789475525706E-2</v>
      </c>
      <c r="D75" s="1">
        <f t="shared" si="19"/>
        <v>0.25659999999999999</v>
      </c>
      <c r="E75" s="30">
        <f t="shared" si="17"/>
        <v>-1.0063018834086005E-2</v>
      </c>
      <c r="F75" s="30">
        <f t="shared" si="20"/>
        <v>0</v>
      </c>
    </row>
    <row r="76" spans="2:6" x14ac:dyDescent="0.3">
      <c r="B76" s="80" t="s">
        <v>19</v>
      </c>
      <c r="C76" s="1">
        <f t="shared" si="18"/>
        <v>2.2609988574154027E-2</v>
      </c>
      <c r="D76" s="1">
        <f t="shared" si="19"/>
        <v>5.9999999999999995E-4</v>
      </c>
      <c r="E76" s="30">
        <f t="shared" si="17"/>
        <v>-9.6839290850319231E-6</v>
      </c>
      <c r="F76" s="30">
        <f t="shared" si="20"/>
        <v>0</v>
      </c>
    </row>
    <row r="77" spans="2:6" x14ac:dyDescent="0.3">
      <c r="D77" s="1" t="s">
        <v>21</v>
      </c>
      <c r="E77" s="98">
        <f>SUM(E69:E76)</f>
        <v>-0.36048671796618836</v>
      </c>
      <c r="F77" s="1">
        <f>SUM(F69:F76)</f>
        <v>1.2900929945588677</v>
      </c>
    </row>
    <row r="79" spans="2:6" ht="16.2" thickBot="1" x14ac:dyDescent="0.35"/>
    <row r="80" spans="2:6" ht="16.2" thickBot="1" x14ac:dyDescent="0.35">
      <c r="B80" s="118">
        <v>6</v>
      </c>
      <c r="C80" s="99" t="s">
        <v>74</v>
      </c>
      <c r="D80" s="23">
        <f>F77-1</f>
        <v>0.29009299455886772</v>
      </c>
    </row>
    <row r="81" spans="2:7" x14ac:dyDescent="0.3">
      <c r="B81" s="20" t="s">
        <v>75</v>
      </c>
      <c r="C81" s="102">
        <v>1.4</v>
      </c>
    </row>
    <row r="82" spans="2:7" x14ac:dyDescent="0.3">
      <c r="B82" s="22" t="s">
        <v>116</v>
      </c>
      <c r="C82" s="23">
        <f>C81*D80</f>
        <v>0.40613019238241477</v>
      </c>
      <c r="E82" s="119" t="s">
        <v>126</v>
      </c>
    </row>
    <row r="84" spans="2:7" ht="16.2" thickBot="1" x14ac:dyDescent="0.35"/>
    <row r="85" spans="2:7" ht="16.2" thickBot="1" x14ac:dyDescent="0.35">
      <c r="B85" s="35">
        <v>7</v>
      </c>
      <c r="C85" s="159" t="s">
        <v>117</v>
      </c>
      <c r="D85" s="176"/>
      <c r="E85" s="176"/>
      <c r="F85" s="177"/>
    </row>
    <row r="86" spans="2:7" x14ac:dyDescent="0.3">
      <c r="B86" s="20" t="s">
        <v>118</v>
      </c>
      <c r="C86" s="30">
        <f>(C87-D38)/(C87+1)</f>
        <v>0.56725694812377059</v>
      </c>
      <c r="D86" s="30" t="s">
        <v>119</v>
      </c>
      <c r="E86" s="30">
        <f>0.75*( 1 - ( (C82-D80)/(C82+1) )^(0.566) )</f>
        <v>0.567256960110057</v>
      </c>
      <c r="F86" s="30" t="s">
        <v>120</v>
      </c>
      <c r="G86" s="30">
        <f>C86-E86</f>
        <v>-1.1986286407861257E-8</v>
      </c>
    </row>
    <row r="87" spans="2:7" x14ac:dyDescent="0.3">
      <c r="B87" s="22" t="s">
        <v>76</v>
      </c>
      <c r="C87" s="124">
        <v>35.141938244729474</v>
      </c>
      <c r="D87" s="189" t="s">
        <v>77</v>
      </c>
      <c r="E87" s="21"/>
      <c r="F87" s="21"/>
      <c r="G87" s="21"/>
    </row>
    <row r="89" spans="2:7" ht="16.2" thickBot="1" x14ac:dyDescent="0.35"/>
    <row r="90" spans="2:7" ht="16.2" thickBot="1" x14ac:dyDescent="0.35">
      <c r="B90" s="122">
        <v>8</v>
      </c>
      <c r="C90" s="159" t="s">
        <v>122</v>
      </c>
      <c r="D90" s="176"/>
    </row>
    <row r="91" spans="2:7" x14ac:dyDescent="0.3">
      <c r="B91" s="20" t="s">
        <v>78</v>
      </c>
      <c r="C91" s="13">
        <f>EXP(0.206*LN( (I17/H17)*(D10/D9)*(K9/J10)^2 ) )</f>
        <v>0.75981073691728784</v>
      </c>
    </row>
    <row r="92" spans="2:7" x14ac:dyDescent="0.3">
      <c r="B92" s="30" t="s">
        <v>79</v>
      </c>
      <c r="C92" s="13">
        <f>C87/(C91+1)</f>
        <v>19.969157766527005</v>
      </c>
    </row>
    <row r="93" spans="2:7" x14ac:dyDescent="0.3">
      <c r="B93" s="30" t="s">
        <v>80</v>
      </c>
      <c r="C93" s="13">
        <f>C92*C91</f>
        <v>15.172780478202466</v>
      </c>
    </row>
    <row r="94" spans="2:7" x14ac:dyDescent="0.3">
      <c r="B94" s="22" t="s">
        <v>81</v>
      </c>
      <c r="C94" s="124">
        <f>ROUNDUP(C93,0)</f>
        <v>16</v>
      </c>
    </row>
    <row r="96" spans="2:7" ht="16.2" thickBot="1" x14ac:dyDescent="0.35"/>
    <row r="97" spans="2:13" ht="16.2" thickBot="1" x14ac:dyDescent="0.35">
      <c r="B97" s="35">
        <v>9</v>
      </c>
      <c r="C97" s="159" t="s">
        <v>82</v>
      </c>
      <c r="D97" s="176"/>
      <c r="E97" s="176"/>
      <c r="F97" s="176"/>
    </row>
    <row r="98" spans="2:13" x14ac:dyDescent="0.3">
      <c r="B98" s="138" t="s">
        <v>132</v>
      </c>
      <c r="C98" s="137">
        <v>1.4999999999999999E-2</v>
      </c>
      <c r="D98" t="s">
        <v>131</v>
      </c>
      <c r="E98" s="188" t="s">
        <v>161</v>
      </c>
    </row>
    <row r="99" spans="2:13" x14ac:dyDescent="0.3">
      <c r="B99" s="102" t="s">
        <v>133</v>
      </c>
      <c r="C99" s="137">
        <v>0.1</v>
      </c>
      <c r="D99" t="s">
        <v>157</v>
      </c>
      <c r="E99" s="188" t="s">
        <v>161</v>
      </c>
    </row>
    <row r="100" spans="2:13" x14ac:dyDescent="0.3">
      <c r="B100" s="102" t="s">
        <v>123</v>
      </c>
      <c r="C100" s="137">
        <v>0.2</v>
      </c>
      <c r="D100" t="s">
        <v>157</v>
      </c>
      <c r="E100" s="188" t="s">
        <v>161</v>
      </c>
    </row>
    <row r="101" spans="2:13" x14ac:dyDescent="0.3">
      <c r="B101" s="102" t="s">
        <v>134</v>
      </c>
      <c r="C101" s="137">
        <v>3</v>
      </c>
      <c r="E101" s="188" t="s">
        <v>161</v>
      </c>
      <c r="K101" s="136" t="s">
        <v>132</v>
      </c>
      <c r="L101" s="120">
        <v>1.2699999999999999E-2</v>
      </c>
      <c r="M101" t="s">
        <v>131</v>
      </c>
    </row>
    <row r="102" spans="2:13" x14ac:dyDescent="0.3">
      <c r="B102" s="102" t="s">
        <v>135</v>
      </c>
      <c r="C102" s="102">
        <v>0.76</v>
      </c>
      <c r="D102" t="s">
        <v>131</v>
      </c>
      <c r="E102" s="188" t="s">
        <v>161</v>
      </c>
      <c r="K102" s="120" t="s">
        <v>124</v>
      </c>
      <c r="L102" s="120">
        <v>7.806</v>
      </c>
      <c r="M102" t="s">
        <v>157</v>
      </c>
    </row>
    <row r="103" spans="2:13" x14ac:dyDescent="0.3">
      <c r="B103" s="102" t="s">
        <v>136</v>
      </c>
      <c r="C103" s="137">
        <v>0.05</v>
      </c>
      <c r="D103" t="s">
        <v>131</v>
      </c>
      <c r="E103" s="188" t="s">
        <v>161</v>
      </c>
      <c r="K103" s="120" t="s">
        <v>135</v>
      </c>
      <c r="L103" s="120">
        <v>0.60960000000000003</v>
      </c>
      <c r="M103" t="s">
        <v>131</v>
      </c>
    </row>
    <row r="104" spans="2:13" x14ac:dyDescent="0.3">
      <c r="B104" s="101" t="s">
        <v>145</v>
      </c>
      <c r="C104" s="92">
        <f>AVERAGE(B146:B178)</f>
        <v>1.3552038319959008E-2</v>
      </c>
      <c r="D104" t="s">
        <v>84</v>
      </c>
      <c r="K104" s="120" t="s">
        <v>136</v>
      </c>
      <c r="L104" s="120">
        <v>50.8</v>
      </c>
      <c r="M104" t="s">
        <v>154</v>
      </c>
    </row>
    <row r="105" spans="2:13" x14ac:dyDescent="0.3">
      <c r="B105" s="139" t="s">
        <v>146</v>
      </c>
      <c r="C105" s="13">
        <f>F29/F30</f>
        <v>1.5903473970465378</v>
      </c>
      <c r="E105" t="s">
        <v>164</v>
      </c>
    </row>
    <row r="106" spans="2:13" x14ac:dyDescent="0.3">
      <c r="B106" s="139" t="s">
        <v>147</v>
      </c>
      <c r="C106" s="14">
        <f>C104*C105</f>
        <v>2.1552448866821745E-2</v>
      </c>
    </row>
    <row r="107" spans="2:13" x14ac:dyDescent="0.3">
      <c r="B107" s="98" t="s">
        <v>148</v>
      </c>
      <c r="C107" s="135">
        <v>0.8</v>
      </c>
      <c r="E107" t="s">
        <v>160</v>
      </c>
    </row>
    <row r="108" spans="2:13" x14ac:dyDescent="0.3">
      <c r="B108" s="98" t="s">
        <v>149</v>
      </c>
      <c r="C108" s="121">
        <f>ROUNDUP(C87/C107,0)</f>
        <v>44</v>
      </c>
    </row>
    <row r="109" spans="2:13" x14ac:dyDescent="0.3">
      <c r="B109" s="98" t="s">
        <v>155</v>
      </c>
      <c r="C109" s="121" t="s">
        <v>156</v>
      </c>
    </row>
    <row r="111" spans="2:13" ht="16.2" thickBot="1" x14ac:dyDescent="0.35"/>
    <row r="112" spans="2:13" ht="16.2" thickBot="1" x14ac:dyDescent="0.35">
      <c r="B112" s="35">
        <v>10</v>
      </c>
      <c r="C112" s="178" t="s">
        <v>85</v>
      </c>
      <c r="D112" s="159"/>
    </row>
    <row r="113" spans="2:5" x14ac:dyDescent="0.3">
      <c r="B113" s="180" t="s">
        <v>86</v>
      </c>
      <c r="C113" s="145">
        <f>AVERAGE(D146:D178)</f>
        <v>744056.75452989119</v>
      </c>
      <c r="D113" t="s">
        <v>87</v>
      </c>
    </row>
    <row r="114" spans="2:5" x14ac:dyDescent="0.3">
      <c r="B114" s="161"/>
      <c r="C114" s="127">
        <f>C113/35.5/3600</f>
        <v>5.8220403327847512</v>
      </c>
      <c r="D114" t="s">
        <v>127</v>
      </c>
    </row>
    <row r="115" spans="2:5" x14ac:dyDescent="0.3">
      <c r="B115" s="160" t="s">
        <v>88</v>
      </c>
      <c r="C115" s="146">
        <f>AVERAGE(C146:C178)</f>
        <v>828035.64440209093</v>
      </c>
      <c r="D115" t="s">
        <v>87</v>
      </c>
    </row>
    <row r="116" spans="2:5" x14ac:dyDescent="0.3">
      <c r="B116" s="161"/>
      <c r="C116" s="127">
        <f>C115/35.5/3600</f>
        <v>6.479152147121213</v>
      </c>
      <c r="D116" t="s">
        <v>127</v>
      </c>
    </row>
    <row r="117" spans="2:5" x14ac:dyDescent="0.3">
      <c r="B117" s="160" t="s">
        <v>89</v>
      </c>
      <c r="C117" s="147">
        <f>AVERAGE(F146:F178)</f>
        <v>3.1543111472945506</v>
      </c>
      <c r="D117" t="s">
        <v>91</v>
      </c>
    </row>
    <row r="118" spans="2:5" x14ac:dyDescent="0.3">
      <c r="B118" s="161"/>
      <c r="C118" s="13">
        <f>C117/35.5</f>
        <v>8.8853835135057763E-2</v>
      </c>
      <c r="D118" t="s">
        <v>128</v>
      </c>
    </row>
    <row r="119" spans="2:5" x14ac:dyDescent="0.3">
      <c r="B119" s="160" t="s">
        <v>90</v>
      </c>
      <c r="C119" s="143">
        <f>AVERAGE(E146:E178)</f>
        <v>54.145976450662324</v>
      </c>
      <c r="D119" t="s">
        <v>91</v>
      </c>
    </row>
    <row r="120" spans="2:5" x14ac:dyDescent="0.3">
      <c r="B120" s="161"/>
      <c r="C120" s="13">
        <f>C119/35.5</f>
        <v>1.5252387732580936</v>
      </c>
      <c r="D120" t="s">
        <v>128</v>
      </c>
    </row>
    <row r="121" spans="2:5" x14ac:dyDescent="0.3">
      <c r="B121" s="187" t="s">
        <v>92</v>
      </c>
      <c r="C121" s="134">
        <v>0.25</v>
      </c>
      <c r="D121" t="s">
        <v>150</v>
      </c>
      <c r="E121" t="s">
        <v>151</v>
      </c>
    </row>
    <row r="122" spans="2:5" x14ac:dyDescent="0.3">
      <c r="B122" s="128" t="s">
        <v>93</v>
      </c>
      <c r="C122" s="144">
        <f>AVERAGE(G146:G178)</f>
        <v>9.9331059649231328</v>
      </c>
      <c r="D122" t="s">
        <v>94</v>
      </c>
    </row>
    <row r="123" spans="2:5" x14ac:dyDescent="0.3">
      <c r="B123" s="33" t="s">
        <v>95</v>
      </c>
      <c r="C123" s="127">
        <f>(C122/20)^0.2</f>
        <v>0.86938274149059613</v>
      </c>
    </row>
    <row r="124" spans="2:5" x14ac:dyDescent="0.3">
      <c r="B124" s="130" t="s">
        <v>96</v>
      </c>
      <c r="C124" s="134">
        <v>1</v>
      </c>
      <c r="D124" t="s">
        <v>162</v>
      </c>
    </row>
    <row r="125" spans="2:5" x14ac:dyDescent="0.3">
      <c r="B125" s="130" t="s">
        <v>97</v>
      </c>
      <c r="C125" s="134">
        <v>1</v>
      </c>
      <c r="D125" t="s">
        <v>163</v>
      </c>
    </row>
    <row r="126" spans="2:5" x14ac:dyDescent="0.3">
      <c r="B126" s="129" t="s">
        <v>98</v>
      </c>
      <c r="C126" s="116">
        <f>C121*C123*C124*C125</f>
        <v>0.21734568537264903</v>
      </c>
      <c r="D126" t="s">
        <v>150</v>
      </c>
    </row>
    <row r="127" spans="2:5" x14ac:dyDescent="0.3">
      <c r="B127" s="129" t="s">
        <v>125</v>
      </c>
      <c r="C127" s="13">
        <f>C126*SQRT( (C119-C117)/C117)</f>
        <v>0.87387306931466513</v>
      </c>
      <c r="D127" t="s">
        <v>150</v>
      </c>
    </row>
    <row r="128" spans="2:5" x14ac:dyDescent="0.3">
      <c r="B128" s="129" t="s">
        <v>99</v>
      </c>
      <c r="C128" s="13">
        <f>C115/C113*SQRT(C117/C119)</f>
        <v>0.26860379170715126</v>
      </c>
    </row>
    <row r="129" spans="2:7" x14ac:dyDescent="0.3">
      <c r="B129" s="102" t="s">
        <v>100</v>
      </c>
      <c r="C129" s="135">
        <v>0.8</v>
      </c>
      <c r="E129" s="140" t="s">
        <v>165</v>
      </c>
      <c r="F129" t="s">
        <v>166</v>
      </c>
    </row>
    <row r="130" spans="2:7" ht="16.2" thickBot="1" x14ac:dyDescent="0.35">
      <c r="B130" s="133" t="s">
        <v>152</v>
      </c>
      <c r="C130" s="131">
        <v>0.1</v>
      </c>
      <c r="D130" t="s">
        <v>151</v>
      </c>
    </row>
    <row r="131" spans="2:7" ht="16.2" thickBot="1" x14ac:dyDescent="0.35">
      <c r="B131" s="206" t="s">
        <v>101</v>
      </c>
      <c r="C131" s="198">
        <f>( 4*C114/ (C129*C127*PI()*(1-C130)*C118) )^(1/2)</f>
        <v>11.515005488612294</v>
      </c>
      <c r="D131" t="s">
        <v>83</v>
      </c>
      <c r="F131" t="s">
        <v>168</v>
      </c>
    </row>
    <row r="132" spans="2:7" ht="16.2" thickBot="1" x14ac:dyDescent="0.35"/>
    <row r="133" spans="2:7" ht="16.2" thickBot="1" x14ac:dyDescent="0.35">
      <c r="B133" s="149">
        <v>11</v>
      </c>
      <c r="C133" s="179" t="s">
        <v>102</v>
      </c>
      <c r="D133" s="159"/>
    </row>
    <row r="134" spans="2:7" ht="16.2" thickBot="1" x14ac:dyDescent="0.35">
      <c r="B134" s="197" t="s">
        <v>103</v>
      </c>
      <c r="C134" s="198">
        <f>CONVERT(C135,"m","ft")</f>
        <v>107.21784776902886</v>
      </c>
      <c r="D134" t="s">
        <v>83</v>
      </c>
      <c r="F134" t="s">
        <v>167</v>
      </c>
    </row>
    <row r="135" spans="2:7" ht="16.2" thickBot="1" x14ac:dyDescent="0.35">
      <c r="B135" s="199"/>
      <c r="C135" s="200">
        <f>C102*(C108-1)</f>
        <v>32.68</v>
      </c>
      <c r="D135" t="s">
        <v>131</v>
      </c>
    </row>
    <row r="137" spans="2:7" x14ac:dyDescent="0.3">
      <c r="B137" s="129" t="s">
        <v>129</v>
      </c>
      <c r="C137" s="135">
        <v>4</v>
      </c>
      <c r="D137" t="s">
        <v>83</v>
      </c>
    </row>
    <row r="138" spans="2:7" x14ac:dyDescent="0.3">
      <c r="B138" s="129" t="s">
        <v>130</v>
      </c>
      <c r="C138" s="135">
        <v>10</v>
      </c>
      <c r="D138" t="s">
        <v>83</v>
      </c>
    </row>
    <row r="139" spans="2:7" x14ac:dyDescent="0.3">
      <c r="B139" s="22" t="s">
        <v>144</v>
      </c>
      <c r="C139" s="23">
        <f>SUM(C134,C137:C138)</f>
        <v>121.21784776902886</v>
      </c>
      <c r="D139" t="s">
        <v>83</v>
      </c>
    </row>
    <row r="142" spans="2:7" x14ac:dyDescent="0.3">
      <c r="B142" t="s">
        <v>153</v>
      </c>
    </row>
    <row r="144" spans="2:7" x14ac:dyDescent="0.3">
      <c r="B144" s="157" t="s">
        <v>143</v>
      </c>
      <c r="C144" s="158"/>
      <c r="D144" s="158"/>
      <c r="E144" s="158"/>
      <c r="F144" s="158"/>
      <c r="G144" s="159"/>
    </row>
    <row r="145" spans="2:7" x14ac:dyDescent="0.3">
      <c r="B145" s="47" t="s">
        <v>137</v>
      </c>
      <c r="C145" s="47" t="s">
        <v>138</v>
      </c>
      <c r="D145" s="47" t="s">
        <v>139</v>
      </c>
      <c r="E145" s="47" t="s">
        <v>140</v>
      </c>
      <c r="F145" s="47" t="s">
        <v>141</v>
      </c>
      <c r="G145" s="47" t="s">
        <v>142</v>
      </c>
    </row>
    <row r="146" spans="2:7" x14ac:dyDescent="0.3">
      <c r="B146" s="152">
        <v>1.26679145349797E-2</v>
      </c>
      <c r="C146" s="129">
        <v>487010.56592915102</v>
      </c>
      <c r="D146" s="152">
        <v>1.58333158509239E-3</v>
      </c>
      <c r="E146" s="129">
        <v>60.211142866282003</v>
      </c>
      <c r="F146" s="129">
        <v>2.5564528805188802</v>
      </c>
      <c r="G146" s="129">
        <v>8.2784722528702108</v>
      </c>
    </row>
    <row r="147" spans="2:7" x14ac:dyDescent="0.3">
      <c r="B147" s="152">
        <v>1.2705789873218E-2</v>
      </c>
      <c r="C147" s="129">
        <v>488241.444825207</v>
      </c>
      <c r="D147" s="129">
        <v>535711.62266375101</v>
      </c>
      <c r="E147" s="129">
        <v>60.9140199667834</v>
      </c>
      <c r="F147" s="129">
        <v>2.5560935468813999</v>
      </c>
      <c r="G147" s="129">
        <v>8.4346535292921505</v>
      </c>
    </row>
    <row r="148" spans="2:7" x14ac:dyDescent="0.3">
      <c r="B148" s="152">
        <v>1.2841249047224799E-2</v>
      </c>
      <c r="C148" s="129">
        <v>496039.34920602199</v>
      </c>
      <c r="D148" s="129">
        <v>536942.50155980699</v>
      </c>
      <c r="E148" s="129">
        <v>63.423807766148698</v>
      </c>
      <c r="F148" s="129">
        <v>2.55354903906724</v>
      </c>
      <c r="G148" s="129">
        <v>9.0736521559737806</v>
      </c>
    </row>
    <row r="149" spans="2:7" x14ac:dyDescent="0.3">
      <c r="B149" s="152">
        <v>1.3326761562492601E-2</v>
      </c>
      <c r="C149" s="129">
        <v>534054.059904931</v>
      </c>
      <c r="D149" s="129">
        <v>544740.40594062197</v>
      </c>
      <c r="E149" s="129">
        <v>69.2792228045396</v>
      </c>
      <c r="F149" s="129">
        <v>2.5703640961677698</v>
      </c>
      <c r="G149" s="129">
        <v>10.688897053045901</v>
      </c>
    </row>
    <row r="150" spans="2:7" x14ac:dyDescent="0.3">
      <c r="B150" s="152">
        <v>1.4360578868985599E-2</v>
      </c>
      <c r="C150" s="129">
        <v>609382.99504657101</v>
      </c>
      <c r="D150" s="129">
        <v>582755.11663953005</v>
      </c>
      <c r="E150" s="129">
        <v>72.817816623235501</v>
      </c>
      <c r="F150" s="129">
        <v>2.75904279930326</v>
      </c>
      <c r="G150" s="129">
        <v>11.4943041136766</v>
      </c>
    </row>
    <row r="151" spans="2:7" x14ac:dyDescent="0.3">
      <c r="B151" s="152">
        <v>1.51620284340009E-2</v>
      </c>
      <c r="C151" s="129">
        <v>675660.32701778796</v>
      </c>
      <c r="D151" s="129">
        <v>658084.051781171</v>
      </c>
      <c r="E151" s="129">
        <v>70.696528454631306</v>
      </c>
      <c r="F151" s="129">
        <v>3.13509503530027</v>
      </c>
      <c r="G151" s="129">
        <v>10.447484538812899</v>
      </c>
    </row>
    <row r="152" spans="2:7" x14ac:dyDescent="0.3">
      <c r="B152" s="152">
        <v>1.5297555996322499E-2</v>
      </c>
      <c r="C152" s="129">
        <v>706766.86687054497</v>
      </c>
      <c r="D152" s="129">
        <v>724361.38375238795</v>
      </c>
      <c r="E152" s="129">
        <v>66.986993433250802</v>
      </c>
      <c r="F152" s="129">
        <v>3.3779760157065799</v>
      </c>
      <c r="G152" s="129">
        <v>9.5299274345748692</v>
      </c>
    </row>
    <row r="153" spans="2:7" x14ac:dyDescent="0.3">
      <c r="B153" s="152">
        <v>1.5096829050659601E-2</v>
      </c>
      <c r="C153" s="129">
        <v>713873.06090190203</v>
      </c>
      <c r="D153" s="129">
        <v>755467.92360514402</v>
      </c>
      <c r="E153" s="129">
        <v>63.224500538695203</v>
      </c>
      <c r="F153" s="129">
        <v>3.4487778524497199</v>
      </c>
      <c r="G153" s="129">
        <v>8.8638995738540807</v>
      </c>
    </row>
    <row r="154" spans="2:7" x14ac:dyDescent="0.3">
      <c r="B154" s="152">
        <v>1.47870246309621E-2</v>
      </c>
      <c r="C154" s="129">
        <v>711162.72386431997</v>
      </c>
      <c r="D154" s="129">
        <v>762574.11763650202</v>
      </c>
      <c r="E154" s="129">
        <v>59.680287805591298</v>
      </c>
      <c r="F154" s="129">
        <v>3.4391173828025399</v>
      </c>
      <c r="G154" s="129">
        <v>8.3464435263120897</v>
      </c>
    </row>
    <row r="155" spans="2:7" x14ac:dyDescent="0.3">
      <c r="B155" s="152">
        <v>1.4459146440406599E-2</v>
      </c>
      <c r="C155" s="129">
        <v>705430.46783198602</v>
      </c>
      <c r="D155" s="129">
        <v>759863.78059891902</v>
      </c>
      <c r="E155" s="129">
        <v>56.557063972957899</v>
      </c>
      <c r="F155" s="129">
        <v>3.40194365944981</v>
      </c>
      <c r="G155" s="129">
        <v>7.9364169283760697</v>
      </c>
    </row>
    <row r="156" spans="2:7" x14ac:dyDescent="0.3">
      <c r="B156" s="152">
        <v>1.4157949662839399E-2</v>
      </c>
      <c r="C156" s="129">
        <v>698751.52468514105</v>
      </c>
      <c r="D156" s="129">
        <v>754131.52456658601</v>
      </c>
      <c r="E156" s="129">
        <v>54.0030818888144</v>
      </c>
      <c r="F156" s="129">
        <v>3.3583502748258098</v>
      </c>
      <c r="G156" s="129">
        <v>7.66469088584474</v>
      </c>
    </row>
    <row r="157" spans="2:7" x14ac:dyDescent="0.3">
      <c r="B157" s="152">
        <v>1.3906196608370201E-2</v>
      </c>
      <c r="C157" s="129">
        <v>690548.76429547498</v>
      </c>
      <c r="D157" s="129">
        <v>747452.58141973999</v>
      </c>
      <c r="E157" s="129">
        <v>52.0593681878007</v>
      </c>
      <c r="F157" s="129">
        <v>3.31461484858945</v>
      </c>
      <c r="G157" s="129">
        <v>7.5972941859380603</v>
      </c>
    </row>
    <row r="158" spans="2:7" x14ac:dyDescent="0.3">
      <c r="B158" s="152">
        <v>1.3711101291972999E-2</v>
      </c>
      <c r="C158" s="129">
        <v>677547.11723473796</v>
      </c>
      <c r="D158" s="129">
        <v>739249.82103007496</v>
      </c>
      <c r="E158" s="129">
        <v>50.698777007274202</v>
      </c>
      <c r="F158" s="129">
        <v>3.26865294897175</v>
      </c>
      <c r="G158" s="129">
        <v>7.8409535869559903</v>
      </c>
    </row>
    <row r="159" spans="2:7" x14ac:dyDescent="0.3">
      <c r="B159" s="152">
        <v>1.35779630861158E-2</v>
      </c>
      <c r="C159" s="129">
        <v>647834.77284459397</v>
      </c>
      <c r="D159" s="129">
        <v>726248.17396933795</v>
      </c>
      <c r="E159" s="129">
        <v>49.994269406164499</v>
      </c>
      <c r="F159" s="129">
        <v>3.2084028759477001</v>
      </c>
      <c r="G159" s="129">
        <v>8.6308055173950091</v>
      </c>
    </row>
    <row r="160" spans="2:7" x14ac:dyDescent="0.3">
      <c r="B160" s="152">
        <v>1.3573840376436899E-2</v>
      </c>
      <c r="C160" s="129">
        <v>984694.96039806202</v>
      </c>
      <c r="D160" s="129">
        <v>696535.82957919396</v>
      </c>
      <c r="E160" s="129">
        <v>50.917889246846102</v>
      </c>
      <c r="F160" s="129">
        <v>3.0883202080288799</v>
      </c>
      <c r="G160" s="129">
        <v>10.712048565856101</v>
      </c>
    </row>
    <row r="161" spans="2:7" x14ac:dyDescent="0.3">
      <c r="B161" s="152">
        <v>1.33653609833406E-2</v>
      </c>
      <c r="C161" s="129">
        <v>1021092.77273235</v>
      </c>
      <c r="D161" s="129">
        <v>802951.89925857203</v>
      </c>
      <c r="E161" s="129">
        <v>49.735849358659898</v>
      </c>
      <c r="F161" s="129">
        <v>3.2290392060851301</v>
      </c>
      <c r="G161" s="129">
        <v>10.084329817895799</v>
      </c>
    </row>
    <row r="162" spans="2:7" x14ac:dyDescent="0.3">
      <c r="B162" s="152">
        <v>1.3273798027777801E-2</v>
      </c>
      <c r="C162" s="129">
        <v>1032833.18562232</v>
      </c>
      <c r="D162" s="129">
        <v>839349.71159286099</v>
      </c>
      <c r="E162" s="129">
        <v>49.2207563934899</v>
      </c>
      <c r="F162" s="129">
        <v>3.2713469711185401</v>
      </c>
      <c r="G162" s="129">
        <v>9.8694410767824099</v>
      </c>
    </row>
    <row r="163" spans="2:7" x14ac:dyDescent="0.3">
      <c r="B163" s="152">
        <v>1.3226517969855099E-2</v>
      </c>
      <c r="C163" s="129">
        <v>1036304.54502736</v>
      </c>
      <c r="D163" s="129">
        <v>851090.12448282901</v>
      </c>
      <c r="E163" s="129">
        <v>48.959698069646898</v>
      </c>
      <c r="F163" s="129">
        <v>3.2810139179815798</v>
      </c>
      <c r="G163" s="129">
        <v>9.7915205514280608</v>
      </c>
    </row>
    <row r="164" spans="2:7" x14ac:dyDescent="0.3">
      <c r="B164" s="152">
        <v>1.3197417015142701E-2</v>
      </c>
      <c r="C164" s="129">
        <v>1037269.9066160599</v>
      </c>
      <c r="D164" s="129">
        <v>854561.48388787196</v>
      </c>
      <c r="E164" s="129">
        <v>48.793813079473303</v>
      </c>
      <c r="F164" s="129">
        <v>3.28145008913613</v>
      </c>
      <c r="G164" s="129">
        <v>9.7579957227515202</v>
      </c>
    </row>
    <row r="165" spans="2:7" x14ac:dyDescent="0.3">
      <c r="B165" s="152">
        <v>1.3177405403097E-2</v>
      </c>
      <c r="C165" s="129">
        <v>1037507.9182259199</v>
      </c>
      <c r="D165" s="129">
        <v>855526.84547657205</v>
      </c>
      <c r="E165" s="129">
        <v>48.678120987483602</v>
      </c>
      <c r="F165" s="129">
        <v>3.2797400951590898</v>
      </c>
      <c r="G165" s="129">
        <v>9.7401300860330604</v>
      </c>
    </row>
    <row r="166" spans="2:7" x14ac:dyDescent="0.3">
      <c r="B166" s="152">
        <v>1.3162898870886E-2</v>
      </c>
      <c r="C166" s="129">
        <v>1037540.55536351</v>
      </c>
      <c r="D166" s="129">
        <v>855764.85708643298</v>
      </c>
      <c r="E166" s="129">
        <v>48.593836432426599</v>
      </c>
      <c r="F166" s="129">
        <v>3.27784924254015</v>
      </c>
      <c r="G166" s="129">
        <v>9.7289545158935695</v>
      </c>
    </row>
    <row r="167" spans="2:7" x14ac:dyDescent="0.3">
      <c r="B167" s="152">
        <v>1.3152165812779001E-2</v>
      </c>
      <c r="C167" s="129">
        <v>1037510.15435265</v>
      </c>
      <c r="D167" s="129">
        <v>855797.49422401597</v>
      </c>
      <c r="E167" s="129">
        <v>48.531949681897601</v>
      </c>
      <c r="F167" s="129">
        <v>3.2762366971357602</v>
      </c>
      <c r="G167" s="129">
        <v>9.7216220420290504</v>
      </c>
    </row>
    <row r="168" spans="2:7" x14ac:dyDescent="0.3">
      <c r="B168" s="152">
        <v>1.31441700158963E-2</v>
      </c>
      <c r="C168" s="129">
        <v>1037439.43895874</v>
      </c>
      <c r="D168" s="129">
        <v>855767.09321315598</v>
      </c>
      <c r="E168" s="129">
        <v>48.485554242739198</v>
      </c>
      <c r="F168" s="129">
        <v>3.2749313803539102</v>
      </c>
      <c r="G168" s="129">
        <v>9.7174645788612395</v>
      </c>
    </row>
    <row r="169" spans="2:7" x14ac:dyDescent="0.3">
      <c r="B169" s="152">
        <v>1.31382122584194E-2</v>
      </c>
      <c r="C169" s="129">
        <v>1037298.18503479</v>
      </c>
      <c r="D169" s="129">
        <v>855696.37781925197</v>
      </c>
      <c r="E169" s="129">
        <v>48.451859556000102</v>
      </c>
      <c r="F169" s="129">
        <v>3.2738307853575899</v>
      </c>
      <c r="G169" s="129">
        <v>9.7171313704740605</v>
      </c>
    </row>
    <row r="170" spans="2:7" x14ac:dyDescent="0.3">
      <c r="B170" s="152">
        <v>1.31337693268847E-2</v>
      </c>
      <c r="C170" s="129">
        <v>1037000.82034729</v>
      </c>
      <c r="D170" s="129">
        <v>855555.12389529799</v>
      </c>
      <c r="E170" s="129">
        <v>48.428384090902497</v>
      </c>
      <c r="F170" s="129">
        <v>3.2727551825777699</v>
      </c>
      <c r="G170" s="129">
        <v>9.7230134717765608</v>
      </c>
    </row>
    <row r="171" spans="2:7" x14ac:dyDescent="0.3">
      <c r="B171" s="152">
        <v>1.3130439413520999E-2</v>
      </c>
      <c r="C171" s="129">
        <v>1036357.90787349</v>
      </c>
      <c r="D171" s="129">
        <v>855257.75920779596</v>
      </c>
      <c r="E171" s="129">
        <v>48.414263043998702</v>
      </c>
      <c r="F171" s="129">
        <v>3.27139681907894</v>
      </c>
      <c r="G171" s="129">
        <v>9.7408636712671495</v>
      </c>
    </row>
    <row r="172" spans="2:7" x14ac:dyDescent="0.3">
      <c r="B172" s="152">
        <v>1.31278947491658E-2</v>
      </c>
      <c r="C172" s="129">
        <v>1034955.3169505399</v>
      </c>
      <c r="D172" s="129">
        <v>854614.84673399501</v>
      </c>
      <c r="E172" s="129">
        <v>48.410904350339898</v>
      </c>
      <c r="F172" s="129">
        <v>3.2691639265156001</v>
      </c>
      <c r="G172" s="129">
        <v>9.7835668376924207</v>
      </c>
    </row>
    <row r="173" spans="2:7" x14ac:dyDescent="0.3">
      <c r="B173" s="152">
        <v>1.3125849139137599E-2</v>
      </c>
      <c r="C173" s="129">
        <v>1031868.40956792</v>
      </c>
      <c r="D173" s="129">
        <v>853212.25581104995</v>
      </c>
      <c r="E173" s="129">
        <v>48.4241482204338</v>
      </c>
      <c r="F173" s="129">
        <v>3.2648233276986498</v>
      </c>
      <c r="G173" s="129">
        <v>9.8796118381589793</v>
      </c>
    </row>
    <row r="174" spans="2:7" x14ac:dyDescent="0.3">
      <c r="B174" s="152">
        <v>1.3124170182322399E-2</v>
      </c>
      <c r="C174" s="129">
        <v>1024923.3506951</v>
      </c>
      <c r="D174" s="129">
        <v>850125.34842842899</v>
      </c>
      <c r="E174" s="129">
        <v>48.470960429984999</v>
      </c>
      <c r="F174" s="129">
        <v>3.25566539635185</v>
      </c>
      <c r="G174" s="129">
        <v>10.0926774005456</v>
      </c>
    </row>
    <row r="175" spans="2:7" x14ac:dyDescent="0.3">
      <c r="B175" s="152">
        <v>1.3123870124815799E-2</v>
      </c>
      <c r="C175" s="129">
        <v>1008454.45002536</v>
      </c>
      <c r="D175" s="129">
        <v>843180.28955561004</v>
      </c>
      <c r="E175" s="129">
        <v>48.604898164728297</v>
      </c>
      <c r="F175" s="129">
        <v>3.2353488437923299</v>
      </c>
      <c r="G175" s="129">
        <v>10.570270870948899</v>
      </c>
    </row>
    <row r="176" spans="2:7" x14ac:dyDescent="0.3">
      <c r="B176" s="152">
        <v>1.31339851692239E-2</v>
      </c>
      <c r="C176" s="129">
        <v>965881.58774901798</v>
      </c>
      <c r="D176" s="129">
        <v>826711.38888587197</v>
      </c>
      <c r="E176" s="129">
        <v>49.036860871298103</v>
      </c>
      <c r="F176" s="129">
        <v>3.1873643623573198</v>
      </c>
      <c r="G176" s="129">
        <v>11.6786423833505</v>
      </c>
    </row>
    <row r="177" spans="2:7" x14ac:dyDescent="0.3">
      <c r="B177" s="152">
        <v>1.3213980294290301E-2</v>
      </c>
      <c r="C177" s="129">
        <v>862195.69813065894</v>
      </c>
      <c r="D177" s="129">
        <v>784138.52660952799</v>
      </c>
      <c r="E177" s="129">
        <v>50.710784609888101</v>
      </c>
      <c r="F177" s="129">
        <v>3.0641571362887601</v>
      </c>
      <c r="G177" s="129">
        <v>14.3392651342176</v>
      </c>
    </row>
    <row r="178" spans="2:7" x14ac:dyDescent="0.3">
      <c r="B178" s="152">
        <v>1.36334303371041E-2</v>
      </c>
      <c r="C178" s="129">
        <v>181743.06113948999</v>
      </c>
      <c r="D178" s="129">
        <v>680452.63699116895</v>
      </c>
      <c r="E178" s="129">
        <v>55.399811319449398</v>
      </c>
      <c r="F178" s="129">
        <v>2.7894010171800301</v>
      </c>
      <c r="G178" s="129">
        <v>18.316051623578399</v>
      </c>
    </row>
  </sheetData>
  <mergeCells count="18">
    <mergeCell ref="C112:D112"/>
    <mergeCell ref="C133:D133"/>
    <mergeCell ref="B113:B114"/>
    <mergeCell ref="E22:E23"/>
    <mergeCell ref="C61:E61"/>
    <mergeCell ref="C85:F85"/>
    <mergeCell ref="C90:D90"/>
    <mergeCell ref="C97:F97"/>
    <mergeCell ref="S5:U5"/>
    <mergeCell ref="B1:D1"/>
    <mergeCell ref="E1:G1"/>
    <mergeCell ref="H1:J1"/>
    <mergeCell ref="K1:M1"/>
    <mergeCell ref="B144:G144"/>
    <mergeCell ref="B115:B116"/>
    <mergeCell ref="B117:B118"/>
    <mergeCell ref="B119:B120"/>
    <mergeCell ref="B134:B13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3112-2EB4-422D-A8F9-E87F0C08E098}">
  <dimension ref="A1:U176"/>
  <sheetViews>
    <sheetView zoomScale="68" zoomScaleNormal="68" workbookViewId="0">
      <selection activeCell="D37" sqref="D37"/>
    </sheetView>
  </sheetViews>
  <sheetFormatPr defaultRowHeight="15.6" x14ac:dyDescent="0.3"/>
  <cols>
    <col min="1" max="1" width="3.69921875" bestFit="1" customWidth="1"/>
    <col min="2" max="2" width="35.3984375" bestFit="1" customWidth="1"/>
    <col min="3" max="3" width="12" customWidth="1"/>
    <col min="4" max="4" width="12.8984375" bestFit="1" customWidth="1"/>
    <col min="5" max="5" width="20.19921875" bestFit="1" customWidth="1"/>
    <col min="6" max="6" width="18.09765625" bestFit="1" customWidth="1"/>
    <col min="7" max="7" width="35.3984375" bestFit="1" customWidth="1"/>
    <col min="8" max="11" width="14.5" bestFit="1" customWidth="1"/>
    <col min="15" max="15" width="9.09765625" bestFit="1" customWidth="1"/>
    <col min="16" max="16" width="7.09765625" bestFit="1" customWidth="1"/>
    <col min="17" max="17" width="7.8984375" bestFit="1" customWidth="1"/>
    <col min="19" max="19" width="19.69921875" bestFit="1" customWidth="1"/>
    <col min="20" max="20" width="7.19921875" bestFit="1" customWidth="1"/>
    <col min="21" max="21" width="3.8984375" bestFit="1" customWidth="1"/>
  </cols>
  <sheetData>
    <row r="1" spans="1:21" x14ac:dyDescent="0.3">
      <c r="B1" s="167" t="s">
        <v>30</v>
      </c>
      <c r="C1" s="167"/>
      <c r="D1" s="167"/>
      <c r="E1" s="168" t="s">
        <v>31</v>
      </c>
      <c r="F1" s="168"/>
      <c r="G1" s="168"/>
      <c r="H1" s="169" t="s">
        <v>32</v>
      </c>
      <c r="I1" s="169"/>
      <c r="J1" s="169"/>
      <c r="K1" s="184" t="s">
        <v>33</v>
      </c>
      <c r="L1" s="184"/>
      <c r="M1" s="184"/>
    </row>
    <row r="2" spans="1:21" ht="16.2" thickBot="1" x14ac:dyDescent="0.35">
      <c r="B2" s="21" t="s">
        <v>171</v>
      </c>
    </row>
    <row r="3" spans="1:21" ht="16.2" thickBot="1" x14ac:dyDescent="0.35">
      <c r="B3" s="35">
        <v>1</v>
      </c>
      <c r="D3" s="1" t="str">
        <f>'D3'!D3</f>
        <v>total flowrate</v>
      </c>
      <c r="E3" s="1">
        <v>1001</v>
      </c>
      <c r="F3" s="1" t="str">
        <f>'D3'!F3</f>
        <v>kgmole/hr</v>
      </c>
    </row>
    <row r="4" spans="1:21" ht="31.8" thickBot="1" x14ac:dyDescent="0.35">
      <c r="B4" s="5" t="s">
        <v>22</v>
      </c>
      <c r="C4" s="41" t="s">
        <v>1</v>
      </c>
      <c r="D4" s="42" t="s">
        <v>20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</row>
    <row r="5" spans="1:21" ht="16.2" thickBot="1" x14ac:dyDescent="0.35">
      <c r="A5">
        <v>1</v>
      </c>
      <c r="B5" s="4" t="s">
        <v>9</v>
      </c>
      <c r="C5" s="44">
        <v>6.8159999999999998</v>
      </c>
      <c r="D5" s="44">
        <v>0</v>
      </c>
      <c r="E5" s="2">
        <f t="shared" ref="E5:E15" si="0">D5*$E$3</f>
        <v>0</v>
      </c>
      <c r="F5" s="2">
        <v>1</v>
      </c>
      <c r="G5" s="2">
        <v>0</v>
      </c>
      <c r="H5" s="2">
        <f t="shared" ref="H5:H15" si="1">$E5*F5</f>
        <v>0</v>
      </c>
      <c r="I5" s="2">
        <f t="shared" ref="I5:I15" si="2">$E5*G5</f>
        <v>0</v>
      </c>
      <c r="J5" s="2">
        <f>H5/'D2'!$H$16</f>
        <v>0</v>
      </c>
      <c r="K5" s="2">
        <f>I5/'D2'!$I$16</f>
        <v>0</v>
      </c>
      <c r="O5" s="6" t="s">
        <v>26</v>
      </c>
      <c r="P5" s="7">
        <v>2000</v>
      </c>
      <c r="Q5" s="8" t="s">
        <v>27</v>
      </c>
      <c r="S5" s="181" t="s">
        <v>41</v>
      </c>
      <c r="T5" s="182"/>
      <c r="U5" s="183"/>
    </row>
    <row r="6" spans="1:21" x14ac:dyDescent="0.3">
      <c r="A6">
        <v>2</v>
      </c>
      <c r="B6" s="2" t="s">
        <v>11</v>
      </c>
      <c r="C6" s="44">
        <v>5.8840000000000003</v>
      </c>
      <c r="D6" s="44">
        <v>1E-4</v>
      </c>
      <c r="E6" s="2">
        <f t="shared" si="0"/>
        <v>0.10010000000000001</v>
      </c>
      <c r="F6" s="2">
        <v>1</v>
      </c>
      <c r="G6" s="2">
        <v>0</v>
      </c>
      <c r="H6" s="2">
        <f t="shared" si="1"/>
        <v>0.10010000000000001</v>
      </c>
      <c r="I6" s="2">
        <f t="shared" si="2"/>
        <v>0</v>
      </c>
      <c r="J6" s="2">
        <f>H6/'D2'!$H$16</f>
        <v>1.7191467737030371E-4</v>
      </c>
      <c r="K6" s="2">
        <f>I6/'D2'!$I$16</f>
        <v>0</v>
      </c>
      <c r="O6" s="9" t="s">
        <v>28</v>
      </c>
      <c r="P6" s="44">
        <v>127</v>
      </c>
      <c r="Q6" s="10" t="s">
        <v>29</v>
      </c>
      <c r="S6" s="45" t="s">
        <v>42</v>
      </c>
      <c r="T6" s="46">
        <v>130</v>
      </c>
      <c r="U6" s="46"/>
    </row>
    <row r="7" spans="1:21" ht="16.2" thickBot="1" x14ac:dyDescent="0.35">
      <c r="A7">
        <v>3</v>
      </c>
      <c r="B7" s="2" t="s">
        <v>10</v>
      </c>
      <c r="C7" s="44">
        <v>5.3550000000000004</v>
      </c>
      <c r="D7" s="44">
        <v>0</v>
      </c>
      <c r="E7" s="2">
        <f t="shared" si="0"/>
        <v>0</v>
      </c>
      <c r="F7" s="2">
        <v>1</v>
      </c>
      <c r="G7" s="2">
        <v>0</v>
      </c>
      <c r="H7" s="2">
        <f t="shared" si="1"/>
        <v>0</v>
      </c>
      <c r="I7" s="2">
        <f t="shared" si="2"/>
        <v>0</v>
      </c>
      <c r="J7" s="2">
        <f>H7/'D2'!$H$16</f>
        <v>0</v>
      </c>
      <c r="K7" s="2">
        <f>I7/'D2'!$I$16</f>
        <v>0</v>
      </c>
      <c r="O7" s="11" t="s">
        <v>34</v>
      </c>
      <c r="P7" s="50">
        <f>E3</f>
        <v>1001</v>
      </c>
      <c r="Q7" s="12" t="s">
        <v>35</v>
      </c>
      <c r="S7" s="45" t="s">
        <v>43</v>
      </c>
      <c r="T7" s="46">
        <v>220</v>
      </c>
      <c r="U7" s="46"/>
    </row>
    <row r="8" spans="1:21" x14ac:dyDescent="0.3">
      <c r="A8">
        <v>4</v>
      </c>
      <c r="B8" s="2" t="s">
        <v>12</v>
      </c>
      <c r="C8" s="44">
        <v>2.129</v>
      </c>
      <c r="D8" s="44">
        <v>2.9999999999999997E-4</v>
      </c>
      <c r="E8" s="2">
        <f t="shared" si="0"/>
        <v>0.30029999999999996</v>
      </c>
      <c r="F8" s="2">
        <v>1</v>
      </c>
      <c r="G8" s="2">
        <v>0</v>
      </c>
      <c r="H8" s="2">
        <f t="shared" si="1"/>
        <v>0.30029999999999996</v>
      </c>
      <c r="I8" s="2">
        <f t="shared" si="2"/>
        <v>0</v>
      </c>
      <c r="J8" s="2">
        <f>H8/'D2'!$H$16</f>
        <v>5.1574403211091099E-4</v>
      </c>
      <c r="K8" s="2">
        <f>I8/'D2'!$I$16</f>
        <v>0</v>
      </c>
      <c r="S8" s="45" t="s">
        <v>44</v>
      </c>
      <c r="T8" s="46">
        <v>59</v>
      </c>
      <c r="U8" s="46"/>
    </row>
    <row r="9" spans="1:21" x14ac:dyDescent="0.3">
      <c r="A9">
        <v>5</v>
      </c>
      <c r="B9" s="28" t="s">
        <v>13</v>
      </c>
      <c r="C9" s="44">
        <v>1.5349999999999999</v>
      </c>
      <c r="D9" s="44">
        <v>0.58120000000000005</v>
      </c>
      <c r="E9" s="2">
        <f t="shared" si="0"/>
        <v>581.78120000000001</v>
      </c>
      <c r="F9" s="2">
        <v>0.999</v>
      </c>
      <c r="G9" s="2">
        <f>1-F9</f>
        <v>1.0000000000000009E-3</v>
      </c>
      <c r="H9" s="2">
        <f t="shared" si="1"/>
        <v>581.19941879999999</v>
      </c>
      <c r="I9" s="2">
        <f t="shared" si="2"/>
        <v>0.58178120000000055</v>
      </c>
      <c r="J9" s="28">
        <f>H9/'D2'!$H$16</f>
        <v>0.99816893677132879</v>
      </c>
      <c r="K9" s="28">
        <f>I9/'D2'!$I$16</f>
        <v>1.3890478879756312E-3</v>
      </c>
      <c r="S9" s="45" t="s">
        <v>45</v>
      </c>
      <c r="T9" s="46">
        <v>94.81</v>
      </c>
      <c r="U9" s="46" t="s">
        <v>29</v>
      </c>
    </row>
    <row r="10" spans="1:21" x14ac:dyDescent="0.3">
      <c r="A10">
        <v>6</v>
      </c>
      <c r="B10" s="31" t="s">
        <v>17</v>
      </c>
      <c r="C10" s="44">
        <v>1.4159999999999999</v>
      </c>
      <c r="D10" s="44">
        <v>2.5000000000000001E-3</v>
      </c>
      <c r="E10" s="2">
        <f t="shared" si="0"/>
        <v>2.5024999999999999</v>
      </c>
      <c r="F10" s="2">
        <v>0.1</v>
      </c>
      <c r="G10" s="2">
        <v>0.9</v>
      </c>
      <c r="H10" s="2">
        <f t="shared" si="1"/>
        <v>0.25025000000000003</v>
      </c>
      <c r="I10" s="2">
        <f t="shared" si="2"/>
        <v>2.2522500000000001</v>
      </c>
      <c r="J10" s="31">
        <f>H10/'D2'!$H$16</f>
        <v>4.2978669342575929E-4</v>
      </c>
      <c r="K10" s="31">
        <f>I10/'D2'!$I$16</f>
        <v>5.37742214030483E-3</v>
      </c>
      <c r="S10" s="45" t="s">
        <v>46</v>
      </c>
      <c r="T10" s="46">
        <v>220.5</v>
      </c>
      <c r="U10" s="46" t="s">
        <v>29</v>
      </c>
    </row>
    <row r="11" spans="1:21" x14ac:dyDescent="0.3">
      <c r="A11">
        <v>7</v>
      </c>
      <c r="B11" s="2" t="s">
        <v>18</v>
      </c>
      <c r="C11" s="51">
        <v>0.20730000000000001</v>
      </c>
      <c r="D11" s="44">
        <v>0.41510000000000002</v>
      </c>
      <c r="E11" s="2">
        <f t="shared" si="0"/>
        <v>415.51510000000002</v>
      </c>
      <c r="F11" s="2">
        <v>1E-3</v>
      </c>
      <c r="G11" s="2">
        <v>0.999</v>
      </c>
      <c r="H11" s="2">
        <f t="shared" si="1"/>
        <v>0.41551510000000003</v>
      </c>
      <c r="I11" s="2">
        <f t="shared" si="2"/>
        <v>415.09958490000002</v>
      </c>
      <c r="J11" s="2">
        <f>H11/'D2'!$H$16</f>
        <v>7.1361782576413063E-4</v>
      </c>
      <c r="K11" s="2">
        <f>I11/'D2'!$I$16</f>
        <v>0.99108256111559756</v>
      </c>
      <c r="S11" s="45" t="s">
        <v>49</v>
      </c>
      <c r="T11" s="46">
        <v>11.273999999999999</v>
      </c>
      <c r="U11" s="46" t="s">
        <v>104</v>
      </c>
    </row>
    <row r="12" spans="1:21" x14ac:dyDescent="0.3">
      <c r="A12">
        <v>8</v>
      </c>
      <c r="B12" s="2" t="s">
        <v>19</v>
      </c>
      <c r="C12" s="51">
        <v>0.1123</v>
      </c>
      <c r="D12" s="44">
        <v>8.9999999999999998E-4</v>
      </c>
      <c r="E12" s="2">
        <f t="shared" si="0"/>
        <v>0.90089999999999992</v>
      </c>
      <c r="F12" s="2">
        <v>0</v>
      </c>
      <c r="G12" s="2">
        <v>1</v>
      </c>
      <c r="H12" s="2">
        <f t="shared" si="1"/>
        <v>0</v>
      </c>
      <c r="I12" s="2">
        <f t="shared" si="2"/>
        <v>0.90089999999999992</v>
      </c>
      <c r="J12" s="2">
        <f>H12/'D2'!$H$16</f>
        <v>0</v>
      </c>
      <c r="K12" s="2">
        <f>I12/'D2'!$I$16</f>
        <v>2.1509688561219317E-3</v>
      </c>
      <c r="S12" s="45" t="s">
        <v>51</v>
      </c>
      <c r="T12" s="46">
        <v>15.74</v>
      </c>
      <c r="U12" s="46" t="s">
        <v>104</v>
      </c>
    </row>
    <row r="13" spans="1:21" x14ac:dyDescent="0.3">
      <c r="A13">
        <v>9</v>
      </c>
      <c r="B13" s="2" t="s">
        <v>14</v>
      </c>
      <c r="C13" s="44">
        <v>0</v>
      </c>
      <c r="D13" s="44">
        <v>0</v>
      </c>
      <c r="E13" s="2">
        <f t="shared" si="0"/>
        <v>0</v>
      </c>
      <c r="F13" s="2">
        <v>0</v>
      </c>
      <c r="G13" s="2">
        <v>1</v>
      </c>
      <c r="H13" s="2">
        <f t="shared" si="1"/>
        <v>0</v>
      </c>
      <c r="I13" s="2">
        <f t="shared" si="2"/>
        <v>0</v>
      </c>
      <c r="J13" s="2">
        <f>H13/'D2'!$H$16</f>
        <v>0</v>
      </c>
      <c r="K13" s="2">
        <f>I13/'D2'!$I$16</f>
        <v>0</v>
      </c>
    </row>
    <row r="14" spans="1:21" x14ac:dyDescent="0.3">
      <c r="A14">
        <v>10</v>
      </c>
      <c r="B14" s="2" t="s">
        <v>15</v>
      </c>
      <c r="C14" s="44">
        <v>0</v>
      </c>
      <c r="D14" s="44">
        <v>0</v>
      </c>
      <c r="E14" s="2">
        <f t="shared" si="0"/>
        <v>0</v>
      </c>
      <c r="F14" s="2">
        <v>0</v>
      </c>
      <c r="G14" s="2">
        <v>1</v>
      </c>
      <c r="H14" s="2">
        <f t="shared" si="1"/>
        <v>0</v>
      </c>
      <c r="I14" s="2">
        <f t="shared" si="2"/>
        <v>0</v>
      </c>
      <c r="J14" s="2">
        <f>H14/'D2'!$H$16</f>
        <v>0</v>
      </c>
      <c r="K14" s="2">
        <f>I14/'D2'!$I$16</f>
        <v>0</v>
      </c>
    </row>
    <row r="15" spans="1:21" x14ac:dyDescent="0.3">
      <c r="A15">
        <v>11</v>
      </c>
      <c r="B15" s="2" t="s">
        <v>16</v>
      </c>
      <c r="C15" s="44">
        <v>0</v>
      </c>
      <c r="D15" s="44">
        <v>0</v>
      </c>
      <c r="E15" s="2">
        <f t="shared" si="0"/>
        <v>0</v>
      </c>
      <c r="F15" s="2">
        <v>0</v>
      </c>
      <c r="G15" s="2">
        <v>1</v>
      </c>
      <c r="H15" s="2">
        <f t="shared" si="1"/>
        <v>0</v>
      </c>
      <c r="I15" s="2">
        <f t="shared" si="2"/>
        <v>0</v>
      </c>
      <c r="J15" s="2">
        <f>H15/'D2'!$H$16</f>
        <v>0</v>
      </c>
      <c r="K15" s="2">
        <f>I15/'D2'!$I$16</f>
        <v>0</v>
      </c>
    </row>
    <row r="16" spans="1:21" x14ac:dyDescent="0.3">
      <c r="G16" s="2" t="s">
        <v>21</v>
      </c>
      <c r="H16" s="2">
        <f>SUM(H5:H15)</f>
        <v>582.26558390000002</v>
      </c>
      <c r="I16" s="2">
        <f>SUM(I5:I15)</f>
        <v>418.83451610000003</v>
      </c>
    </row>
    <row r="18" spans="2:7" ht="16.2" thickBot="1" x14ac:dyDescent="0.35"/>
    <row r="19" spans="2:7" ht="16.2" thickBot="1" x14ac:dyDescent="0.35">
      <c r="B19" s="35">
        <v>2</v>
      </c>
    </row>
    <row r="21" spans="2:7" x14ac:dyDescent="0.3">
      <c r="B21" s="36" t="s">
        <v>47</v>
      </c>
      <c r="C21" s="37">
        <v>160</v>
      </c>
      <c r="D21" s="39" t="s">
        <v>48</v>
      </c>
      <c r="E21" s="171" t="s">
        <v>108</v>
      </c>
    </row>
    <row r="22" spans="2:7" x14ac:dyDescent="0.3">
      <c r="B22" s="36" t="s">
        <v>50</v>
      </c>
      <c r="C22" s="38">
        <f>C21-6</f>
        <v>154</v>
      </c>
      <c r="D22" s="40" t="s">
        <v>48</v>
      </c>
      <c r="E22" s="172"/>
    </row>
    <row r="23" spans="2:7" x14ac:dyDescent="0.3">
      <c r="C23" s="123"/>
      <c r="G23" t="s">
        <v>169</v>
      </c>
    </row>
    <row r="24" spans="2:7" ht="46.8" x14ac:dyDescent="0.3">
      <c r="B24" s="1"/>
      <c r="C24" s="42" t="s">
        <v>1</v>
      </c>
      <c r="D24" s="42" t="s">
        <v>158</v>
      </c>
      <c r="E24" s="42" t="s">
        <v>159</v>
      </c>
      <c r="F24" s="3" t="s">
        <v>52</v>
      </c>
    </row>
    <row r="25" spans="2:7" x14ac:dyDescent="0.3">
      <c r="B25" s="2" t="s">
        <v>9</v>
      </c>
      <c r="C25" s="43">
        <f>C5</f>
        <v>6.8159999999999998</v>
      </c>
      <c r="D25" s="91">
        <v>4.4180000000000001</v>
      </c>
      <c r="E25" s="91">
        <v>40.770000000000003</v>
      </c>
      <c r="F25" s="61">
        <f xml:space="preserve"> ( (D25/$D$30)*(E25/$E$30))^0.5</f>
        <v>7.9056658410012162</v>
      </c>
    </row>
    <row r="26" spans="2:7" x14ac:dyDescent="0.3">
      <c r="B26" s="2" t="s">
        <v>11</v>
      </c>
      <c r="C26" s="43">
        <f t="shared" ref="C26:C35" si="3">C6</f>
        <v>5.8840000000000003</v>
      </c>
      <c r="D26" s="91">
        <v>3.831</v>
      </c>
      <c r="E26" s="91">
        <v>12.4</v>
      </c>
      <c r="F26" s="61">
        <f t="shared" ref="F26:F35" si="4" xml:space="preserve"> ( (D26/$D$30)*(E26/$E$30))^0.5</f>
        <v>4.0599637935341706</v>
      </c>
    </row>
    <row r="27" spans="2:7" x14ac:dyDescent="0.3">
      <c r="B27" s="2" t="s">
        <v>10</v>
      </c>
      <c r="C27" s="43">
        <f t="shared" si="3"/>
        <v>5.3550000000000004</v>
      </c>
      <c r="D27" s="91">
        <v>3.6880000000000002</v>
      </c>
      <c r="E27" s="91">
        <v>12.43</v>
      </c>
      <c r="F27" s="61">
        <f t="shared" si="4"/>
        <v>3.9882857108303815</v>
      </c>
    </row>
    <row r="28" spans="2:7" x14ac:dyDescent="0.3">
      <c r="B28" s="2" t="s">
        <v>12</v>
      </c>
      <c r="C28" s="43">
        <f t="shared" si="3"/>
        <v>2.129</v>
      </c>
      <c r="D28" s="91">
        <v>1.498</v>
      </c>
      <c r="E28" s="91">
        <v>4.83</v>
      </c>
      <c r="F28" s="13">
        <f t="shared" si="4"/>
        <v>1.5844725294309714</v>
      </c>
    </row>
    <row r="29" spans="2:7" x14ac:dyDescent="0.3">
      <c r="B29" s="28" t="s">
        <v>13</v>
      </c>
      <c r="C29" s="43">
        <f t="shared" si="3"/>
        <v>1.5349999999999999</v>
      </c>
      <c r="D29" s="91">
        <v>0.99990000000000001</v>
      </c>
      <c r="E29" s="91">
        <v>4.5830000000000002</v>
      </c>
      <c r="F29" s="13">
        <f t="shared" si="4"/>
        <v>1.2609807444764476</v>
      </c>
    </row>
    <row r="30" spans="2:7" x14ac:dyDescent="0.3">
      <c r="B30" s="31" t="s">
        <v>17</v>
      </c>
      <c r="C30" s="43">
        <f t="shared" si="3"/>
        <v>1.4159999999999999</v>
      </c>
      <c r="D30" s="91">
        <v>0.8639</v>
      </c>
      <c r="E30" s="91">
        <v>3.3359999999999999</v>
      </c>
      <c r="F30" s="13">
        <f t="shared" si="4"/>
        <v>1</v>
      </c>
    </row>
    <row r="31" spans="2:7" x14ac:dyDescent="0.3">
      <c r="B31" s="33" t="s">
        <v>18</v>
      </c>
      <c r="C31" s="43">
        <f t="shared" si="3"/>
        <v>0.20730000000000001</v>
      </c>
      <c r="D31" s="91">
        <v>0.1623</v>
      </c>
      <c r="E31" s="91">
        <v>0.77390000000000003</v>
      </c>
      <c r="F31" s="61">
        <f t="shared" si="4"/>
        <v>0.20876463247413968</v>
      </c>
    </row>
    <row r="32" spans="2:7" x14ac:dyDescent="0.3">
      <c r="B32" s="33" t="s">
        <v>19</v>
      </c>
      <c r="C32" s="43">
        <f t="shared" si="3"/>
        <v>0.1123</v>
      </c>
      <c r="D32" s="108">
        <v>8.9963991203077506E-2</v>
      </c>
      <c r="E32" s="91">
        <v>0.44690000000000002</v>
      </c>
      <c r="F32" s="61">
        <f t="shared" si="4"/>
        <v>0.11811220479996334</v>
      </c>
    </row>
    <row r="33" spans="2:13" x14ac:dyDescent="0.3">
      <c r="B33" s="2" t="s">
        <v>14</v>
      </c>
      <c r="C33" s="43">
        <f t="shared" si="3"/>
        <v>0</v>
      </c>
      <c r="D33" s="91">
        <v>0</v>
      </c>
      <c r="E33" s="91">
        <v>0</v>
      </c>
      <c r="F33" s="61">
        <f t="shared" si="4"/>
        <v>0</v>
      </c>
    </row>
    <row r="34" spans="2:13" x14ac:dyDescent="0.3">
      <c r="B34" s="2" t="s">
        <v>15</v>
      </c>
      <c r="C34" s="43">
        <f t="shared" si="3"/>
        <v>0</v>
      </c>
      <c r="D34" s="92">
        <v>4.41</v>
      </c>
      <c r="E34" s="91">
        <v>1</v>
      </c>
      <c r="F34" s="61">
        <f t="shared" si="4"/>
        <v>1.2370137776335761</v>
      </c>
    </row>
    <row r="35" spans="2:13" x14ac:dyDescent="0.3">
      <c r="B35" s="2" t="s">
        <v>16</v>
      </c>
      <c r="C35" s="43">
        <f t="shared" si="3"/>
        <v>0</v>
      </c>
      <c r="D35" s="91">
        <v>0.59450000000000003</v>
      </c>
      <c r="E35" s="91">
        <v>1.1739999999999999</v>
      </c>
      <c r="F35" s="61">
        <f t="shared" si="4"/>
        <v>0.49211343301140364</v>
      </c>
    </row>
    <row r="36" spans="2:13" ht="16.2" thickBot="1" x14ac:dyDescent="0.35"/>
    <row r="37" spans="2:13" ht="47.4" thickBot="1" x14ac:dyDescent="0.35">
      <c r="B37" s="89">
        <v>3</v>
      </c>
      <c r="C37" s="62" t="s">
        <v>109</v>
      </c>
      <c r="D37" s="125">
        <f>LOG( (C39/C40) * (C41/C42) ) / LOG(E41)</f>
        <v>39.259941029249717</v>
      </c>
    </row>
    <row r="39" spans="2:13" x14ac:dyDescent="0.3">
      <c r="B39" s="1" t="s">
        <v>53</v>
      </c>
      <c r="C39" s="1">
        <f>H50</f>
        <v>581.19941879999999</v>
      </c>
      <c r="D39" s="1" t="s">
        <v>110</v>
      </c>
      <c r="E39" s="1">
        <f>D29/D30</f>
        <v>1.1574256279661999</v>
      </c>
    </row>
    <row r="40" spans="2:13" x14ac:dyDescent="0.3">
      <c r="B40" s="1" t="s">
        <v>54</v>
      </c>
      <c r="C40" s="1">
        <f>G50</f>
        <v>0.58178120000000055</v>
      </c>
      <c r="D40" s="1" t="s">
        <v>55</v>
      </c>
      <c r="E40" s="1">
        <f>E29/E30</f>
        <v>1.3738009592326139</v>
      </c>
    </row>
    <row r="41" spans="2:13" x14ac:dyDescent="0.3">
      <c r="B41" s="1" t="s">
        <v>56</v>
      </c>
      <c r="C41" s="1">
        <f>G51</f>
        <v>2.2522500000000001</v>
      </c>
      <c r="D41" s="1" t="s">
        <v>57</v>
      </c>
      <c r="E41" s="1">
        <f>SQRT(E39*E40)</f>
        <v>1.2609807444764476</v>
      </c>
    </row>
    <row r="42" spans="2:13" x14ac:dyDescent="0.3">
      <c r="B42" s="1" t="s">
        <v>58</v>
      </c>
      <c r="C42" s="1">
        <f>H51</f>
        <v>0.25025000000000003</v>
      </c>
    </row>
    <row r="43" spans="2:13" ht="16.2" thickBot="1" x14ac:dyDescent="0.35"/>
    <row r="44" spans="2:13" ht="16.2" thickBot="1" x14ac:dyDescent="0.35">
      <c r="B44" s="90">
        <v>4</v>
      </c>
      <c r="C44" s="63" t="s">
        <v>59</v>
      </c>
      <c r="D44" s="64"/>
      <c r="E44" s="64"/>
      <c r="F44" s="65"/>
      <c r="G44" s="66"/>
      <c r="H44" s="66"/>
      <c r="I44" s="66"/>
      <c r="J44" s="66"/>
      <c r="K44" s="66" t="s">
        <v>60</v>
      </c>
      <c r="L44" s="66"/>
      <c r="M44" s="66"/>
    </row>
    <row r="45" spans="2:13" ht="66" customHeight="1" x14ac:dyDescent="0.3">
      <c r="B45" s="88" t="s">
        <v>61</v>
      </c>
      <c r="C45" s="78" t="s">
        <v>36</v>
      </c>
      <c r="D45" s="67" t="s">
        <v>37</v>
      </c>
      <c r="E45" s="67" t="s">
        <v>38</v>
      </c>
      <c r="F45" s="68" t="s">
        <v>112</v>
      </c>
      <c r="G45" s="69" t="s">
        <v>40</v>
      </c>
      <c r="H45" s="69" t="s">
        <v>39</v>
      </c>
      <c r="I45" s="70" t="s">
        <v>62</v>
      </c>
      <c r="J45" s="71" t="s">
        <v>63</v>
      </c>
      <c r="K45" s="85" t="s">
        <v>64</v>
      </c>
      <c r="L45" s="72" t="s">
        <v>65</v>
      </c>
      <c r="M45" s="85" t="s">
        <v>66</v>
      </c>
    </row>
    <row r="46" spans="2:13" x14ac:dyDescent="0.3">
      <c r="B46" s="72" t="s">
        <v>9</v>
      </c>
      <c r="C46" s="79">
        <f>E5</f>
        <v>0</v>
      </c>
      <c r="D46" s="72">
        <f>F5</f>
        <v>1</v>
      </c>
      <c r="E46" s="72">
        <f>G5</f>
        <v>0</v>
      </c>
      <c r="F46" s="93">
        <f>K46^($D$37) * ($J$10/$K$10)</f>
        <v>1.4311645391550888E+34</v>
      </c>
      <c r="G46" s="73">
        <f>I5</f>
        <v>0</v>
      </c>
      <c r="H46" s="73">
        <f>H5</f>
        <v>0</v>
      </c>
      <c r="I46" s="73">
        <f>L46/$L$57</f>
        <v>0</v>
      </c>
      <c r="J46" s="73">
        <f>M46/$M$57</f>
        <v>0</v>
      </c>
      <c r="K46" s="72">
        <f>SQRT( (D25/$D$30)*(E25/$E$30) )</f>
        <v>7.9056658410012162</v>
      </c>
      <c r="L46" s="75">
        <f>C46-M46</f>
        <v>0</v>
      </c>
      <c r="M46" s="72">
        <f>C46/(F46+1)</f>
        <v>0</v>
      </c>
    </row>
    <row r="47" spans="2:13" x14ac:dyDescent="0.3">
      <c r="B47" s="72" t="s">
        <v>11</v>
      </c>
      <c r="C47" s="79">
        <f t="shared" ref="C47:D56" si="5">E6</f>
        <v>0.10010000000000001</v>
      </c>
      <c r="D47" s="72">
        <f t="shared" si="5"/>
        <v>1</v>
      </c>
      <c r="E47" s="72">
        <f t="shared" ref="E47:E56" si="6">G6</f>
        <v>0</v>
      </c>
      <c r="F47" s="93">
        <f t="shared" ref="F47:F56" si="7">K47^($D$37) * ($J$10/$K$10)</f>
        <v>6.2118788043765249E+22</v>
      </c>
      <c r="G47" s="73">
        <f t="shared" ref="G47:G56" si="8">I6</f>
        <v>0</v>
      </c>
      <c r="H47" s="73">
        <f t="shared" ref="H47:H56" si="9">H6</f>
        <v>0.10010000000000001</v>
      </c>
      <c r="I47" s="73">
        <f t="shared" ref="I47:I56" si="10">L47/$L$57</f>
        <v>1.7212374938228677E-4</v>
      </c>
      <c r="J47" s="73">
        <f t="shared" ref="J47:J56" si="11">M47/$M$57</f>
        <v>3.8409256102335116E-27</v>
      </c>
      <c r="K47" s="72">
        <f t="shared" ref="K47:K56" si="12">SQRT( (D26/$D$30)*(E26/$E$30) )</f>
        <v>4.0599637935341706</v>
      </c>
      <c r="L47" s="75">
        <f t="shared" ref="L47:L56" si="13">C47-M47</f>
        <v>0.10010000000000001</v>
      </c>
      <c r="M47" s="72">
        <f t="shared" ref="M47:M56" si="14">C47/(F47+1)</f>
        <v>1.6114287344027933E-24</v>
      </c>
    </row>
    <row r="48" spans="2:13" x14ac:dyDescent="0.3">
      <c r="B48" s="72" t="s">
        <v>10</v>
      </c>
      <c r="C48" s="79">
        <f t="shared" si="5"/>
        <v>0</v>
      </c>
      <c r="D48" s="72">
        <f t="shared" si="5"/>
        <v>1</v>
      </c>
      <c r="E48" s="72">
        <f t="shared" si="6"/>
        <v>0</v>
      </c>
      <c r="F48" s="93">
        <f t="shared" si="7"/>
        <v>3.0868254500791693E+22</v>
      </c>
      <c r="G48" s="73">
        <f t="shared" si="8"/>
        <v>0</v>
      </c>
      <c r="H48" s="73">
        <f t="shared" si="9"/>
        <v>0</v>
      </c>
      <c r="I48" s="73">
        <f t="shared" si="10"/>
        <v>0</v>
      </c>
      <c r="J48" s="73">
        <f t="shared" si="11"/>
        <v>0</v>
      </c>
      <c r="K48" s="72">
        <f t="shared" si="12"/>
        <v>3.9882857108303815</v>
      </c>
      <c r="L48" s="75">
        <f t="shared" si="13"/>
        <v>0</v>
      </c>
      <c r="M48" s="72">
        <f t="shared" si="14"/>
        <v>0</v>
      </c>
    </row>
    <row r="49" spans="2:13" x14ac:dyDescent="0.3">
      <c r="B49" s="85" t="s">
        <v>12</v>
      </c>
      <c r="C49" s="79">
        <f t="shared" si="5"/>
        <v>0.30029999999999996</v>
      </c>
      <c r="D49" s="85">
        <f t="shared" si="5"/>
        <v>1</v>
      </c>
      <c r="E49" s="85">
        <f t="shared" si="6"/>
        <v>0</v>
      </c>
      <c r="F49" s="93">
        <f t="shared" si="7"/>
        <v>5625238.2528018886</v>
      </c>
      <c r="G49" s="73">
        <f t="shared" si="8"/>
        <v>0</v>
      </c>
      <c r="H49" s="73">
        <f t="shared" si="9"/>
        <v>0.30029999999999996</v>
      </c>
      <c r="I49" s="73">
        <f t="shared" si="10"/>
        <v>5.1637115635143154E-4</v>
      </c>
      <c r="J49" s="73">
        <f t="shared" si="11"/>
        <v>1.2724453120200542E-10</v>
      </c>
      <c r="K49" s="85">
        <f t="shared" si="12"/>
        <v>1.5844725294309714</v>
      </c>
      <c r="L49" s="75">
        <f t="shared" si="13"/>
        <v>0.30029994661560394</v>
      </c>
      <c r="M49" s="72">
        <f t="shared" si="14"/>
        <v>5.3384396023764294E-8</v>
      </c>
    </row>
    <row r="50" spans="2:13" x14ac:dyDescent="0.3">
      <c r="B50" s="83" t="s">
        <v>13</v>
      </c>
      <c r="C50" s="79">
        <f t="shared" si="5"/>
        <v>581.78120000000001</v>
      </c>
      <c r="D50" s="83">
        <f t="shared" si="5"/>
        <v>0.999</v>
      </c>
      <c r="E50" s="83">
        <f t="shared" si="6"/>
        <v>1.0000000000000009E-3</v>
      </c>
      <c r="F50" s="94">
        <f t="shared" si="7"/>
        <v>718.59936969202579</v>
      </c>
      <c r="G50" s="95">
        <f t="shared" si="8"/>
        <v>0.58178120000000055</v>
      </c>
      <c r="H50" s="95">
        <f t="shared" si="9"/>
        <v>581.19941879999999</v>
      </c>
      <c r="I50" s="95">
        <f t="shared" si="10"/>
        <v>0.99899303670770945</v>
      </c>
      <c r="J50" s="95">
        <f t="shared" si="11"/>
        <v>1.9270531862596938E-3</v>
      </c>
      <c r="K50" s="83">
        <f t="shared" si="12"/>
        <v>1.2609807444764476</v>
      </c>
      <c r="L50" s="87">
        <f t="shared" si="13"/>
        <v>580.97272069261953</v>
      </c>
      <c r="M50" s="83">
        <f t="shared" si="14"/>
        <v>0.80847930738042584</v>
      </c>
    </row>
    <row r="51" spans="2:13" x14ac:dyDescent="0.3">
      <c r="B51" s="81" t="s">
        <v>17</v>
      </c>
      <c r="C51" s="79">
        <f t="shared" si="5"/>
        <v>2.5024999999999999</v>
      </c>
      <c r="D51" s="81">
        <f t="shared" si="5"/>
        <v>0.1</v>
      </c>
      <c r="E51" s="81">
        <f t="shared" si="6"/>
        <v>0.9</v>
      </c>
      <c r="F51" s="96">
        <f t="shared" si="7"/>
        <v>7.9924298708934152E-2</v>
      </c>
      <c r="G51" s="97">
        <f t="shared" si="8"/>
        <v>2.2522500000000001</v>
      </c>
      <c r="H51" s="97">
        <f t="shared" si="9"/>
        <v>0.25025000000000003</v>
      </c>
      <c r="I51" s="97">
        <f t="shared" si="10"/>
        <v>3.184683865567743E-4</v>
      </c>
      <c r="J51" s="97">
        <f t="shared" si="11"/>
        <v>5.5233881708006641E-3</v>
      </c>
      <c r="K51" s="81">
        <f t="shared" si="12"/>
        <v>1</v>
      </c>
      <c r="L51" s="86">
        <f t="shared" si="13"/>
        <v>0.18520794259210893</v>
      </c>
      <c r="M51" s="81">
        <f t="shared" si="14"/>
        <v>2.317292057407891</v>
      </c>
    </row>
    <row r="52" spans="2:13" x14ac:dyDescent="0.3">
      <c r="B52" s="80" t="s">
        <v>18</v>
      </c>
      <c r="C52" s="79">
        <f t="shared" si="5"/>
        <v>415.51510000000002</v>
      </c>
      <c r="D52" s="85">
        <f t="shared" si="5"/>
        <v>1E-3</v>
      </c>
      <c r="E52" s="85">
        <f t="shared" si="6"/>
        <v>0.999</v>
      </c>
      <c r="F52" s="93">
        <f t="shared" si="7"/>
        <v>1.5575781286236024E-28</v>
      </c>
      <c r="G52" s="73">
        <f t="shared" si="8"/>
        <v>415.09958490000002</v>
      </c>
      <c r="H52" s="73">
        <f t="shared" si="9"/>
        <v>0.41551510000000003</v>
      </c>
      <c r="I52" s="73">
        <f t="shared" si="10"/>
        <v>0</v>
      </c>
      <c r="J52" s="73">
        <f t="shared" si="11"/>
        <v>0.99040221572082954</v>
      </c>
      <c r="K52" s="85">
        <f t="shared" si="12"/>
        <v>0.20876463247413968</v>
      </c>
      <c r="L52" s="75">
        <f t="shared" si="13"/>
        <v>0</v>
      </c>
      <c r="M52" s="72">
        <f t="shared" si="14"/>
        <v>415.51510000000002</v>
      </c>
    </row>
    <row r="53" spans="2:13" x14ac:dyDescent="0.3">
      <c r="B53" s="80" t="s">
        <v>19</v>
      </c>
      <c r="C53" s="79">
        <f t="shared" si="5"/>
        <v>0.90089999999999992</v>
      </c>
      <c r="D53" s="85">
        <f t="shared" si="5"/>
        <v>0</v>
      </c>
      <c r="E53" s="85">
        <f t="shared" si="6"/>
        <v>1</v>
      </c>
      <c r="F53" s="93">
        <f t="shared" si="7"/>
        <v>3.0270979184045412E-38</v>
      </c>
      <c r="G53" s="73">
        <f t="shared" si="8"/>
        <v>0.90089999999999992</v>
      </c>
      <c r="H53" s="73">
        <f t="shared" si="9"/>
        <v>0</v>
      </c>
      <c r="I53" s="73">
        <f t="shared" si="10"/>
        <v>0</v>
      </c>
      <c r="J53" s="73">
        <f t="shared" si="11"/>
        <v>2.1473427948656863E-3</v>
      </c>
      <c r="K53" s="85">
        <f t="shared" si="12"/>
        <v>0.11811220479996334</v>
      </c>
      <c r="L53" s="75">
        <f t="shared" si="13"/>
        <v>0</v>
      </c>
      <c r="M53" s="72">
        <f t="shared" si="14"/>
        <v>0.90089999999999992</v>
      </c>
    </row>
    <row r="54" spans="2:13" x14ac:dyDescent="0.3">
      <c r="B54" s="85" t="s">
        <v>14</v>
      </c>
      <c r="C54" s="79">
        <f t="shared" si="5"/>
        <v>0</v>
      </c>
      <c r="D54" s="85">
        <f t="shared" si="5"/>
        <v>0</v>
      </c>
      <c r="E54" s="85">
        <f t="shared" si="6"/>
        <v>1</v>
      </c>
      <c r="F54" s="93">
        <f t="shared" si="7"/>
        <v>0</v>
      </c>
      <c r="G54" s="73">
        <f t="shared" si="8"/>
        <v>0</v>
      </c>
      <c r="H54" s="73">
        <f t="shared" si="9"/>
        <v>0</v>
      </c>
      <c r="I54" s="73">
        <f t="shared" si="10"/>
        <v>0</v>
      </c>
      <c r="J54" s="73">
        <f t="shared" si="11"/>
        <v>0</v>
      </c>
      <c r="K54" s="85">
        <f t="shared" si="12"/>
        <v>0</v>
      </c>
      <c r="L54" s="75">
        <f t="shared" si="13"/>
        <v>0</v>
      </c>
      <c r="M54" s="72">
        <f t="shared" si="14"/>
        <v>0</v>
      </c>
    </row>
    <row r="55" spans="2:13" x14ac:dyDescent="0.3">
      <c r="B55" s="72" t="s">
        <v>15</v>
      </c>
      <c r="C55" s="79">
        <f t="shared" si="5"/>
        <v>0</v>
      </c>
      <c r="D55" s="72">
        <f t="shared" si="5"/>
        <v>0</v>
      </c>
      <c r="E55" s="72">
        <f t="shared" si="6"/>
        <v>1</v>
      </c>
      <c r="F55" s="93">
        <f t="shared" si="7"/>
        <v>338.29665190163041</v>
      </c>
      <c r="G55" s="73">
        <f t="shared" si="8"/>
        <v>0</v>
      </c>
      <c r="H55" s="73">
        <f t="shared" si="9"/>
        <v>0</v>
      </c>
      <c r="I55" s="73">
        <f t="shared" si="10"/>
        <v>0</v>
      </c>
      <c r="J55" s="73">
        <f t="shared" si="11"/>
        <v>0</v>
      </c>
      <c r="K55" s="72">
        <f t="shared" si="12"/>
        <v>1.2370137776335761</v>
      </c>
      <c r="L55" s="75">
        <f t="shared" si="13"/>
        <v>0</v>
      </c>
      <c r="M55" s="72">
        <f t="shared" si="14"/>
        <v>0</v>
      </c>
    </row>
    <row r="56" spans="2:13" x14ac:dyDescent="0.3">
      <c r="B56" s="76" t="s">
        <v>16</v>
      </c>
      <c r="C56" s="79">
        <f t="shared" si="5"/>
        <v>0</v>
      </c>
      <c r="D56" s="72">
        <f t="shared" si="5"/>
        <v>0</v>
      </c>
      <c r="E56" s="72">
        <f t="shared" si="6"/>
        <v>1</v>
      </c>
      <c r="F56" s="93">
        <f t="shared" si="7"/>
        <v>6.5039550119673152E-14</v>
      </c>
      <c r="G56" s="73">
        <f t="shared" si="8"/>
        <v>0</v>
      </c>
      <c r="H56" s="73">
        <f t="shared" si="9"/>
        <v>0</v>
      </c>
      <c r="I56" s="73">
        <f t="shared" si="10"/>
        <v>0</v>
      </c>
      <c r="J56" s="73">
        <f t="shared" si="11"/>
        <v>0</v>
      </c>
      <c r="K56" s="72">
        <f t="shared" si="12"/>
        <v>0.49211343301140364</v>
      </c>
      <c r="L56" s="75">
        <f t="shared" si="13"/>
        <v>0</v>
      </c>
      <c r="M56" s="72">
        <f t="shared" si="14"/>
        <v>0</v>
      </c>
    </row>
    <row r="57" spans="2:13" x14ac:dyDescent="0.3">
      <c r="B57" s="77" t="s">
        <v>111</v>
      </c>
      <c r="C57" s="18">
        <f>SUM(C46:C56)</f>
        <v>1001.1001</v>
      </c>
      <c r="F57" s="21"/>
      <c r="G57" s="30">
        <f>SUM(G46:G56)</f>
        <v>418.83451610000003</v>
      </c>
      <c r="H57" s="30">
        <f>SUM(H46:H56)</f>
        <v>582.26558390000002</v>
      </c>
      <c r="I57" s="30">
        <f>SUM(I46:I56)</f>
        <v>1</v>
      </c>
      <c r="J57" s="30">
        <f>SUM(J46:J56)</f>
        <v>1</v>
      </c>
      <c r="K57" s="21"/>
      <c r="L57" s="75">
        <f>SUM(L46:L56)</f>
        <v>581.55832858182725</v>
      </c>
      <c r="M57" s="75">
        <f>SUM(M46:M56)</f>
        <v>419.54177141817269</v>
      </c>
    </row>
    <row r="59" spans="2:13" ht="16.2" thickBot="1" x14ac:dyDescent="0.35"/>
    <row r="60" spans="2:13" ht="16.2" thickBot="1" x14ac:dyDescent="0.35">
      <c r="B60" s="35">
        <v>5</v>
      </c>
      <c r="C60" s="173" t="s">
        <v>67</v>
      </c>
      <c r="D60" s="174"/>
      <c r="E60" s="175"/>
    </row>
    <row r="61" spans="2:13" x14ac:dyDescent="0.3">
      <c r="B61" s="20" t="s">
        <v>68</v>
      </c>
      <c r="C61" s="101">
        <v>10160.385</v>
      </c>
      <c r="D61" s="1" t="s">
        <v>35</v>
      </c>
    </row>
    <row r="62" spans="2:13" x14ac:dyDescent="0.3">
      <c r="B62" s="30" t="s">
        <v>69</v>
      </c>
      <c r="C62" s="101">
        <v>1001</v>
      </c>
      <c r="D62" s="1" t="s">
        <v>35</v>
      </c>
    </row>
    <row r="63" spans="2:13" x14ac:dyDescent="0.3">
      <c r="B63" s="30" t="s">
        <v>113</v>
      </c>
      <c r="C63" s="107">
        <f>C61/C62</f>
        <v>10.150234765234766</v>
      </c>
    </row>
    <row r="64" spans="2:13" x14ac:dyDescent="0.3">
      <c r="B64" s="30" t="s">
        <v>114</v>
      </c>
      <c r="C64" s="60">
        <f>1-C63-E76</f>
        <v>-2.1278018600412452E-6</v>
      </c>
    </row>
    <row r="65" spans="2:6" x14ac:dyDescent="0.3">
      <c r="B65" s="30" t="s">
        <v>70</v>
      </c>
      <c r="C65" s="13">
        <v>1.0002109344955139</v>
      </c>
      <c r="D65" s="25" t="s">
        <v>121</v>
      </c>
    </row>
    <row r="67" spans="2:6" ht="31.2" x14ac:dyDescent="0.3">
      <c r="B67" s="72" t="s">
        <v>61</v>
      </c>
      <c r="C67" s="2" t="s">
        <v>115</v>
      </c>
      <c r="D67" s="2" t="s">
        <v>71</v>
      </c>
      <c r="E67" s="3" t="s">
        <v>72</v>
      </c>
      <c r="F67" s="3" t="s">
        <v>73</v>
      </c>
    </row>
    <row r="68" spans="2:6" x14ac:dyDescent="0.3">
      <c r="B68" s="72" t="s">
        <v>9</v>
      </c>
      <c r="C68" s="30">
        <f>K46</f>
        <v>7.9056658410012162</v>
      </c>
      <c r="D68" s="30">
        <f>D5</f>
        <v>0</v>
      </c>
      <c r="E68" s="30">
        <f>C68*D68/(C68-$C$65)</f>
        <v>0</v>
      </c>
      <c r="F68" s="30">
        <f>C68*I46/(C68-$C$65)</f>
        <v>0</v>
      </c>
    </row>
    <row r="69" spans="2:6" x14ac:dyDescent="0.3">
      <c r="B69" s="72" t="s">
        <v>11</v>
      </c>
      <c r="C69" s="30">
        <f t="shared" ref="C69:C75" si="15">K47</f>
        <v>4.0599637935341706</v>
      </c>
      <c r="D69" s="30">
        <f t="shared" ref="D69:D75" si="16">D6</f>
        <v>1E-4</v>
      </c>
      <c r="E69" s="30">
        <f t="shared" ref="E69:E75" si="17">C69*D69/(C69-$C$65)</f>
        <v>1.326892719959667E-4</v>
      </c>
      <c r="F69" s="30">
        <f t="shared" ref="F69:F75" si="18">C69*I47/(C69-$C$65)</f>
        <v>2.2838974998751853E-4</v>
      </c>
    </row>
    <row r="70" spans="2:6" x14ac:dyDescent="0.3">
      <c r="B70" s="72" t="s">
        <v>10</v>
      </c>
      <c r="C70" s="30">
        <f t="shared" si="15"/>
        <v>3.9882857108303815</v>
      </c>
      <c r="D70" s="30">
        <f t="shared" si="16"/>
        <v>0</v>
      </c>
      <c r="E70" s="30">
        <f t="shared" si="17"/>
        <v>0</v>
      </c>
      <c r="F70" s="30">
        <f t="shared" si="18"/>
        <v>0</v>
      </c>
    </row>
    <row r="71" spans="2:6" x14ac:dyDescent="0.3">
      <c r="B71" s="85" t="s">
        <v>12</v>
      </c>
      <c r="C71" s="30">
        <f t="shared" si="15"/>
        <v>1.5844725294309714</v>
      </c>
      <c r="D71" s="30">
        <f t="shared" si="16"/>
        <v>2.9999999999999997E-4</v>
      </c>
      <c r="E71" s="30">
        <f t="shared" si="17"/>
        <v>8.1357693702561725E-4</v>
      </c>
      <c r="F71" s="30">
        <f t="shared" si="18"/>
        <v>1.4003588791759126E-3</v>
      </c>
    </row>
    <row r="72" spans="2:6" x14ac:dyDescent="0.3">
      <c r="B72" s="83" t="s">
        <v>13</v>
      </c>
      <c r="C72" s="16">
        <f t="shared" si="15"/>
        <v>1.2609807444764476</v>
      </c>
      <c r="D72" s="16">
        <f t="shared" si="16"/>
        <v>0.58120000000000005</v>
      </c>
      <c r="E72" s="16">
        <f t="shared" si="17"/>
        <v>2.8104557377378021</v>
      </c>
      <c r="F72" s="16">
        <f t="shared" si="18"/>
        <v>4.8307393530201175</v>
      </c>
    </row>
    <row r="73" spans="2:6" x14ac:dyDescent="0.3">
      <c r="B73" s="81" t="s">
        <v>17</v>
      </c>
      <c r="C73" s="100">
        <f t="shared" si="15"/>
        <v>1</v>
      </c>
      <c r="D73" s="100">
        <f t="shared" si="16"/>
        <v>2.5000000000000001E-3</v>
      </c>
      <c r="E73" s="100">
        <f t="shared" si="17"/>
        <v>-11.852020665985444</v>
      </c>
      <c r="F73" s="100">
        <f t="shared" si="18"/>
        <v>-1.509797559573572</v>
      </c>
    </row>
    <row r="74" spans="2:6" x14ac:dyDescent="0.3">
      <c r="B74" s="80" t="s">
        <v>18</v>
      </c>
      <c r="C74" s="30">
        <f t="shared" si="15"/>
        <v>0.20876463247413968</v>
      </c>
      <c r="D74" s="30">
        <f t="shared" si="16"/>
        <v>0.41510000000000002</v>
      </c>
      <c r="E74" s="30">
        <f t="shared" si="17"/>
        <v>-0.10949346622593108</v>
      </c>
      <c r="F74" s="30">
        <f t="shared" si="18"/>
        <v>0</v>
      </c>
    </row>
    <row r="75" spans="2:6" x14ac:dyDescent="0.3">
      <c r="B75" s="80" t="s">
        <v>19</v>
      </c>
      <c r="C75" s="30">
        <f t="shared" si="15"/>
        <v>0.11811220479996334</v>
      </c>
      <c r="D75" s="30">
        <f t="shared" si="16"/>
        <v>8.9999999999999998E-4</v>
      </c>
      <c r="E75" s="30">
        <f t="shared" si="17"/>
        <v>-1.2050916835200063E-4</v>
      </c>
      <c r="F75" s="30">
        <f t="shared" si="18"/>
        <v>0</v>
      </c>
    </row>
    <row r="76" spans="2:6" x14ac:dyDescent="0.3">
      <c r="D76" s="30" t="s">
        <v>111</v>
      </c>
      <c r="E76" s="98">
        <f>SUM(E68:E75)</f>
        <v>-9.1502326374329055</v>
      </c>
      <c r="F76" s="98">
        <f>SUM(F68:F75)</f>
        <v>3.3225705420757086</v>
      </c>
    </row>
    <row r="77" spans="2:6" ht="16.2" thickBot="1" x14ac:dyDescent="0.35"/>
    <row r="78" spans="2:6" ht="16.2" thickBot="1" x14ac:dyDescent="0.35">
      <c r="B78" s="118">
        <v>6</v>
      </c>
      <c r="C78" s="99" t="s">
        <v>74</v>
      </c>
      <c r="D78" s="109">
        <f>F76-1</f>
        <v>2.3225705420757086</v>
      </c>
    </row>
    <row r="79" spans="2:6" x14ac:dyDescent="0.3">
      <c r="B79" s="20" t="s">
        <v>75</v>
      </c>
      <c r="C79" s="102">
        <v>1.4</v>
      </c>
    </row>
    <row r="80" spans="2:6" x14ac:dyDescent="0.3">
      <c r="B80" s="22" t="s">
        <v>116</v>
      </c>
      <c r="C80" s="23">
        <f>C79*D78</f>
        <v>3.2515987589059918</v>
      </c>
    </row>
    <row r="82" spans="2:7" ht="16.2" thickBot="1" x14ac:dyDescent="0.35"/>
    <row r="83" spans="2:7" ht="16.2" thickBot="1" x14ac:dyDescent="0.35">
      <c r="B83" s="122">
        <v>7</v>
      </c>
      <c r="C83" s="159" t="s">
        <v>117</v>
      </c>
      <c r="D83" s="176"/>
      <c r="E83" s="176"/>
      <c r="F83" s="177"/>
    </row>
    <row r="84" spans="2:7" x14ac:dyDescent="0.3">
      <c r="B84" s="20" t="s">
        <v>118</v>
      </c>
      <c r="C84" s="30">
        <f>(C85-D37)/(C85+1)</f>
        <v>0.43289327759875929</v>
      </c>
      <c r="D84" s="30" t="s">
        <v>119</v>
      </c>
      <c r="E84" s="30">
        <f>0.75*( 1 - ( (C80-D78)/(C80+1) )^(0.566) )</f>
        <v>0.4328935777322605</v>
      </c>
      <c r="F84" s="30" t="s">
        <v>120</v>
      </c>
      <c r="G84" s="30">
        <f>C84-E84</f>
        <v>-3.0013350121871341E-7</v>
      </c>
    </row>
    <row r="85" spans="2:7" x14ac:dyDescent="0.3">
      <c r="B85" s="22" t="s">
        <v>76</v>
      </c>
      <c r="C85" s="124">
        <v>69.991824711195903</v>
      </c>
      <c r="D85" s="189" t="s">
        <v>77</v>
      </c>
      <c r="E85" s="21"/>
      <c r="F85" s="21"/>
      <c r="G85" s="21"/>
    </row>
    <row r="87" spans="2:7" ht="16.2" thickBot="1" x14ac:dyDescent="0.35"/>
    <row r="88" spans="2:7" ht="16.2" thickBot="1" x14ac:dyDescent="0.35">
      <c r="B88" s="35">
        <v>8</v>
      </c>
      <c r="C88" s="159" t="s">
        <v>122</v>
      </c>
      <c r="D88" s="176"/>
    </row>
    <row r="89" spans="2:7" x14ac:dyDescent="0.3">
      <c r="B89" s="20" t="s">
        <v>78</v>
      </c>
      <c r="C89" s="13">
        <f>EXP(0.206*LN( (I16/H16)*(D10/D9)*(K9/J10)^2 ) )</f>
        <v>0.49311661538081197</v>
      </c>
    </row>
    <row r="90" spans="2:7" x14ac:dyDescent="0.3">
      <c r="B90" s="30" t="s">
        <v>79</v>
      </c>
      <c r="C90" s="13">
        <f>C85/(C89+1)</f>
        <v>46.876328339126303</v>
      </c>
    </row>
    <row r="91" spans="2:7" x14ac:dyDescent="0.3">
      <c r="B91" s="30" t="s">
        <v>80</v>
      </c>
      <c r="C91" s="13">
        <f>C90*C89</f>
        <v>23.1154963720696</v>
      </c>
    </row>
    <row r="92" spans="2:7" x14ac:dyDescent="0.3">
      <c r="B92" s="22" t="s">
        <v>81</v>
      </c>
      <c r="C92" s="109">
        <f>ROUNDUP(C91,0)</f>
        <v>24</v>
      </c>
    </row>
    <row r="94" spans="2:7" ht="16.2" thickBot="1" x14ac:dyDescent="0.35"/>
    <row r="95" spans="2:7" ht="16.2" thickBot="1" x14ac:dyDescent="0.35">
      <c r="B95" s="35">
        <v>9</v>
      </c>
      <c r="C95" s="159" t="s">
        <v>82</v>
      </c>
      <c r="D95" s="176"/>
      <c r="E95" s="176"/>
      <c r="F95" s="176"/>
    </row>
    <row r="96" spans="2:7" x14ac:dyDescent="0.3">
      <c r="B96" s="138" t="s">
        <v>132</v>
      </c>
      <c r="C96" s="137">
        <v>1.4999999999999999E-2</v>
      </c>
      <c r="D96" t="s">
        <v>131</v>
      </c>
      <c r="E96" s="140" t="s">
        <v>161</v>
      </c>
    </row>
    <row r="97" spans="2:5" x14ac:dyDescent="0.3">
      <c r="B97" s="102" t="s">
        <v>133</v>
      </c>
      <c r="C97" s="137">
        <v>0.1</v>
      </c>
      <c r="D97" t="s">
        <v>157</v>
      </c>
      <c r="E97" s="140" t="s">
        <v>161</v>
      </c>
    </row>
    <row r="98" spans="2:5" x14ac:dyDescent="0.3">
      <c r="B98" s="102" t="s">
        <v>123</v>
      </c>
      <c r="C98" s="137">
        <v>0.2</v>
      </c>
      <c r="D98" t="s">
        <v>157</v>
      </c>
      <c r="E98" s="140" t="s">
        <v>161</v>
      </c>
    </row>
    <row r="99" spans="2:5" x14ac:dyDescent="0.3">
      <c r="B99" s="102" t="s">
        <v>134</v>
      </c>
      <c r="C99" s="137">
        <v>3</v>
      </c>
      <c r="E99" s="140" t="s">
        <v>161</v>
      </c>
    </row>
    <row r="100" spans="2:5" x14ac:dyDescent="0.3">
      <c r="B100" s="102" t="s">
        <v>135</v>
      </c>
      <c r="C100" s="102">
        <v>0.60960000000000003</v>
      </c>
      <c r="D100" t="s">
        <v>131</v>
      </c>
      <c r="E100" s="140" t="s">
        <v>161</v>
      </c>
    </row>
    <row r="101" spans="2:5" x14ac:dyDescent="0.3">
      <c r="B101" s="102" t="s">
        <v>136</v>
      </c>
      <c r="C101" s="137">
        <v>0.05</v>
      </c>
      <c r="D101" t="s">
        <v>131</v>
      </c>
      <c r="E101" s="140" t="s">
        <v>161</v>
      </c>
    </row>
    <row r="102" spans="2:5" x14ac:dyDescent="0.3">
      <c r="B102" s="101" t="s">
        <v>145</v>
      </c>
      <c r="C102" s="92">
        <f>AVERAGE(B145:B176)</f>
        <v>0.11209178298764048</v>
      </c>
      <c r="D102" t="s">
        <v>84</v>
      </c>
    </row>
    <row r="103" spans="2:5" x14ac:dyDescent="0.3">
      <c r="B103" s="139" t="s">
        <v>146</v>
      </c>
      <c r="C103" s="13">
        <f>F29/F30</f>
        <v>1.2609807444764476</v>
      </c>
      <c r="E103" t="s">
        <v>164</v>
      </c>
    </row>
    <row r="104" spans="2:5" x14ac:dyDescent="0.3">
      <c r="B104" s="139" t="s">
        <v>147</v>
      </c>
      <c r="C104" s="14">
        <f>C102*C103</f>
        <v>0.14134557996144731</v>
      </c>
    </row>
    <row r="105" spans="2:5" x14ac:dyDescent="0.3">
      <c r="B105" s="98" t="s">
        <v>148</v>
      </c>
      <c r="C105" s="135">
        <v>0.82</v>
      </c>
      <c r="E105" t="s">
        <v>160</v>
      </c>
    </row>
    <row r="106" spans="2:5" x14ac:dyDescent="0.3">
      <c r="B106" s="98" t="s">
        <v>149</v>
      </c>
      <c r="C106" s="129">
        <f>ROUNDUP(C85/C105,0)</f>
        <v>86</v>
      </c>
    </row>
    <row r="107" spans="2:5" x14ac:dyDescent="0.3">
      <c r="B107" s="98" t="s">
        <v>155</v>
      </c>
      <c r="C107" s="129" t="s">
        <v>156</v>
      </c>
    </row>
    <row r="109" spans="2:5" ht="16.2" thickBot="1" x14ac:dyDescent="0.35"/>
    <row r="110" spans="2:5" ht="16.2" thickBot="1" x14ac:dyDescent="0.35">
      <c r="B110" s="35">
        <v>10</v>
      </c>
      <c r="C110" s="178" t="s">
        <v>85</v>
      </c>
      <c r="D110" s="159"/>
    </row>
    <row r="111" spans="2:5" x14ac:dyDescent="0.3">
      <c r="B111" s="180" t="s">
        <v>86</v>
      </c>
      <c r="C111" s="145">
        <f>AVERAGE(D145:D176)</f>
        <v>513399.44728591695</v>
      </c>
      <c r="D111" t="s">
        <v>87</v>
      </c>
    </row>
    <row r="112" spans="2:5" x14ac:dyDescent="0.3">
      <c r="B112" s="161"/>
      <c r="C112" s="127">
        <f>C111/35.5/3600</f>
        <v>4.0172100726597568</v>
      </c>
      <c r="D112" t="s">
        <v>127</v>
      </c>
    </row>
    <row r="113" spans="2:6" x14ac:dyDescent="0.3">
      <c r="B113" s="160" t="s">
        <v>88</v>
      </c>
      <c r="C113" s="146">
        <f>AVERAGE(C145:C176)</f>
        <v>520802.46687561914</v>
      </c>
      <c r="D113" t="s">
        <v>87</v>
      </c>
    </row>
    <row r="114" spans="2:6" x14ac:dyDescent="0.3">
      <c r="B114" s="161"/>
      <c r="C114" s="127">
        <f>C113/35.5/3600</f>
        <v>4.0751366735181467</v>
      </c>
      <c r="D114" t="s">
        <v>127</v>
      </c>
    </row>
    <row r="115" spans="2:6" x14ac:dyDescent="0.3">
      <c r="B115" s="160" t="s">
        <v>89</v>
      </c>
      <c r="C115" s="147">
        <f>AVERAGE(F145:F176)</f>
        <v>3.1475167519462905</v>
      </c>
      <c r="D115" t="s">
        <v>91</v>
      </c>
    </row>
    <row r="116" spans="2:6" x14ac:dyDescent="0.3">
      <c r="B116" s="161"/>
      <c r="C116" s="13">
        <f>C115/35.5</f>
        <v>8.8662443716796921E-2</v>
      </c>
      <c r="D116" t="s">
        <v>128</v>
      </c>
    </row>
    <row r="117" spans="2:6" x14ac:dyDescent="0.3">
      <c r="B117" s="160" t="s">
        <v>90</v>
      </c>
      <c r="C117" s="143">
        <f>AVERAGE(E145:E176)</f>
        <v>49.441646880549925</v>
      </c>
      <c r="D117" t="s">
        <v>91</v>
      </c>
    </row>
    <row r="118" spans="2:6" x14ac:dyDescent="0.3">
      <c r="B118" s="161"/>
      <c r="C118" s="13">
        <f>C117/35.5</f>
        <v>1.3927224473394344</v>
      </c>
      <c r="D118" t="s">
        <v>128</v>
      </c>
    </row>
    <row r="119" spans="2:6" x14ac:dyDescent="0.3">
      <c r="B119" s="187" t="s">
        <v>92</v>
      </c>
      <c r="C119" s="134">
        <v>0.24</v>
      </c>
      <c r="D119" t="s">
        <v>150</v>
      </c>
      <c r="E119" t="s">
        <v>151</v>
      </c>
    </row>
    <row r="120" spans="2:6" x14ac:dyDescent="0.3">
      <c r="B120" s="128" t="s">
        <v>93</v>
      </c>
      <c r="C120" s="144">
        <f>AVERAGE(G145:G176)</f>
        <v>11.193402556193989</v>
      </c>
      <c r="D120" t="s">
        <v>94</v>
      </c>
    </row>
    <row r="121" spans="2:6" x14ac:dyDescent="0.3">
      <c r="B121" s="33" t="s">
        <v>95</v>
      </c>
      <c r="C121" s="127">
        <f>(C120/20)^0.2</f>
        <v>0.89040261222478068</v>
      </c>
    </row>
    <row r="122" spans="2:6" x14ac:dyDescent="0.3">
      <c r="B122" s="130" t="s">
        <v>96</v>
      </c>
      <c r="C122" s="134">
        <v>1</v>
      </c>
      <c r="D122" t="s">
        <v>162</v>
      </c>
    </row>
    <row r="123" spans="2:6" x14ac:dyDescent="0.3">
      <c r="B123" s="130" t="s">
        <v>97</v>
      </c>
      <c r="C123" s="134">
        <v>1</v>
      </c>
      <c r="D123" t="s">
        <v>163</v>
      </c>
    </row>
    <row r="124" spans="2:6" x14ac:dyDescent="0.3">
      <c r="B124" s="129" t="s">
        <v>98</v>
      </c>
      <c r="C124" s="116">
        <f>C119*C121*C122*C123</f>
        <v>0.21369662693394736</v>
      </c>
      <c r="D124" t="s">
        <v>150</v>
      </c>
    </row>
    <row r="125" spans="2:6" x14ac:dyDescent="0.3">
      <c r="B125" s="129" t="s">
        <v>125</v>
      </c>
      <c r="C125" s="13">
        <f>C124*SQRT( (C117-C115)/C115)</f>
        <v>0.81955217289413507</v>
      </c>
      <c r="D125" t="s">
        <v>150</v>
      </c>
    </row>
    <row r="126" spans="2:6" x14ac:dyDescent="0.3">
      <c r="B126" s="129" t="s">
        <v>99</v>
      </c>
      <c r="C126" s="13">
        <f>C113/C111*SQRT(C115/C117)</f>
        <v>0.25595003705516989</v>
      </c>
    </row>
    <row r="127" spans="2:6" x14ac:dyDescent="0.3">
      <c r="B127" s="102" t="s">
        <v>100</v>
      </c>
      <c r="C127" s="135">
        <v>0.8</v>
      </c>
      <c r="E127" s="140" t="s">
        <v>165</v>
      </c>
      <c r="F127" t="s">
        <v>166</v>
      </c>
    </row>
    <row r="128" spans="2:6" ht="16.2" thickBot="1" x14ac:dyDescent="0.35">
      <c r="B128" s="133" t="s">
        <v>152</v>
      </c>
      <c r="C128" s="131">
        <v>0.1</v>
      </c>
      <c r="D128" t="s">
        <v>151</v>
      </c>
    </row>
    <row r="129" spans="2:10" ht="16.2" thickBot="1" x14ac:dyDescent="0.35">
      <c r="B129" s="208" t="s">
        <v>101</v>
      </c>
      <c r="C129" s="207">
        <f>( 4*C112/ (C127*C125*PI()*(1-C128)*C116) )^(1/2)</f>
        <v>9.8876464930660735</v>
      </c>
      <c r="D129" t="s">
        <v>83</v>
      </c>
      <c r="F129" t="s">
        <v>168</v>
      </c>
    </row>
    <row r="130" spans="2:10" ht="16.2" thickBot="1" x14ac:dyDescent="0.35"/>
    <row r="131" spans="2:10" ht="16.2" thickBot="1" x14ac:dyDescent="0.35">
      <c r="B131" s="149">
        <v>11</v>
      </c>
      <c r="C131" s="179" t="s">
        <v>102</v>
      </c>
      <c r="D131" s="159"/>
    </row>
    <row r="132" spans="2:10" ht="16.2" thickBot="1" x14ac:dyDescent="0.35">
      <c r="B132" s="162" t="s">
        <v>103</v>
      </c>
      <c r="C132" s="151">
        <f>CONVERT(C133,"m","ft")</f>
        <v>170</v>
      </c>
      <c r="D132" t="s">
        <v>83</v>
      </c>
      <c r="F132" t="s">
        <v>167</v>
      </c>
    </row>
    <row r="133" spans="2:10" ht="16.2" thickBot="1" x14ac:dyDescent="0.35">
      <c r="B133" s="163"/>
      <c r="C133" s="150">
        <f>C100*(C106-1)</f>
        <v>51.816000000000003</v>
      </c>
      <c r="D133" t="s">
        <v>131</v>
      </c>
    </row>
    <row r="135" spans="2:10" x14ac:dyDescent="0.3">
      <c r="B135" s="129" t="s">
        <v>129</v>
      </c>
      <c r="C135" s="135">
        <v>4</v>
      </c>
      <c r="D135" t="s">
        <v>83</v>
      </c>
    </row>
    <row r="136" spans="2:10" x14ac:dyDescent="0.3">
      <c r="B136" s="129" t="s">
        <v>130</v>
      </c>
      <c r="C136" s="135">
        <v>10</v>
      </c>
      <c r="D136" t="s">
        <v>83</v>
      </c>
    </row>
    <row r="137" spans="2:10" x14ac:dyDescent="0.3">
      <c r="B137" s="22" t="s">
        <v>144</v>
      </c>
      <c r="C137" s="23">
        <f>SUM(C132,C135:C136)</f>
        <v>184</v>
      </c>
      <c r="D137" t="s">
        <v>83</v>
      </c>
    </row>
    <row r="138" spans="2:10" x14ac:dyDescent="0.3">
      <c r="E138" s="21"/>
      <c r="F138" s="21"/>
      <c r="J138" s="21"/>
    </row>
    <row r="140" spans="2:10" x14ac:dyDescent="0.3">
      <c r="B140" t="s">
        <v>153</v>
      </c>
    </row>
    <row r="143" spans="2:10" x14ac:dyDescent="0.3">
      <c r="B143" s="157" t="s">
        <v>143</v>
      </c>
      <c r="C143" s="158"/>
      <c r="D143" s="158"/>
      <c r="E143" s="158"/>
      <c r="F143" s="158"/>
      <c r="G143" s="159"/>
    </row>
    <row r="144" spans="2:10" x14ac:dyDescent="0.3">
      <c r="B144" s="47" t="s">
        <v>137</v>
      </c>
      <c r="C144" s="47" t="s">
        <v>138</v>
      </c>
      <c r="D144" s="47" t="s">
        <v>139</v>
      </c>
      <c r="E144" s="47" t="s">
        <v>140</v>
      </c>
      <c r="F144" s="47" t="s">
        <v>141</v>
      </c>
      <c r="G144" s="47" t="s">
        <v>142</v>
      </c>
    </row>
    <row r="145" spans="2:7" x14ac:dyDescent="0.3">
      <c r="B145" s="152">
        <v>9.5008189709168994E-2</v>
      </c>
      <c r="C145" s="129">
        <v>573271.79094167997</v>
      </c>
      <c r="D145" s="152">
        <v>1.18164391323117E-3</v>
      </c>
      <c r="E145" s="129">
        <v>46.548219142605497</v>
      </c>
      <c r="F145" s="129">
        <v>3.4940744146415401</v>
      </c>
      <c r="G145" s="129">
        <v>5.5649191778901601</v>
      </c>
    </row>
    <row r="146" spans="2:7" x14ac:dyDescent="0.3">
      <c r="B146" s="152">
        <v>9.4999607295846805E-2</v>
      </c>
      <c r="C146" s="129">
        <v>573243.79723343696</v>
      </c>
      <c r="D146" s="129">
        <v>609591.595614144</v>
      </c>
      <c r="E146" s="129">
        <v>46.545706103872</v>
      </c>
      <c r="F146" s="129">
        <v>3.4939381525295299</v>
      </c>
      <c r="G146" s="129">
        <v>5.5660810253603499</v>
      </c>
    </row>
    <row r="147" spans="2:7" x14ac:dyDescent="0.3">
      <c r="B147" s="152">
        <v>9.4995800638522199E-2</v>
      </c>
      <c r="C147" s="129">
        <v>573198.80539682403</v>
      </c>
      <c r="D147" s="129">
        <v>609563.60190590099</v>
      </c>
      <c r="E147" s="129">
        <v>46.544351848991703</v>
      </c>
      <c r="F147" s="129">
        <v>3.4937759616365001</v>
      </c>
      <c r="G147" s="129">
        <v>5.5684091588126199</v>
      </c>
    </row>
    <row r="148" spans="2:7" x14ac:dyDescent="0.3">
      <c r="B148" s="152">
        <v>9.4995894743478707E-2</v>
      </c>
      <c r="C148" s="129">
        <v>573127.18551532796</v>
      </c>
      <c r="D148" s="129">
        <v>609518.61006928806</v>
      </c>
      <c r="E148" s="129">
        <v>46.543855142146199</v>
      </c>
      <c r="F148" s="129">
        <v>3.49355289996062</v>
      </c>
      <c r="G148" s="129">
        <v>5.5723999786823999</v>
      </c>
    </row>
    <row r="149" spans="2:7" x14ac:dyDescent="0.3">
      <c r="B149" s="152">
        <v>9.4999900186037003E-2</v>
      </c>
      <c r="C149" s="129">
        <v>573013.59564861795</v>
      </c>
      <c r="D149" s="129">
        <v>609446.99018779199</v>
      </c>
      <c r="E149" s="129">
        <v>46.544102724034303</v>
      </c>
      <c r="F149" s="129">
        <v>3.49322106256716</v>
      </c>
      <c r="G149" s="129">
        <v>5.5789074151078797</v>
      </c>
    </row>
    <row r="150" spans="2:7" x14ac:dyDescent="0.3">
      <c r="B150" s="152">
        <v>9.5008634712345996E-2</v>
      </c>
      <c r="C150" s="129">
        <v>572833.67403041502</v>
      </c>
      <c r="D150" s="129">
        <v>609333.40032108105</v>
      </c>
      <c r="E150" s="129">
        <v>46.545143895403299</v>
      </c>
      <c r="F150" s="129">
        <v>3.4927092529171202</v>
      </c>
      <c r="G150" s="129">
        <v>5.5893270462147804</v>
      </c>
    </row>
    <row r="151" spans="2:7" x14ac:dyDescent="0.3">
      <c r="B151" s="152">
        <v>9.5023995916073495E-2</v>
      </c>
      <c r="C151" s="129">
        <v>572548.75974324904</v>
      </c>
      <c r="D151" s="129">
        <v>609153.47870287905</v>
      </c>
      <c r="E151" s="129">
        <v>46.547201152774399</v>
      </c>
      <c r="F151" s="129">
        <v>3.4919076032765002</v>
      </c>
      <c r="G151" s="129">
        <v>5.6058989022961603</v>
      </c>
    </row>
    <row r="152" spans="2:7" x14ac:dyDescent="0.3">
      <c r="B152" s="152">
        <v>9.5049280360736996E-2</v>
      </c>
      <c r="C152" s="129">
        <v>572097.439998655</v>
      </c>
      <c r="D152" s="129">
        <v>608868.56441571296</v>
      </c>
      <c r="E152" s="129">
        <v>46.550720536452403</v>
      </c>
      <c r="F152" s="129">
        <v>3.4906437217238802</v>
      </c>
      <c r="G152" s="129">
        <v>5.6321979117357204</v>
      </c>
    </row>
    <row r="153" spans="2:7" x14ac:dyDescent="0.3">
      <c r="B153" s="152">
        <v>9.5090049868959303E-2</v>
      </c>
      <c r="C153" s="129">
        <v>571381.89511591895</v>
      </c>
      <c r="D153" s="129">
        <v>608417.24467111903</v>
      </c>
      <c r="E153" s="129">
        <v>46.556478809156999</v>
      </c>
      <c r="F153" s="129">
        <v>3.48864490742795</v>
      </c>
      <c r="G153" s="129">
        <v>5.6739278254634602</v>
      </c>
    </row>
    <row r="154" spans="2:7" x14ac:dyDescent="0.3">
      <c r="B154" s="152">
        <v>9.5155353494834394E-2</v>
      </c>
      <c r="C154" s="129">
        <v>570245.34574655199</v>
      </c>
      <c r="D154" s="129">
        <v>607701.69978838298</v>
      </c>
      <c r="E154" s="129">
        <v>46.5658010808433</v>
      </c>
      <c r="F154" s="129">
        <v>3.48547729417341</v>
      </c>
      <c r="G154" s="129">
        <v>5.7402177872776701</v>
      </c>
    </row>
    <row r="155" spans="2:7" x14ac:dyDescent="0.3">
      <c r="B155" s="152">
        <v>9.5260577817692094E-2</v>
      </c>
      <c r="C155" s="129">
        <v>568432.575121667</v>
      </c>
      <c r="D155" s="129">
        <v>606565.15041901602</v>
      </c>
      <c r="E155" s="129">
        <v>46.581097509925499</v>
      </c>
      <c r="F155" s="129">
        <v>3.48044529289528</v>
      </c>
      <c r="G155" s="129">
        <v>5.8457826581990497</v>
      </c>
    </row>
    <row r="156" spans="2:7" x14ac:dyDescent="0.3">
      <c r="B156" s="152">
        <v>9.5431116368293697E-2</v>
      </c>
      <c r="C156" s="129">
        <v>565509.872083202</v>
      </c>
      <c r="D156" s="129">
        <v>604752.37979413103</v>
      </c>
      <c r="E156" s="129">
        <v>46.605309028178198</v>
      </c>
      <c r="F156" s="129">
        <v>3.4724152743935801</v>
      </c>
      <c r="G156" s="129">
        <v>6.0146749668249404</v>
      </c>
    </row>
    <row r="157" spans="2:7" x14ac:dyDescent="0.3">
      <c r="B157" s="152">
        <v>9.5725945691237005E-2</v>
      </c>
      <c r="C157" s="129">
        <v>560648.68835460697</v>
      </c>
      <c r="D157" s="129">
        <v>601829.67675566603</v>
      </c>
      <c r="E157" s="129">
        <v>46.648650844213499</v>
      </c>
      <c r="F157" s="129">
        <v>3.4594579263715799</v>
      </c>
      <c r="G157" s="129">
        <v>6.2874076066370703</v>
      </c>
    </row>
    <row r="158" spans="2:7" x14ac:dyDescent="0.3">
      <c r="B158" s="152">
        <v>9.6317662392641598E-2</v>
      </c>
      <c r="C158" s="129">
        <v>551812.27821241203</v>
      </c>
      <c r="D158" s="129">
        <v>596968.493027071</v>
      </c>
      <c r="E158" s="129">
        <v>46.740079802948898</v>
      </c>
      <c r="F158" s="129">
        <v>3.4378852433995202</v>
      </c>
      <c r="G158" s="129">
        <v>6.7371550911923901</v>
      </c>
    </row>
    <row r="159" spans="2:7" x14ac:dyDescent="0.3">
      <c r="B159" s="152">
        <v>9.7958136954992697E-2</v>
      </c>
      <c r="C159" s="129">
        <v>532254.25407151203</v>
      </c>
      <c r="D159" s="129">
        <v>588132.08288487606</v>
      </c>
      <c r="E159" s="129">
        <v>47.013075503973702</v>
      </c>
      <c r="F159" s="129">
        <v>3.39865569396623</v>
      </c>
      <c r="G159" s="129">
        <v>7.5183555561919997</v>
      </c>
    </row>
    <row r="160" spans="2:7" x14ac:dyDescent="0.3">
      <c r="B160" s="152">
        <v>0.10456028826619999</v>
      </c>
      <c r="C160" s="129">
        <v>611745.34957747196</v>
      </c>
      <c r="D160" s="129">
        <v>568574.05874397606</v>
      </c>
      <c r="E160" s="129">
        <v>48.152265702496898</v>
      </c>
      <c r="F160" s="129">
        <v>3.3124259871258799</v>
      </c>
      <c r="G160" s="129">
        <v>9.0398808370037695</v>
      </c>
    </row>
    <row r="161" spans="2:7" x14ac:dyDescent="0.3">
      <c r="B161" s="152">
        <v>0.10456690019439099</v>
      </c>
      <c r="C161" s="129">
        <v>611631.91062462504</v>
      </c>
      <c r="D161" s="129">
        <v>565763.36733399704</v>
      </c>
      <c r="E161" s="129">
        <v>48.153125989963399</v>
      </c>
      <c r="F161" s="129">
        <v>3.3121572517180899</v>
      </c>
      <c r="G161" s="129">
        <v>9.0458949700475095</v>
      </c>
    </row>
    <row r="162" spans="2:7" x14ac:dyDescent="0.3">
      <c r="B162" s="152">
        <v>0.104581068600741</v>
      </c>
      <c r="C162" s="129">
        <v>611412.79865076998</v>
      </c>
      <c r="D162" s="129">
        <v>565649.92838115001</v>
      </c>
      <c r="E162" s="129">
        <v>48.155145666265</v>
      </c>
      <c r="F162" s="129">
        <v>3.3116472982946998</v>
      </c>
      <c r="G162" s="129">
        <v>9.0575665074502592</v>
      </c>
    </row>
    <row r="163" spans="2:7" x14ac:dyDescent="0.3">
      <c r="B163" s="152">
        <v>0.10460945483692601</v>
      </c>
      <c r="C163" s="129">
        <v>610989.16746645595</v>
      </c>
      <c r="D163" s="129">
        <v>565430.81640729494</v>
      </c>
      <c r="E163" s="129">
        <v>48.159298540715803</v>
      </c>
      <c r="F163" s="129">
        <v>3.3106678586969398</v>
      </c>
      <c r="G163" s="129">
        <v>9.0801723925385396</v>
      </c>
    </row>
    <row r="164" spans="2:7" x14ac:dyDescent="0.3">
      <c r="B164" s="152">
        <v>0.104665780347971</v>
      </c>
      <c r="C164" s="129">
        <v>610168.98184710601</v>
      </c>
      <c r="D164" s="129">
        <v>565007.18522298103</v>
      </c>
      <c r="E164" s="129">
        <v>48.167953478781399</v>
      </c>
      <c r="F164" s="129">
        <v>3.30877748312877</v>
      </c>
      <c r="G164" s="129">
        <v>9.1239670055867297</v>
      </c>
    </row>
    <row r="165" spans="2:7" x14ac:dyDescent="0.3">
      <c r="B165" s="152">
        <v>0.10477459652304499</v>
      </c>
      <c r="C165" s="129">
        <v>608576.78073906503</v>
      </c>
      <c r="D165" s="129">
        <v>564186.99960363097</v>
      </c>
      <c r="E165" s="129">
        <v>48.183974742342798</v>
      </c>
      <c r="F165" s="129">
        <v>3.3051183882702801</v>
      </c>
      <c r="G165" s="129">
        <v>9.2089742984391592</v>
      </c>
    </row>
    <row r="166" spans="2:7" x14ac:dyDescent="0.3">
      <c r="B166" s="152">
        <v>0.104989336497393</v>
      </c>
      <c r="C166" s="129">
        <v>605468.25630273705</v>
      </c>
      <c r="D166" s="129">
        <v>562594.79849558999</v>
      </c>
      <c r="E166" s="129">
        <v>48.215843407954097</v>
      </c>
      <c r="F166" s="129">
        <v>3.2980112377761301</v>
      </c>
      <c r="G166" s="129">
        <v>9.3746928243687897</v>
      </c>
    </row>
    <row r="167" spans="2:7" x14ac:dyDescent="0.3">
      <c r="B167" s="152">
        <v>0.10542240121645299</v>
      </c>
      <c r="C167" s="129">
        <v>599322.47657305899</v>
      </c>
      <c r="D167" s="129">
        <v>559486.27405926201</v>
      </c>
      <c r="E167" s="129">
        <v>48.2805833065756</v>
      </c>
      <c r="F167" s="129">
        <v>3.2841176428118</v>
      </c>
      <c r="G167" s="129">
        <v>9.7006374465883898</v>
      </c>
    </row>
    <row r="168" spans="2:7" x14ac:dyDescent="0.3">
      <c r="B168" s="152">
        <v>0.106343964144872</v>
      </c>
      <c r="C168" s="129">
        <v>586829.53899165394</v>
      </c>
      <c r="D168" s="129">
        <v>553340.49432958395</v>
      </c>
      <c r="E168" s="129">
        <v>48.420071735938002</v>
      </c>
      <c r="F168" s="129">
        <v>3.2565800684903201</v>
      </c>
      <c r="G168" s="129">
        <v>10.353552964057</v>
      </c>
    </row>
    <row r="169" spans="2:7" x14ac:dyDescent="0.3">
      <c r="B169" s="152">
        <v>0.108557431486781</v>
      </c>
      <c r="C169" s="129">
        <v>560004.26737713895</v>
      </c>
      <c r="D169" s="129">
        <v>540847.55674817902</v>
      </c>
      <c r="E169" s="129">
        <v>48.762356755275</v>
      </c>
      <c r="F169" s="129">
        <v>3.2003334479540801</v>
      </c>
      <c r="G169" s="129">
        <v>11.712374433951201</v>
      </c>
    </row>
    <row r="170" spans="2:7" x14ac:dyDescent="0.3">
      <c r="B170" s="152">
        <v>0.11522307025598801</v>
      </c>
      <c r="C170" s="129">
        <v>499146.45975582401</v>
      </c>
      <c r="D170" s="129">
        <v>514022.28513366397</v>
      </c>
      <c r="E170" s="129">
        <v>49.814710320066901</v>
      </c>
      <c r="F170" s="129">
        <v>3.0784880496848599</v>
      </c>
      <c r="G170" s="129">
        <v>14.767577390206901</v>
      </c>
    </row>
    <row r="171" spans="2:7" x14ac:dyDescent="0.3">
      <c r="B171" s="152">
        <v>0.13961957638529801</v>
      </c>
      <c r="C171" s="129">
        <v>384455.86891723197</v>
      </c>
      <c r="D171" s="129">
        <v>453164.47751234903</v>
      </c>
      <c r="E171" s="129">
        <v>53.517744315277596</v>
      </c>
      <c r="F171" s="129">
        <v>2.8005138484986301</v>
      </c>
      <c r="G171" s="129">
        <v>22.2018560177262</v>
      </c>
    </row>
    <row r="172" spans="2:7" x14ac:dyDescent="0.3">
      <c r="B172" s="152">
        <v>0.17434769608270201</v>
      </c>
      <c r="C172" s="129">
        <v>292504.24992370902</v>
      </c>
      <c r="D172" s="129">
        <v>338473.88667375699</v>
      </c>
      <c r="E172" s="129">
        <v>58.9174035530176</v>
      </c>
      <c r="F172" s="129">
        <v>2.3029478745473599</v>
      </c>
      <c r="G172" s="129">
        <v>30.627577583891501</v>
      </c>
    </row>
    <row r="173" spans="2:7" x14ac:dyDescent="0.3">
      <c r="B173" s="152">
        <v>0.174128634378377</v>
      </c>
      <c r="C173" s="129">
        <v>283545.322523485</v>
      </c>
      <c r="D173" s="129">
        <v>246522.26768023401</v>
      </c>
      <c r="E173" s="129">
        <v>59.651329504534097</v>
      </c>
      <c r="F173" s="129">
        <v>1.8615050236723401</v>
      </c>
      <c r="G173" s="129">
        <v>30.184773514868599</v>
      </c>
    </row>
    <row r="174" spans="2:7" x14ac:dyDescent="0.3">
      <c r="B174" s="152">
        <v>0.16707325473295101</v>
      </c>
      <c r="C174" s="129">
        <v>298474.12179908197</v>
      </c>
      <c r="D174" s="129">
        <v>237563.34028000999</v>
      </c>
      <c r="E174" s="129">
        <v>59.607169284106</v>
      </c>
      <c r="F174" s="129">
        <v>1.7387214553502299</v>
      </c>
      <c r="G174" s="129">
        <v>28.634004694319898</v>
      </c>
    </row>
    <row r="175" spans="2:7" x14ac:dyDescent="0.3">
      <c r="B175" s="152">
        <v>0.16774236304231399</v>
      </c>
      <c r="C175" s="129">
        <v>341801.44949284499</v>
      </c>
      <c r="D175" s="129">
        <v>252492.13955560699</v>
      </c>
      <c r="E175" s="129">
        <v>59.606611419489802</v>
      </c>
      <c r="F175" s="129">
        <v>1.80187133298889</v>
      </c>
      <c r="G175" s="129">
        <v>26.1104286618373</v>
      </c>
    </row>
    <row r="176" spans="2:7" x14ac:dyDescent="0.3">
      <c r="B176" s="152">
        <v>0.164711092461232</v>
      </c>
      <c r="C176" s="129">
        <v>45981.9822434749</v>
      </c>
      <c r="D176" s="129">
        <v>295819.46724937001</v>
      </c>
      <c r="E176" s="129">
        <v>59.287319329277302</v>
      </c>
      <c r="F176" s="129">
        <v>2.0698471113916099</v>
      </c>
      <c r="G176" s="129">
        <v>21.469288147439201</v>
      </c>
    </row>
  </sheetData>
  <mergeCells count="18">
    <mergeCell ref="S5:U5"/>
    <mergeCell ref="B1:D1"/>
    <mergeCell ref="E1:G1"/>
    <mergeCell ref="H1:J1"/>
    <mergeCell ref="K1:M1"/>
    <mergeCell ref="C110:D110"/>
    <mergeCell ref="B115:B116"/>
    <mergeCell ref="B117:B118"/>
    <mergeCell ref="E21:E22"/>
    <mergeCell ref="C60:E60"/>
    <mergeCell ref="C83:F83"/>
    <mergeCell ref="C88:D88"/>
    <mergeCell ref="C95:F95"/>
    <mergeCell ref="B143:G143"/>
    <mergeCell ref="C131:D131"/>
    <mergeCell ref="B132:B133"/>
    <mergeCell ref="B111:B112"/>
    <mergeCell ref="B113:B114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D357-C3F0-4D55-8C82-0091765652E7}">
  <dimension ref="A1:U164"/>
  <sheetViews>
    <sheetView topLeftCell="A116" zoomScale="68" zoomScaleNormal="68" workbookViewId="0">
      <selection activeCell="E129" sqref="E129"/>
    </sheetView>
  </sheetViews>
  <sheetFormatPr defaultRowHeight="15.6" x14ac:dyDescent="0.3"/>
  <cols>
    <col min="1" max="1" width="2.8984375" bestFit="1" customWidth="1"/>
    <col min="2" max="2" width="35.3984375" bestFit="1" customWidth="1"/>
    <col min="3" max="3" width="12.5" customWidth="1"/>
    <col min="4" max="4" width="20.3984375" customWidth="1"/>
    <col min="5" max="5" width="20.19921875" bestFit="1" customWidth="1"/>
    <col min="6" max="6" width="18.09765625" bestFit="1" customWidth="1"/>
    <col min="7" max="7" width="23.69921875" bestFit="1" customWidth="1"/>
    <col min="8" max="8" width="9.8984375" bestFit="1" customWidth="1"/>
    <col min="9" max="9" width="10.8984375" bestFit="1" customWidth="1"/>
    <col min="10" max="11" width="11.8984375" bestFit="1" customWidth="1"/>
    <col min="15" max="15" width="8.59765625" bestFit="1" customWidth="1"/>
    <col min="16" max="16" width="9.5" bestFit="1" customWidth="1"/>
    <col min="17" max="17" width="7.59765625" bestFit="1" customWidth="1"/>
    <col min="19" max="19" width="18.19921875" bestFit="1" customWidth="1"/>
    <col min="20" max="20" width="5.8984375" bestFit="1" customWidth="1"/>
    <col min="21" max="21" width="3.8984375" bestFit="1" customWidth="1"/>
  </cols>
  <sheetData>
    <row r="1" spans="1:21" x14ac:dyDescent="0.3">
      <c r="B1" s="167" t="s">
        <v>30</v>
      </c>
      <c r="C1" s="167"/>
      <c r="D1" s="167"/>
      <c r="E1" s="168" t="s">
        <v>31</v>
      </c>
      <c r="F1" s="168"/>
      <c r="G1" s="168"/>
      <c r="H1" s="169" t="s">
        <v>32</v>
      </c>
      <c r="I1" s="169"/>
      <c r="J1" s="169"/>
      <c r="K1" s="170" t="s">
        <v>33</v>
      </c>
      <c r="L1" s="170"/>
      <c r="M1" s="170"/>
    </row>
    <row r="2" spans="1:21" ht="16.2" thickBot="1" x14ac:dyDescent="0.35">
      <c r="B2" s="21" t="s">
        <v>170</v>
      </c>
    </row>
    <row r="3" spans="1:21" ht="16.2" thickBot="1" x14ac:dyDescent="0.35">
      <c r="B3" s="19">
        <v>1</v>
      </c>
      <c r="D3" s="1" t="s">
        <v>24</v>
      </c>
      <c r="E3" s="1">
        <v>360.4</v>
      </c>
      <c r="F3" s="1" t="s">
        <v>25</v>
      </c>
    </row>
    <row r="4" spans="1:21" ht="47.4" thickBot="1" x14ac:dyDescent="0.35">
      <c r="A4">
        <v>1</v>
      </c>
      <c r="B4" s="5" t="s">
        <v>23</v>
      </c>
      <c r="C4" s="41" t="s">
        <v>1</v>
      </c>
      <c r="D4" s="42" t="s">
        <v>20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</row>
    <row r="5" spans="1:21" ht="16.2" thickBot="1" x14ac:dyDescent="0.35">
      <c r="A5">
        <v>2</v>
      </c>
      <c r="B5" s="4" t="s">
        <v>9</v>
      </c>
      <c r="C5" s="190">
        <v>20</v>
      </c>
      <c r="D5" s="44">
        <v>5.6899999999999999E-2</v>
      </c>
      <c r="E5" s="2">
        <f t="shared" ref="E5:E15" si="0">D5*$E$3</f>
        <v>20.50676</v>
      </c>
      <c r="F5" s="2">
        <v>0</v>
      </c>
      <c r="G5" s="2">
        <v>1</v>
      </c>
      <c r="H5" s="2">
        <f t="shared" ref="H5:H15" si="1">$E5*F5</f>
        <v>0</v>
      </c>
      <c r="I5" s="2">
        <f t="shared" ref="I5:I15" si="2">$E5*G5</f>
        <v>20.50676</v>
      </c>
      <c r="J5" s="2">
        <f>H5/'D1'!$H$17</f>
        <v>0</v>
      </c>
      <c r="K5" s="2">
        <f>I5/'D3'!$I$16</f>
        <v>5.9544365261252223E-2</v>
      </c>
      <c r="O5" s="6" t="s">
        <v>26</v>
      </c>
      <c r="P5" s="7">
        <v>1100</v>
      </c>
      <c r="Q5" s="8" t="s">
        <v>27</v>
      </c>
      <c r="S5" s="181" t="s">
        <v>41</v>
      </c>
      <c r="T5" s="182"/>
      <c r="U5" s="183"/>
    </row>
    <row r="6" spans="1:21" x14ac:dyDescent="0.3">
      <c r="A6">
        <v>3</v>
      </c>
      <c r="B6" s="2" t="s">
        <v>11</v>
      </c>
      <c r="C6" s="190">
        <v>17.28</v>
      </c>
      <c r="D6" s="44">
        <v>6.1000000000000004E-3</v>
      </c>
      <c r="E6" s="2">
        <f t="shared" si="0"/>
        <v>2.1984400000000002</v>
      </c>
      <c r="F6" s="2">
        <v>0</v>
      </c>
      <c r="G6" s="2">
        <v>1</v>
      </c>
      <c r="H6" s="2">
        <f t="shared" si="1"/>
        <v>0</v>
      </c>
      <c r="I6" s="2">
        <f t="shared" si="2"/>
        <v>2.1984400000000002</v>
      </c>
      <c r="J6" s="2">
        <f>H6/'D1'!$H$17</f>
        <v>0</v>
      </c>
      <c r="K6" s="2">
        <f>I6/'D3'!$I$16</f>
        <v>6.3834908276562139E-3</v>
      </c>
      <c r="O6" s="9" t="s">
        <v>28</v>
      </c>
      <c r="P6" s="44">
        <v>10.4</v>
      </c>
      <c r="Q6" s="10" t="s">
        <v>29</v>
      </c>
      <c r="S6" s="45" t="s">
        <v>42</v>
      </c>
      <c r="T6" s="46">
        <v>5</v>
      </c>
      <c r="U6" s="46"/>
    </row>
    <row r="7" spans="1:21" ht="16.2" thickBot="1" x14ac:dyDescent="0.35">
      <c r="A7">
        <v>4</v>
      </c>
      <c r="B7" s="2" t="s">
        <v>10</v>
      </c>
      <c r="C7" s="190">
        <v>13</v>
      </c>
      <c r="D7" s="44">
        <v>0.1265</v>
      </c>
      <c r="E7" s="2">
        <f t="shared" si="0"/>
        <v>45.590599999999995</v>
      </c>
      <c r="F7" s="2">
        <v>0</v>
      </c>
      <c r="G7" s="2">
        <v>1</v>
      </c>
      <c r="H7" s="2">
        <f t="shared" si="1"/>
        <v>0</v>
      </c>
      <c r="I7" s="2">
        <f t="shared" si="2"/>
        <v>45.590599999999995</v>
      </c>
      <c r="J7" s="2">
        <f>H7/'D1'!$H$17</f>
        <v>0</v>
      </c>
      <c r="K7" s="2">
        <f>I7/'D3'!$I$16</f>
        <v>0.13237894913090342</v>
      </c>
      <c r="O7" s="11" t="s">
        <v>34</v>
      </c>
      <c r="P7" s="50">
        <f>E3</f>
        <v>360.4</v>
      </c>
      <c r="Q7" s="12" t="s">
        <v>35</v>
      </c>
      <c r="S7" s="45" t="s">
        <v>43</v>
      </c>
      <c r="T7" s="46">
        <v>14</v>
      </c>
      <c r="U7" s="46"/>
    </row>
    <row r="8" spans="1:21" x14ac:dyDescent="0.3">
      <c r="A8">
        <v>5</v>
      </c>
      <c r="B8" s="2" t="s">
        <v>12</v>
      </c>
      <c r="C8" s="190">
        <v>4.5</v>
      </c>
      <c r="D8" s="44">
        <v>5.3E-3</v>
      </c>
      <c r="E8" s="2">
        <f t="shared" si="0"/>
        <v>1.9101199999999998</v>
      </c>
      <c r="F8" s="2">
        <v>0</v>
      </c>
      <c r="G8" s="2">
        <v>1</v>
      </c>
      <c r="H8" s="2">
        <f t="shared" si="1"/>
        <v>0</v>
      </c>
      <c r="I8" s="2">
        <f t="shared" si="2"/>
        <v>1.9101199999999998</v>
      </c>
      <c r="J8" s="2">
        <f>H8/'D1'!$H$17</f>
        <v>0</v>
      </c>
      <c r="K8" s="2">
        <f>I8/'D3'!$I$16</f>
        <v>5.546311702717693E-3</v>
      </c>
      <c r="S8" s="45" t="s">
        <v>44</v>
      </c>
      <c r="T8" s="46">
        <v>8</v>
      </c>
      <c r="U8" s="46"/>
    </row>
    <row r="9" spans="1:21" x14ac:dyDescent="0.3">
      <c r="A9">
        <v>6</v>
      </c>
      <c r="B9" s="2" t="s">
        <v>13</v>
      </c>
      <c r="C9" s="190">
        <v>3.5</v>
      </c>
      <c r="D9" s="44">
        <v>1.4999999999999999E-2</v>
      </c>
      <c r="E9" s="2">
        <f t="shared" si="0"/>
        <v>5.4059999999999997</v>
      </c>
      <c r="F9" s="2">
        <v>0</v>
      </c>
      <c r="G9" s="2">
        <v>1</v>
      </c>
      <c r="H9" s="2">
        <f t="shared" si="1"/>
        <v>0</v>
      </c>
      <c r="I9" s="2">
        <f t="shared" si="2"/>
        <v>5.4059999999999997</v>
      </c>
      <c r="J9" s="2">
        <f>H9/'D1'!$H$17</f>
        <v>0</v>
      </c>
      <c r="K9" s="2">
        <f>I9/'D3'!$I$16</f>
        <v>1.5697108592597247E-2</v>
      </c>
      <c r="S9" s="45" t="s">
        <v>45</v>
      </c>
      <c r="T9" s="46">
        <v>-36.54</v>
      </c>
      <c r="U9" s="46" t="s">
        <v>29</v>
      </c>
    </row>
    <row r="10" spans="1:21" x14ac:dyDescent="0.3">
      <c r="A10">
        <v>7</v>
      </c>
      <c r="B10" s="2" t="s">
        <v>17</v>
      </c>
      <c r="C10" s="190">
        <v>4.4000000000000004</v>
      </c>
      <c r="D10" s="44">
        <v>0</v>
      </c>
      <c r="E10" s="2">
        <f t="shared" si="0"/>
        <v>0</v>
      </c>
      <c r="F10" s="2">
        <v>0</v>
      </c>
      <c r="G10" s="2">
        <v>1</v>
      </c>
      <c r="H10" s="2">
        <f t="shared" si="1"/>
        <v>0</v>
      </c>
      <c r="I10" s="2">
        <f t="shared" si="2"/>
        <v>0</v>
      </c>
      <c r="J10" s="2">
        <f>H10/'D1'!$H$17</f>
        <v>0</v>
      </c>
      <c r="K10" s="2">
        <f>I10/'D1'!$I$17</f>
        <v>0</v>
      </c>
      <c r="S10" s="45" t="s">
        <v>46</v>
      </c>
      <c r="T10" s="46">
        <v>186.4</v>
      </c>
      <c r="U10" s="46" t="s">
        <v>29</v>
      </c>
    </row>
    <row r="11" spans="1:21" x14ac:dyDescent="0.3">
      <c r="A11">
        <v>8</v>
      </c>
      <c r="B11" s="31" t="s">
        <v>18</v>
      </c>
      <c r="C11" s="190">
        <v>0.6</v>
      </c>
      <c r="D11" s="44">
        <v>0.71499999999999997</v>
      </c>
      <c r="E11" s="2">
        <f t="shared" si="0"/>
        <v>257.68599999999998</v>
      </c>
      <c r="F11" s="2">
        <f>1-G11</f>
        <v>1.0000000000000009E-2</v>
      </c>
      <c r="G11" s="2">
        <v>0.99</v>
      </c>
      <c r="H11" s="2">
        <f t="shared" si="1"/>
        <v>2.5768600000000021</v>
      </c>
      <c r="I11" s="2">
        <f t="shared" si="2"/>
        <v>255.10913999999997</v>
      </c>
      <c r="J11" s="31">
        <f>H11/'D3'!$H$16</f>
        <v>0.16099977482548988</v>
      </c>
      <c r="K11" s="31">
        <f>I11/'D3'!$I$16</f>
        <v>0.74074655448466398</v>
      </c>
      <c r="S11" s="45" t="s">
        <v>49</v>
      </c>
      <c r="T11" s="46">
        <v>0.10100000000000001</v>
      </c>
      <c r="U11" s="46"/>
    </row>
    <row r="12" spans="1:21" x14ac:dyDescent="0.3">
      <c r="A12">
        <v>9</v>
      </c>
      <c r="B12" s="2" t="s">
        <v>19</v>
      </c>
      <c r="C12" s="190">
        <v>0</v>
      </c>
      <c r="D12" s="44">
        <v>0</v>
      </c>
      <c r="E12" s="2">
        <f t="shared" si="0"/>
        <v>0</v>
      </c>
      <c r="F12" s="2">
        <v>1</v>
      </c>
      <c r="G12" s="2">
        <v>0</v>
      </c>
      <c r="H12" s="2">
        <f t="shared" si="1"/>
        <v>0</v>
      </c>
      <c r="I12" s="2">
        <f t="shared" si="2"/>
        <v>0</v>
      </c>
      <c r="J12" s="2">
        <f>H12/'D1'!$H$17</f>
        <v>0</v>
      </c>
      <c r="K12" s="2">
        <f>I12/'D1'!$I$17</f>
        <v>0</v>
      </c>
      <c r="S12" s="45" t="s">
        <v>51</v>
      </c>
      <c r="T12" s="48">
        <v>0.16200000000000001</v>
      </c>
      <c r="U12" s="49"/>
    </row>
    <row r="13" spans="1:21" x14ac:dyDescent="0.3">
      <c r="A13">
        <v>10</v>
      </c>
      <c r="B13" s="2" t="s">
        <v>14</v>
      </c>
      <c r="C13" s="190">
        <v>0</v>
      </c>
      <c r="D13" s="44">
        <v>0</v>
      </c>
      <c r="E13" s="2">
        <f t="shared" si="0"/>
        <v>0</v>
      </c>
      <c r="F13" s="2">
        <v>0</v>
      </c>
      <c r="G13" s="2">
        <v>1</v>
      </c>
      <c r="H13" s="2">
        <f t="shared" si="1"/>
        <v>0</v>
      </c>
      <c r="I13" s="2">
        <f t="shared" si="2"/>
        <v>0</v>
      </c>
      <c r="J13" s="2">
        <f>H13/'D1'!$H$17</f>
        <v>0</v>
      </c>
      <c r="K13" s="2">
        <f>I13/'D1'!$I$17</f>
        <v>0</v>
      </c>
    </row>
    <row r="14" spans="1:21" x14ac:dyDescent="0.3">
      <c r="A14">
        <v>11</v>
      </c>
      <c r="B14" s="2" t="s">
        <v>15</v>
      </c>
      <c r="C14" s="190">
        <v>17.399999999999999</v>
      </c>
      <c r="D14" s="44">
        <v>3.3799999999999997E-2</v>
      </c>
      <c r="E14" s="2">
        <f t="shared" si="0"/>
        <v>12.181519999999997</v>
      </c>
      <c r="F14" s="2">
        <v>0</v>
      </c>
      <c r="G14" s="2">
        <v>1</v>
      </c>
      <c r="H14" s="2">
        <f t="shared" si="1"/>
        <v>0</v>
      </c>
      <c r="I14" s="2">
        <f t="shared" si="2"/>
        <v>12.181519999999997</v>
      </c>
      <c r="J14" s="2">
        <f>H14/'D1'!$H$17</f>
        <v>0</v>
      </c>
      <c r="K14" s="2">
        <f>I14/'D3'!$I$16</f>
        <v>3.5370818028652454E-2</v>
      </c>
    </row>
    <row r="15" spans="1:21" x14ac:dyDescent="0.3">
      <c r="B15" s="28" t="s">
        <v>16</v>
      </c>
      <c r="C15" s="190">
        <v>1.6</v>
      </c>
      <c r="D15" s="44">
        <v>4.1399999999999999E-2</v>
      </c>
      <c r="E15" s="2">
        <f t="shared" si="0"/>
        <v>14.920559999999998</v>
      </c>
      <c r="F15" s="2">
        <v>0.9</v>
      </c>
      <c r="G15" s="2">
        <v>0.1</v>
      </c>
      <c r="H15" s="2">
        <f t="shared" si="1"/>
        <v>13.428503999999998</v>
      </c>
      <c r="I15" s="2">
        <f t="shared" si="2"/>
        <v>1.4920559999999998</v>
      </c>
      <c r="J15" s="28">
        <f>H15/'D3'!$H$16</f>
        <v>0.83900022517451012</v>
      </c>
      <c r="K15" s="28">
        <f>I15/'D3'!$I$16</f>
        <v>4.3324019715568398E-3</v>
      </c>
    </row>
    <row r="16" spans="1:21" x14ac:dyDescent="0.3">
      <c r="G16" s="2" t="s">
        <v>21</v>
      </c>
      <c r="H16" s="2">
        <f>SUM(H5:H15)</f>
        <v>16.005364</v>
      </c>
      <c r="I16" s="2">
        <f>SUM(I5:I15)</f>
        <v>344.39463599999993</v>
      </c>
    </row>
    <row r="18" spans="2:6" ht="16.2" thickBot="1" x14ac:dyDescent="0.35"/>
    <row r="19" spans="2:6" ht="16.2" thickBot="1" x14ac:dyDescent="0.35">
      <c r="B19" s="122">
        <v>2</v>
      </c>
    </row>
    <row r="21" spans="2:6" x14ac:dyDescent="0.3">
      <c r="B21" s="36" t="s">
        <v>47</v>
      </c>
      <c r="C21" s="37">
        <v>160</v>
      </c>
      <c r="D21" s="39" t="s">
        <v>48</v>
      </c>
      <c r="E21" s="171" t="s">
        <v>108</v>
      </c>
    </row>
    <row r="22" spans="2:6" x14ac:dyDescent="0.3">
      <c r="B22" s="36" t="s">
        <v>50</v>
      </c>
      <c r="C22" s="38">
        <f>C21-6</f>
        <v>154</v>
      </c>
      <c r="D22" s="40" t="s">
        <v>48</v>
      </c>
      <c r="E22" s="172"/>
    </row>
    <row r="23" spans="2:6" x14ac:dyDescent="0.3">
      <c r="C23" s="123"/>
    </row>
    <row r="24" spans="2:6" ht="46.8" x14ac:dyDescent="0.3">
      <c r="B24" s="1"/>
      <c r="C24" s="42" t="s">
        <v>1</v>
      </c>
      <c r="D24" s="42" t="s">
        <v>158</v>
      </c>
      <c r="E24" s="42" t="s">
        <v>159</v>
      </c>
      <c r="F24" s="3" t="s">
        <v>52</v>
      </c>
    </row>
    <row r="25" spans="2:6" x14ac:dyDescent="0.3">
      <c r="B25" s="2" t="s">
        <v>9</v>
      </c>
      <c r="C25" s="43">
        <f>C5</f>
        <v>20</v>
      </c>
      <c r="D25" s="153">
        <v>21.99</v>
      </c>
      <c r="E25" s="47">
        <v>19.23</v>
      </c>
      <c r="F25" s="13">
        <f xml:space="preserve"> ( (D25/$D$31)*(E25/$E$31))^0.5</f>
        <v>38.979148054303899</v>
      </c>
    </row>
    <row r="26" spans="2:6" x14ac:dyDescent="0.3">
      <c r="B26" s="2" t="s">
        <v>11</v>
      </c>
      <c r="C26" s="43">
        <f t="shared" ref="C26:C35" si="3">C6</f>
        <v>17.28</v>
      </c>
      <c r="D26" s="153">
        <v>17.28</v>
      </c>
      <c r="E26" s="47">
        <v>17.28</v>
      </c>
      <c r="F26" s="13">
        <f t="shared" ref="F26:F35" si="4" xml:space="preserve"> ( (D26/$D$31)*(E26/$E$31))^0.5</f>
        <v>32.75471493379851</v>
      </c>
    </row>
    <row r="27" spans="2:6" x14ac:dyDescent="0.3">
      <c r="B27" s="2" t="s">
        <v>10</v>
      </c>
      <c r="C27" s="43">
        <f t="shared" si="3"/>
        <v>13</v>
      </c>
      <c r="D27" s="154">
        <v>12.04</v>
      </c>
      <c r="E27" s="47">
        <v>14.97</v>
      </c>
      <c r="F27" s="13">
        <f xml:space="preserve"> ( (D27/$D$31)*(E27/$E$31))^0.5</f>
        <v>25.44803360401777</v>
      </c>
    </row>
    <row r="28" spans="2:6" x14ac:dyDescent="0.3">
      <c r="B28" s="2" t="s">
        <v>12</v>
      </c>
      <c r="C28" s="43">
        <f t="shared" si="3"/>
        <v>4.5</v>
      </c>
      <c r="D28" s="153">
        <v>3.8</v>
      </c>
      <c r="E28" s="47">
        <v>6.2880000000000003</v>
      </c>
      <c r="F28" s="13">
        <f xml:space="preserve"> ( (D28/$D$31)*(E28/$E$31))^0.5</f>
        <v>9.265698208722764</v>
      </c>
    </row>
    <row r="29" spans="2:6" x14ac:dyDescent="0.3">
      <c r="B29" s="2" t="s">
        <v>13</v>
      </c>
      <c r="C29" s="43">
        <f t="shared" si="3"/>
        <v>3.5</v>
      </c>
      <c r="D29" s="153">
        <v>2.9060000000000001</v>
      </c>
      <c r="E29" s="47">
        <v>4.8769999999999998</v>
      </c>
      <c r="F29" s="13">
        <f t="shared" si="4"/>
        <v>7.1359905908159753</v>
      </c>
    </row>
    <row r="30" spans="2:6" x14ac:dyDescent="0.3">
      <c r="B30" s="2" t="s">
        <v>17</v>
      </c>
      <c r="C30" s="43">
        <f t="shared" si="3"/>
        <v>4.4000000000000004</v>
      </c>
      <c r="D30" s="153">
        <v>3.8980000000000001</v>
      </c>
      <c r="E30" s="47">
        <v>4.9119999999999999</v>
      </c>
      <c r="F30" s="13">
        <f t="shared" si="4"/>
        <v>8.2943084590000584</v>
      </c>
    </row>
    <row r="31" spans="2:6" x14ac:dyDescent="0.3">
      <c r="B31" s="31" t="s">
        <v>18</v>
      </c>
      <c r="C31" s="43">
        <f t="shared" si="3"/>
        <v>0.6</v>
      </c>
      <c r="D31" s="153">
        <v>0.28420000000000001</v>
      </c>
      <c r="E31" s="47">
        <v>0.97929999999999995</v>
      </c>
      <c r="F31" s="13">
        <f t="shared" si="4"/>
        <v>1</v>
      </c>
    </row>
    <row r="32" spans="2:6" x14ac:dyDescent="0.3">
      <c r="B32" s="33" t="s">
        <v>19</v>
      </c>
      <c r="C32" s="43">
        <f t="shared" si="3"/>
        <v>0</v>
      </c>
      <c r="D32" s="153">
        <v>0</v>
      </c>
      <c r="E32" s="47">
        <v>0</v>
      </c>
      <c r="F32" s="13">
        <f t="shared" si="4"/>
        <v>0</v>
      </c>
    </row>
    <row r="33" spans="2:13" x14ac:dyDescent="0.3">
      <c r="B33" s="2" t="s">
        <v>14</v>
      </c>
      <c r="C33" s="43">
        <f t="shared" si="3"/>
        <v>0</v>
      </c>
      <c r="D33" s="153">
        <v>0</v>
      </c>
      <c r="E33" s="47">
        <v>0</v>
      </c>
      <c r="F33" s="13">
        <f t="shared" si="4"/>
        <v>0</v>
      </c>
    </row>
    <row r="34" spans="2:13" x14ac:dyDescent="0.3">
      <c r="B34" s="2" t="s">
        <v>15</v>
      </c>
      <c r="C34" s="43">
        <f t="shared" si="3"/>
        <v>17.399999999999999</v>
      </c>
      <c r="D34" s="153">
        <v>16.32</v>
      </c>
      <c r="E34" s="47">
        <v>19.309999999999999</v>
      </c>
      <c r="F34" s="13">
        <f t="shared" si="4"/>
        <v>33.6497080096076</v>
      </c>
    </row>
    <row r="35" spans="2:13" x14ac:dyDescent="0.3">
      <c r="B35" s="28" t="s">
        <v>16</v>
      </c>
      <c r="C35" s="43">
        <f t="shared" si="3"/>
        <v>1.6</v>
      </c>
      <c r="D35" s="153">
        <v>0.80120000000000002</v>
      </c>
      <c r="E35" s="47">
        <v>2.4049999999999998</v>
      </c>
      <c r="F35" s="13">
        <f t="shared" si="4"/>
        <v>2.6312256650556707</v>
      </c>
    </row>
    <row r="36" spans="2:13" ht="16.2" thickBot="1" x14ac:dyDescent="0.35"/>
    <row r="37" spans="2:13" ht="47.4" thickBot="1" x14ac:dyDescent="0.35">
      <c r="B37" s="118">
        <v>3</v>
      </c>
      <c r="C37" s="62" t="s">
        <v>109</v>
      </c>
      <c r="D37" s="193">
        <f>LOG( (C39/C40) * (C41/C42) ) / LOG(E41)</f>
        <v>7.0208755413474337</v>
      </c>
    </row>
    <row r="39" spans="2:13" x14ac:dyDescent="0.3">
      <c r="B39" s="1" t="s">
        <v>53</v>
      </c>
      <c r="C39" s="1">
        <f>H56</f>
        <v>13.428503999999998</v>
      </c>
      <c r="D39" s="1" t="s">
        <v>110</v>
      </c>
      <c r="E39" s="113">
        <f>D35/D31</f>
        <v>2.8191414496833218</v>
      </c>
    </row>
    <row r="40" spans="2:13" x14ac:dyDescent="0.3">
      <c r="B40" s="1" t="s">
        <v>54</v>
      </c>
      <c r="C40" s="1">
        <f>G56</f>
        <v>1.4920559999999998</v>
      </c>
      <c r="D40" s="1" t="s">
        <v>55</v>
      </c>
      <c r="E40" s="1">
        <f>E35/E31</f>
        <v>2.4558358010824057</v>
      </c>
    </row>
    <row r="41" spans="2:13" x14ac:dyDescent="0.3">
      <c r="B41" s="1" t="s">
        <v>56</v>
      </c>
      <c r="C41" s="1">
        <f>G52</f>
        <v>255.10913999999997</v>
      </c>
      <c r="D41" s="1" t="s">
        <v>57</v>
      </c>
      <c r="E41" s="1">
        <f>SQRT(E39*E40)</f>
        <v>2.6312256650556707</v>
      </c>
    </row>
    <row r="42" spans="2:13" x14ac:dyDescent="0.3">
      <c r="B42" s="1" t="s">
        <v>58</v>
      </c>
      <c r="C42" s="1">
        <f>H52</f>
        <v>2.5768600000000021</v>
      </c>
    </row>
    <row r="43" spans="2:13" ht="16.2" thickBot="1" x14ac:dyDescent="0.35"/>
    <row r="44" spans="2:13" ht="16.2" thickBot="1" x14ac:dyDescent="0.35">
      <c r="B44" s="191">
        <v>4</v>
      </c>
      <c r="C44" s="63" t="s">
        <v>59</v>
      </c>
      <c r="D44" s="64"/>
      <c r="E44" s="64"/>
      <c r="F44" s="65"/>
      <c r="G44" s="66"/>
      <c r="H44" s="66"/>
      <c r="I44" s="66"/>
      <c r="J44" s="66"/>
      <c r="K44" s="66" t="s">
        <v>60</v>
      </c>
      <c r="L44" s="66"/>
      <c r="M44" s="66"/>
    </row>
    <row r="45" spans="2:13" ht="57.6" x14ac:dyDescent="0.3">
      <c r="B45" s="88" t="s">
        <v>61</v>
      </c>
      <c r="C45" s="78" t="s">
        <v>36</v>
      </c>
      <c r="D45" s="67" t="s">
        <v>37</v>
      </c>
      <c r="E45" s="67" t="s">
        <v>38</v>
      </c>
      <c r="F45" s="68" t="s">
        <v>112</v>
      </c>
      <c r="G45" s="69" t="s">
        <v>40</v>
      </c>
      <c r="H45" s="69" t="s">
        <v>39</v>
      </c>
      <c r="I45" s="70" t="s">
        <v>62</v>
      </c>
      <c r="J45" s="71" t="s">
        <v>63</v>
      </c>
      <c r="K45" s="85" t="s">
        <v>64</v>
      </c>
      <c r="L45" s="72" t="s">
        <v>65</v>
      </c>
      <c r="M45" s="85" t="s">
        <v>66</v>
      </c>
    </row>
    <row r="46" spans="2:13" x14ac:dyDescent="0.3">
      <c r="B46" s="72" t="s">
        <v>9</v>
      </c>
      <c r="C46" s="79">
        <f>E5</f>
        <v>20.50676</v>
      </c>
      <c r="D46" s="72">
        <f>F5</f>
        <v>0</v>
      </c>
      <c r="E46" s="30">
        <f>G5</f>
        <v>1</v>
      </c>
      <c r="F46" s="111">
        <f>K46^($D$37) * ($J$11/$K$11)</f>
        <v>32076835293.808453</v>
      </c>
      <c r="G46" s="73">
        <f>I5</f>
        <v>20.50676</v>
      </c>
      <c r="H46" s="73">
        <f>H5</f>
        <v>0</v>
      </c>
      <c r="I46" s="73">
        <f>L46/$L$57</f>
        <v>0.13795781722091538</v>
      </c>
      <c r="J46" s="73">
        <f>M46/$M$57</f>
        <v>3.0190629042020152E-12</v>
      </c>
      <c r="K46" s="72">
        <f>SQRT( (D25/$D$31)*(E25/$E$31) )</f>
        <v>38.979148054303899</v>
      </c>
      <c r="L46" s="75">
        <f>C46-M46</f>
        <v>20.5067599993607</v>
      </c>
      <c r="M46" s="72">
        <f>C46/(F46+1)</f>
        <v>6.3930122194189656E-10</v>
      </c>
    </row>
    <row r="47" spans="2:13" x14ac:dyDescent="0.3">
      <c r="B47" s="72" t="s">
        <v>11</v>
      </c>
      <c r="C47" s="79">
        <f t="shared" ref="C47:D56" si="5">E6</f>
        <v>2.1984400000000002</v>
      </c>
      <c r="D47" s="72">
        <f t="shared" si="5"/>
        <v>0</v>
      </c>
      <c r="E47" s="30">
        <f t="shared" ref="E47:E56" si="6">G6</f>
        <v>1</v>
      </c>
      <c r="F47" s="111">
        <f t="shared" ref="F47:F56" si="7">K47^($D$37) * ($J$11/$K$11)</f>
        <v>9455936749.8306293</v>
      </c>
      <c r="G47" s="73">
        <f t="shared" ref="G47:G56" si="8">I6</f>
        <v>2.1984400000000002</v>
      </c>
      <c r="H47" s="73">
        <f t="shared" ref="H47:H56" si="9">H6</f>
        <v>0</v>
      </c>
      <c r="I47" s="73">
        <f t="shared" ref="I47:I56" si="10">L47/$L$57</f>
        <v>1.4789853866165605E-2</v>
      </c>
      <c r="J47" s="73">
        <f t="shared" ref="J47:J56" si="11">M47/$M$57</f>
        <v>1.0979351424396505E-12</v>
      </c>
      <c r="K47" s="72">
        <f t="shared" ref="K47:K56" si="12">SQRT( (D26/$D$31)*(E26/$E$31) )</f>
        <v>32.75471493379851</v>
      </c>
      <c r="L47" s="75">
        <f t="shared" ref="L47:L56" si="13">C47-M47</f>
        <v>2.198439999767507</v>
      </c>
      <c r="M47" s="72">
        <f t="shared" ref="M47:M56" si="14">C47/(F47+1)</f>
        <v>2.3249309485989155E-10</v>
      </c>
    </row>
    <row r="48" spans="2:13" x14ac:dyDescent="0.3">
      <c r="B48" s="72" t="s">
        <v>10</v>
      </c>
      <c r="C48" s="79">
        <f t="shared" si="5"/>
        <v>45.590599999999995</v>
      </c>
      <c r="D48" s="72">
        <f t="shared" si="5"/>
        <v>0</v>
      </c>
      <c r="E48" s="30">
        <f t="shared" si="6"/>
        <v>1</v>
      </c>
      <c r="F48" s="111">
        <f t="shared" si="7"/>
        <v>28047956.766794983</v>
      </c>
      <c r="G48" s="73">
        <f t="shared" si="8"/>
        <v>45.590599999999995</v>
      </c>
      <c r="H48" s="73">
        <f t="shared" si="9"/>
        <v>0</v>
      </c>
      <c r="I48" s="73">
        <f t="shared" si="10"/>
        <v>0.30670761435468974</v>
      </c>
      <c r="J48" s="73">
        <f t="shared" si="11"/>
        <v>7.6761011764366646E-9</v>
      </c>
      <c r="K48" s="72">
        <f>SQRT( (D28/$D$31)*(E27/$E$31) )</f>
        <v>14.296600594896173</v>
      </c>
      <c r="L48" s="75">
        <f t="shared" si="13"/>
        <v>45.590598374548314</v>
      </c>
      <c r="M48" s="72">
        <f t="shared" si="14"/>
        <v>1.6254516774113638E-6</v>
      </c>
    </row>
    <row r="49" spans="2:13" x14ac:dyDescent="0.3">
      <c r="B49" s="72" t="s">
        <v>12</v>
      </c>
      <c r="C49" s="79">
        <f t="shared" si="5"/>
        <v>1.9101199999999998</v>
      </c>
      <c r="D49" s="72">
        <f t="shared" si="5"/>
        <v>0</v>
      </c>
      <c r="E49" s="30">
        <f t="shared" si="6"/>
        <v>1</v>
      </c>
      <c r="F49" s="111">
        <f t="shared" si="7"/>
        <v>1335016.9778257678</v>
      </c>
      <c r="G49" s="73">
        <f t="shared" si="8"/>
        <v>1.9101199999999998</v>
      </c>
      <c r="H49" s="73">
        <f t="shared" si="9"/>
        <v>0</v>
      </c>
      <c r="I49" s="73">
        <f t="shared" si="10"/>
        <v>1.2850191275981021E-2</v>
      </c>
      <c r="J49" s="73">
        <f t="shared" si="11"/>
        <v>6.7567860152246886E-9</v>
      </c>
      <c r="K49" s="72">
        <f>SQRT( (D28/$D$31)*(E28/$E$31) )</f>
        <v>9.265698208722764</v>
      </c>
      <c r="L49" s="75">
        <f t="shared" si="13"/>
        <v>1.9101185692177693</v>
      </c>
      <c r="M49" s="72">
        <f t="shared" si="14"/>
        <v>1.4307822304467034E-6</v>
      </c>
    </row>
    <row r="50" spans="2:13" x14ac:dyDescent="0.3">
      <c r="B50" s="72" t="s">
        <v>13</v>
      </c>
      <c r="C50" s="79">
        <f t="shared" si="5"/>
        <v>5.4059999999999997</v>
      </c>
      <c r="D50" s="72">
        <f t="shared" si="5"/>
        <v>0</v>
      </c>
      <c r="E50" s="30">
        <f t="shared" si="6"/>
        <v>1</v>
      </c>
      <c r="F50" s="111">
        <f t="shared" si="7"/>
        <v>213379.07568599391</v>
      </c>
      <c r="G50" s="73">
        <f t="shared" si="8"/>
        <v>5.4059999999999997</v>
      </c>
      <c r="H50" s="73">
        <f t="shared" si="9"/>
        <v>0</v>
      </c>
      <c r="I50" s="73">
        <f t="shared" si="10"/>
        <v>3.6368322677400797E-2</v>
      </c>
      <c r="J50" s="73">
        <f t="shared" si="11"/>
        <v>1.196434158976252E-7</v>
      </c>
      <c r="K50" s="72">
        <f t="shared" si="12"/>
        <v>7.1359905908159753</v>
      </c>
      <c r="L50" s="75">
        <f t="shared" si="13"/>
        <v>5.4059746649260356</v>
      </c>
      <c r="M50" s="72">
        <f t="shared" si="14"/>
        <v>2.5335073964241006E-5</v>
      </c>
    </row>
    <row r="51" spans="2:13" x14ac:dyDescent="0.3">
      <c r="B51" s="72" t="s">
        <v>17</v>
      </c>
      <c r="C51" s="79">
        <f t="shared" si="5"/>
        <v>0</v>
      </c>
      <c r="D51" s="72">
        <f t="shared" si="5"/>
        <v>0</v>
      </c>
      <c r="E51" s="30">
        <f t="shared" si="6"/>
        <v>1</v>
      </c>
      <c r="F51" s="111">
        <f t="shared" si="7"/>
        <v>613475.09860982187</v>
      </c>
      <c r="G51" s="73">
        <f t="shared" si="8"/>
        <v>0</v>
      </c>
      <c r="H51" s="73">
        <f t="shared" si="9"/>
        <v>0</v>
      </c>
      <c r="I51" s="73">
        <f t="shared" si="10"/>
        <v>0</v>
      </c>
      <c r="J51" s="73">
        <f t="shared" si="11"/>
        <v>0</v>
      </c>
      <c r="K51" s="72">
        <f t="shared" si="12"/>
        <v>8.2943084590000584</v>
      </c>
      <c r="L51" s="75">
        <f t="shared" si="13"/>
        <v>0</v>
      </c>
      <c r="M51" s="72">
        <f t="shared" si="14"/>
        <v>0</v>
      </c>
    </row>
    <row r="52" spans="2:13" x14ac:dyDescent="0.3">
      <c r="B52" s="82" t="s">
        <v>18</v>
      </c>
      <c r="C52" s="79">
        <f t="shared" si="5"/>
        <v>257.68599999999998</v>
      </c>
      <c r="D52" s="81">
        <f t="shared" si="5"/>
        <v>1.0000000000000009E-2</v>
      </c>
      <c r="E52" s="100">
        <f t="shared" si="6"/>
        <v>0.99</v>
      </c>
      <c r="F52" s="114">
        <f t="shared" si="7"/>
        <v>0.21734799014690948</v>
      </c>
      <c r="G52" s="97">
        <f t="shared" si="8"/>
        <v>255.10913999999997</v>
      </c>
      <c r="H52" s="97">
        <f t="shared" si="9"/>
        <v>2.5768600000000021</v>
      </c>
      <c r="I52" s="97">
        <f t="shared" si="10"/>
        <v>0.30951448271780141</v>
      </c>
      <c r="J52" s="97">
        <f t="shared" si="11"/>
        <v>0.99963788840072065</v>
      </c>
      <c r="K52" s="81">
        <f t="shared" si="12"/>
        <v>1</v>
      </c>
      <c r="L52" s="86">
        <f t="shared" si="13"/>
        <v>46.007825734560527</v>
      </c>
      <c r="M52" s="81">
        <f t="shared" si="14"/>
        <v>211.67817426543945</v>
      </c>
    </row>
    <row r="53" spans="2:13" x14ac:dyDescent="0.3">
      <c r="B53" s="80" t="s">
        <v>19</v>
      </c>
      <c r="C53" s="79">
        <f t="shared" si="5"/>
        <v>0</v>
      </c>
      <c r="D53" s="85">
        <f t="shared" si="5"/>
        <v>1</v>
      </c>
      <c r="E53" s="30">
        <f t="shared" si="6"/>
        <v>0</v>
      </c>
      <c r="F53" s="111">
        <f t="shared" si="7"/>
        <v>0</v>
      </c>
      <c r="G53" s="73">
        <f t="shared" si="8"/>
        <v>0</v>
      </c>
      <c r="H53" s="73">
        <f t="shared" si="9"/>
        <v>0</v>
      </c>
      <c r="I53" s="73">
        <f t="shared" si="10"/>
        <v>0</v>
      </c>
      <c r="J53" s="73">
        <f t="shared" si="11"/>
        <v>0</v>
      </c>
      <c r="K53" s="72">
        <f t="shared" si="12"/>
        <v>0</v>
      </c>
      <c r="L53" s="106">
        <f t="shared" si="13"/>
        <v>0</v>
      </c>
      <c r="M53" s="85">
        <f t="shared" si="14"/>
        <v>0</v>
      </c>
    </row>
    <row r="54" spans="2:13" x14ac:dyDescent="0.3">
      <c r="B54" s="72" t="s">
        <v>14</v>
      </c>
      <c r="C54" s="79">
        <f t="shared" si="5"/>
        <v>0</v>
      </c>
      <c r="D54" s="72">
        <f t="shared" si="5"/>
        <v>0</v>
      </c>
      <c r="E54" s="30">
        <f t="shared" si="6"/>
        <v>1</v>
      </c>
      <c r="F54" s="111">
        <f t="shared" si="7"/>
        <v>0</v>
      </c>
      <c r="G54" s="73">
        <f t="shared" si="8"/>
        <v>0</v>
      </c>
      <c r="H54" s="73">
        <f t="shared" si="9"/>
        <v>0</v>
      </c>
      <c r="I54" s="73">
        <f t="shared" si="10"/>
        <v>0</v>
      </c>
      <c r="J54" s="73">
        <f t="shared" si="11"/>
        <v>0</v>
      </c>
      <c r="K54" s="72">
        <f t="shared" si="12"/>
        <v>0</v>
      </c>
      <c r="L54" s="75">
        <f t="shared" si="13"/>
        <v>0</v>
      </c>
      <c r="M54" s="72">
        <f t="shared" si="14"/>
        <v>0</v>
      </c>
    </row>
    <row r="55" spans="2:13" x14ac:dyDescent="0.3">
      <c r="B55" s="72" t="s">
        <v>15</v>
      </c>
      <c r="C55" s="79">
        <f t="shared" si="5"/>
        <v>12.181519999999997</v>
      </c>
      <c r="D55" s="72">
        <f t="shared" si="5"/>
        <v>0</v>
      </c>
      <c r="E55" s="30">
        <f t="shared" si="6"/>
        <v>1</v>
      </c>
      <c r="F55" s="111">
        <f t="shared" si="7"/>
        <v>11426186020.166422</v>
      </c>
      <c r="G55" s="73">
        <f t="shared" si="8"/>
        <v>12.181519999999997</v>
      </c>
      <c r="H55" s="73">
        <f t="shared" si="9"/>
        <v>0</v>
      </c>
      <c r="I55" s="73">
        <f t="shared" si="10"/>
        <v>8.1950337817297228E-2</v>
      </c>
      <c r="J55" s="73">
        <f t="shared" si="11"/>
        <v>5.0346214267173108E-12</v>
      </c>
      <c r="K55" s="72">
        <f t="shared" si="12"/>
        <v>33.6497080096076</v>
      </c>
      <c r="L55" s="75">
        <f t="shared" si="13"/>
        <v>12.181519998933892</v>
      </c>
      <c r="M55" s="72">
        <f t="shared" si="14"/>
        <v>1.0661055209003562E-9</v>
      </c>
    </row>
    <row r="56" spans="2:13" x14ac:dyDescent="0.3">
      <c r="B56" s="112" t="s">
        <v>16</v>
      </c>
      <c r="C56" s="79">
        <f t="shared" si="5"/>
        <v>14.920559999999998</v>
      </c>
      <c r="D56" s="83">
        <f t="shared" si="5"/>
        <v>0.9</v>
      </c>
      <c r="E56" s="16">
        <f t="shared" si="6"/>
        <v>0.1</v>
      </c>
      <c r="F56" s="115">
        <f t="shared" si="7"/>
        <v>193.65705922089609</v>
      </c>
      <c r="G56" s="95">
        <f t="shared" si="8"/>
        <v>1.4920559999999998</v>
      </c>
      <c r="H56" s="95">
        <f t="shared" si="9"/>
        <v>13.428503999999998</v>
      </c>
      <c r="I56" s="95">
        <f t="shared" si="10"/>
        <v>9.9861380069748915E-2</v>
      </c>
      <c r="J56" s="95">
        <f t="shared" si="11"/>
        <v>3.6197751382467479E-4</v>
      </c>
      <c r="K56" s="83">
        <f t="shared" si="12"/>
        <v>2.6312256650556707</v>
      </c>
      <c r="L56" s="87">
        <f t="shared" si="13"/>
        <v>14.843909504715015</v>
      </c>
      <c r="M56" s="83">
        <f t="shared" si="14"/>
        <v>7.6650495284983231E-2</v>
      </c>
    </row>
    <row r="57" spans="2:13" x14ac:dyDescent="0.3">
      <c r="B57" s="77" t="s">
        <v>111</v>
      </c>
      <c r="C57" s="18">
        <f>SUM(C46:C56)</f>
        <v>360.4</v>
      </c>
      <c r="F57" s="21"/>
      <c r="G57" s="30">
        <f>SUM(G46:G56)</f>
        <v>344.39463599999993</v>
      </c>
      <c r="H57" s="30">
        <f>SUM(H46:H56)</f>
        <v>16.005364</v>
      </c>
      <c r="I57" s="30">
        <f>SUM(I46:I56)</f>
        <v>1.0000000000000002</v>
      </c>
      <c r="J57" s="30">
        <f>SUM(J46:J56)</f>
        <v>1</v>
      </c>
      <c r="K57" s="21"/>
      <c r="L57" s="13">
        <f>SUM(L46:L56)</f>
        <v>148.64514684602975</v>
      </c>
      <c r="M57" s="13">
        <f>SUM(M46:M56)</f>
        <v>211.7548531539702</v>
      </c>
    </row>
    <row r="59" spans="2:13" ht="16.2" thickBot="1" x14ac:dyDescent="0.35"/>
    <row r="60" spans="2:13" ht="16.2" thickBot="1" x14ac:dyDescent="0.35">
      <c r="B60" s="192">
        <v>5</v>
      </c>
      <c r="C60" s="173" t="s">
        <v>67</v>
      </c>
      <c r="D60" s="174"/>
      <c r="E60" s="175"/>
    </row>
    <row r="61" spans="2:13" x14ac:dyDescent="0.3">
      <c r="B61" s="24" t="s">
        <v>68</v>
      </c>
      <c r="C61" s="101">
        <v>377.14</v>
      </c>
      <c r="D61" s="1" t="s">
        <v>35</v>
      </c>
    </row>
    <row r="62" spans="2:13" x14ac:dyDescent="0.3">
      <c r="B62" s="1" t="s">
        <v>69</v>
      </c>
      <c r="C62" s="101">
        <v>360.4</v>
      </c>
      <c r="D62" s="1" t="s">
        <v>35</v>
      </c>
    </row>
    <row r="63" spans="2:13" x14ac:dyDescent="0.3">
      <c r="B63" s="1" t="s">
        <v>113</v>
      </c>
      <c r="C63" s="116">
        <f>C61/C62</f>
        <v>1.0464483906770257</v>
      </c>
    </row>
    <row r="64" spans="2:13" x14ac:dyDescent="0.3">
      <c r="B64" s="1" t="s">
        <v>114</v>
      </c>
      <c r="C64" s="13">
        <f>1-C63-E77</f>
        <v>-4.5074540949152642E-6</v>
      </c>
    </row>
    <row r="65" spans="2:6" x14ac:dyDescent="0.3">
      <c r="B65" s="1" t="s">
        <v>70</v>
      </c>
      <c r="C65" s="30">
        <v>2.2139908815298392</v>
      </c>
      <c r="D65" s="1" t="s">
        <v>121</v>
      </c>
    </row>
    <row r="67" spans="2:6" ht="31.2" x14ac:dyDescent="0.3">
      <c r="B67" s="72" t="s">
        <v>61</v>
      </c>
      <c r="C67" s="2" t="s">
        <v>115</v>
      </c>
      <c r="D67" s="2" t="s">
        <v>71</v>
      </c>
      <c r="E67" s="3" t="s">
        <v>72</v>
      </c>
      <c r="F67" s="3" t="s">
        <v>73</v>
      </c>
    </row>
    <row r="68" spans="2:6" x14ac:dyDescent="0.3">
      <c r="B68" s="72" t="s">
        <v>9</v>
      </c>
      <c r="C68" s="30">
        <f>K46</f>
        <v>38.979148054303899</v>
      </c>
      <c r="D68" s="30">
        <f>D5</f>
        <v>5.6899999999999999E-2</v>
      </c>
      <c r="E68" s="30">
        <f>C68*D68/(C68-$C$65)</f>
        <v>6.0326507346807633E-2</v>
      </c>
      <c r="F68" s="30">
        <f>C68*I46/(C68-$C$65)</f>
        <v>0.14626561114458869</v>
      </c>
    </row>
    <row r="69" spans="2:6" x14ac:dyDescent="0.3">
      <c r="B69" s="72" t="s">
        <v>11</v>
      </c>
      <c r="C69" s="30">
        <f t="shared" ref="C69:C74" si="15">K47</f>
        <v>32.75471493379851</v>
      </c>
      <c r="D69" s="30">
        <f t="shared" ref="D69:D74" si="16">D6</f>
        <v>6.1000000000000004E-3</v>
      </c>
      <c r="E69" s="30">
        <f t="shared" ref="E69:E76" si="17">C69*D69/(C69-$C$65)</f>
        <v>6.5422077339822859E-3</v>
      </c>
      <c r="F69" s="30">
        <f t="shared" ref="F69:F74" si="18">C69*I47/(C69-$C$65)</f>
        <v>1.5862015794704334E-2</v>
      </c>
    </row>
    <row r="70" spans="2:6" x14ac:dyDescent="0.3">
      <c r="B70" s="72" t="s">
        <v>10</v>
      </c>
      <c r="C70" s="30">
        <f t="shared" si="15"/>
        <v>14.296600594896173</v>
      </c>
      <c r="D70" s="30">
        <f t="shared" si="16"/>
        <v>0.1265</v>
      </c>
      <c r="E70" s="30">
        <f t="shared" si="17"/>
        <v>0.14967958232183057</v>
      </c>
      <c r="F70" s="30">
        <f t="shared" si="18"/>
        <v>0.36290804435996082</v>
      </c>
    </row>
    <row r="71" spans="2:6" x14ac:dyDescent="0.3">
      <c r="B71" s="72" t="s">
        <v>12</v>
      </c>
      <c r="C71" s="30">
        <f t="shared" si="15"/>
        <v>9.265698208722764</v>
      </c>
      <c r="D71" s="30">
        <f t="shared" si="16"/>
        <v>5.3E-3</v>
      </c>
      <c r="E71" s="30">
        <f t="shared" si="17"/>
        <v>6.9640156954414003E-3</v>
      </c>
      <c r="F71" s="30">
        <f t="shared" si="18"/>
        <v>1.6884704478369053E-2</v>
      </c>
    </row>
    <row r="72" spans="2:6" x14ac:dyDescent="0.3">
      <c r="B72" s="72" t="s">
        <v>13</v>
      </c>
      <c r="C72" s="30">
        <f t="shared" si="15"/>
        <v>7.1359905908159753</v>
      </c>
      <c r="D72" s="30">
        <f t="shared" si="16"/>
        <v>1.4999999999999999E-2</v>
      </c>
      <c r="E72" s="30">
        <f t="shared" si="17"/>
        <v>2.1747229822117197E-2</v>
      </c>
      <c r="F72" s="30">
        <f t="shared" si="18"/>
        <v>5.2727351434023455E-2</v>
      </c>
    </row>
    <row r="73" spans="2:6" x14ac:dyDescent="0.3">
      <c r="B73" s="72" t="s">
        <v>17</v>
      </c>
      <c r="C73" s="30">
        <f t="shared" si="15"/>
        <v>8.2943084590000584</v>
      </c>
      <c r="D73" s="30">
        <f t="shared" si="16"/>
        <v>0</v>
      </c>
      <c r="E73" s="30">
        <f t="shared" si="17"/>
        <v>0</v>
      </c>
      <c r="F73" s="30">
        <f t="shared" si="18"/>
        <v>0</v>
      </c>
    </row>
    <row r="74" spans="2:6" x14ac:dyDescent="0.3">
      <c r="B74" s="82" t="s">
        <v>18</v>
      </c>
      <c r="C74" s="100">
        <f t="shared" si="15"/>
        <v>1</v>
      </c>
      <c r="D74" s="100">
        <f t="shared" si="16"/>
        <v>0.71499999999999997</v>
      </c>
      <c r="E74" s="100">
        <f t="shared" si="17"/>
        <v>-0.58896653251544673</v>
      </c>
      <c r="F74" s="100">
        <f t="shared" si="18"/>
        <v>-0.2549561841253366</v>
      </c>
    </row>
    <row r="75" spans="2:6" x14ac:dyDescent="0.3">
      <c r="B75" s="72" t="s">
        <v>15</v>
      </c>
      <c r="C75" s="30">
        <f>K55</f>
        <v>33.6497080096076</v>
      </c>
      <c r="D75" s="30">
        <f>D14</f>
        <v>3.3799999999999997E-2</v>
      </c>
      <c r="E75" s="30">
        <f t="shared" si="17"/>
        <v>3.6180505317910151E-2</v>
      </c>
      <c r="F75" s="30">
        <f>C75*I55/(C75-$C$65)</f>
        <v>8.7722030568143677E-2</v>
      </c>
    </row>
    <row r="76" spans="2:6" x14ac:dyDescent="0.3">
      <c r="B76" s="83" t="s">
        <v>16</v>
      </c>
      <c r="C76" s="16">
        <f>K56</f>
        <v>2.6312256650556707</v>
      </c>
      <c r="D76" s="16">
        <f>D15</f>
        <v>4.1399999999999999E-2</v>
      </c>
      <c r="E76" s="16">
        <f t="shared" si="17"/>
        <v>0.26108260105442677</v>
      </c>
      <c r="F76" s="16">
        <f>C76*I56/(C76-$C$65)</f>
        <v>0.62976011723417247</v>
      </c>
    </row>
    <row r="77" spans="2:6" x14ac:dyDescent="0.3">
      <c r="D77" s="30" t="s">
        <v>21</v>
      </c>
      <c r="E77" s="98">
        <f>SUM(E68:E76)</f>
        <v>-4.6443883222930749E-2</v>
      </c>
      <c r="F77" s="98">
        <f>SUM(F68:F76)</f>
        <v>1.057173690888626</v>
      </c>
    </row>
    <row r="79" spans="2:6" ht="16.2" thickBot="1" x14ac:dyDescent="0.35"/>
    <row r="80" spans="2:6" ht="16.2" thickBot="1" x14ac:dyDescent="0.35">
      <c r="B80" s="118">
        <v>6</v>
      </c>
      <c r="C80" s="99" t="s">
        <v>74</v>
      </c>
      <c r="D80" s="23">
        <f>F77-1</f>
        <v>5.7173690888626005E-2</v>
      </c>
    </row>
    <row r="81" spans="2:7" x14ac:dyDescent="0.3">
      <c r="B81" s="20" t="s">
        <v>75</v>
      </c>
      <c r="C81" s="102">
        <v>1.4</v>
      </c>
    </row>
    <row r="82" spans="2:7" x14ac:dyDescent="0.3">
      <c r="B82" s="22" t="s">
        <v>116</v>
      </c>
      <c r="C82" s="23">
        <f>C81*D80</f>
        <v>8.0043167244076396E-2</v>
      </c>
    </row>
    <row r="84" spans="2:7" ht="16.2" thickBot="1" x14ac:dyDescent="0.35"/>
    <row r="85" spans="2:7" ht="16.2" thickBot="1" x14ac:dyDescent="0.35">
      <c r="B85" s="122">
        <v>7</v>
      </c>
      <c r="C85" s="159" t="s">
        <v>117</v>
      </c>
      <c r="D85" s="176"/>
      <c r="E85" s="176"/>
      <c r="F85" s="177"/>
    </row>
    <row r="86" spans="2:7" x14ac:dyDescent="0.3">
      <c r="B86" s="20" t="s">
        <v>118</v>
      </c>
      <c r="C86" s="30">
        <f>(C87-D37)/(C87+1)</f>
        <v>0.6653800800987032</v>
      </c>
      <c r="D86" s="30" t="s">
        <v>119</v>
      </c>
      <c r="E86" s="30">
        <f>0.75*( 1 - ( (C82-D80)/(C82+1) )^(0.566) )</f>
        <v>0.66538007932182563</v>
      </c>
      <c r="F86" s="30" t="s">
        <v>120</v>
      </c>
      <c r="G86" s="135">
        <f>C86-E86</f>
        <v>7.7687756228073113E-10</v>
      </c>
    </row>
    <row r="87" spans="2:7" x14ac:dyDescent="0.3">
      <c r="B87" s="22" t="s">
        <v>76</v>
      </c>
      <c r="C87" s="124">
        <v>22.970107767981535</v>
      </c>
      <c r="D87" s="194" t="s">
        <v>77</v>
      </c>
      <c r="E87" s="21"/>
      <c r="F87" s="21"/>
      <c r="G87" s="21"/>
    </row>
    <row r="89" spans="2:7" ht="16.2" thickBot="1" x14ac:dyDescent="0.35"/>
    <row r="90" spans="2:7" ht="16.2" thickBot="1" x14ac:dyDescent="0.35">
      <c r="B90" s="35">
        <v>8</v>
      </c>
      <c r="C90" s="159" t="s">
        <v>122</v>
      </c>
      <c r="D90" s="176"/>
    </row>
    <row r="91" spans="2:7" x14ac:dyDescent="0.3">
      <c r="B91" s="20" t="s">
        <v>78</v>
      </c>
      <c r="C91" s="13">
        <f>EXP(0.206*LN( (I16/H16)*(D11/D15)*(K15/J11)^2 ) )</f>
        <v>0.76306250880683835</v>
      </c>
    </row>
    <row r="92" spans="2:7" x14ac:dyDescent="0.3">
      <c r="B92" s="30" t="s">
        <v>79</v>
      </c>
      <c r="C92" s="13">
        <f>C87/(C91+1)</f>
        <v>13.028527152747792</v>
      </c>
    </row>
    <row r="93" spans="2:7" x14ac:dyDescent="0.3">
      <c r="B93" s="30" t="s">
        <v>80</v>
      </c>
      <c r="C93" s="13">
        <f>C92*C91</f>
        <v>9.9415806152337449</v>
      </c>
    </row>
    <row r="94" spans="2:7" x14ac:dyDescent="0.3">
      <c r="B94" s="22" t="s">
        <v>81</v>
      </c>
      <c r="C94" s="124">
        <f>ROUNDUP(C93,0)</f>
        <v>10</v>
      </c>
    </row>
    <row r="96" spans="2:7" ht="16.2" thickBot="1" x14ac:dyDescent="0.35"/>
    <row r="97" spans="2:6" ht="16.2" thickBot="1" x14ac:dyDescent="0.35">
      <c r="B97" s="35">
        <v>9</v>
      </c>
      <c r="C97" s="159" t="s">
        <v>82</v>
      </c>
      <c r="D97" s="176"/>
      <c r="E97" s="176"/>
      <c r="F97" s="176"/>
    </row>
    <row r="98" spans="2:6" x14ac:dyDescent="0.3">
      <c r="B98" s="138" t="s">
        <v>132</v>
      </c>
      <c r="C98" s="137">
        <v>1.4999999999999999E-2</v>
      </c>
      <c r="D98" t="s">
        <v>131</v>
      </c>
      <c r="E98" s="140" t="s">
        <v>161</v>
      </c>
    </row>
    <row r="99" spans="2:6" x14ac:dyDescent="0.3">
      <c r="B99" s="102" t="s">
        <v>133</v>
      </c>
      <c r="C99" s="137">
        <v>0.1</v>
      </c>
      <c r="D99" t="s">
        <v>157</v>
      </c>
      <c r="E99" s="140" t="s">
        <v>161</v>
      </c>
    </row>
    <row r="100" spans="2:6" x14ac:dyDescent="0.3">
      <c r="B100" s="102" t="s">
        <v>123</v>
      </c>
      <c r="C100" s="137">
        <v>0.2</v>
      </c>
      <c r="D100" t="s">
        <v>157</v>
      </c>
      <c r="E100" s="140" t="s">
        <v>161</v>
      </c>
    </row>
    <row r="101" spans="2:6" x14ac:dyDescent="0.3">
      <c r="B101" s="102" t="s">
        <v>134</v>
      </c>
      <c r="C101" s="137">
        <v>3</v>
      </c>
      <c r="E101" s="140" t="s">
        <v>161</v>
      </c>
    </row>
    <row r="102" spans="2:6" x14ac:dyDescent="0.3">
      <c r="B102" s="102" t="s">
        <v>135</v>
      </c>
      <c r="C102" s="102">
        <v>0.5</v>
      </c>
      <c r="D102" t="s">
        <v>131</v>
      </c>
      <c r="E102" s="140" t="s">
        <v>161</v>
      </c>
    </row>
    <row r="103" spans="2:6" x14ac:dyDescent="0.3">
      <c r="B103" s="102" t="s">
        <v>136</v>
      </c>
      <c r="C103" s="137">
        <v>0.05</v>
      </c>
      <c r="D103" t="s">
        <v>131</v>
      </c>
      <c r="E103" s="140" t="s">
        <v>161</v>
      </c>
    </row>
    <row r="104" spans="2:6" x14ac:dyDescent="0.3">
      <c r="B104" s="101" t="s">
        <v>145</v>
      </c>
      <c r="C104" s="92">
        <f>AVERAGE(B146:B164)</f>
        <v>1.4196233829843509E-2</v>
      </c>
      <c r="D104" t="s">
        <v>84</v>
      </c>
    </row>
    <row r="105" spans="2:6" x14ac:dyDescent="0.3">
      <c r="B105" s="139" t="s">
        <v>146</v>
      </c>
      <c r="C105" s="13">
        <f>F35/F31</f>
        <v>2.6312256650556707</v>
      </c>
      <c r="E105" t="s">
        <v>164</v>
      </c>
    </row>
    <row r="106" spans="2:6" x14ac:dyDescent="0.3">
      <c r="B106" s="139" t="s">
        <v>147</v>
      </c>
      <c r="C106" s="14">
        <f>C104*C105</f>
        <v>3.7353494800215797E-2</v>
      </c>
    </row>
    <row r="107" spans="2:6" x14ac:dyDescent="0.3">
      <c r="B107" s="98" t="s">
        <v>148</v>
      </c>
      <c r="C107" s="135">
        <v>0.83</v>
      </c>
      <c r="E107" t="s">
        <v>160</v>
      </c>
    </row>
    <row r="108" spans="2:6" x14ac:dyDescent="0.3">
      <c r="B108" s="98" t="s">
        <v>149</v>
      </c>
      <c r="C108" s="129">
        <f>ROUNDUP(C87/C107,0)</f>
        <v>28</v>
      </c>
    </row>
    <row r="109" spans="2:6" x14ac:dyDescent="0.3">
      <c r="B109" s="98" t="s">
        <v>155</v>
      </c>
      <c r="C109" s="129" t="s">
        <v>156</v>
      </c>
    </row>
    <row r="111" spans="2:6" ht="16.2" thickBot="1" x14ac:dyDescent="0.35"/>
    <row r="112" spans="2:6" ht="16.2" thickBot="1" x14ac:dyDescent="0.35">
      <c r="B112" s="35">
        <v>10</v>
      </c>
      <c r="C112" s="178" t="s">
        <v>85</v>
      </c>
      <c r="D112" s="159"/>
    </row>
    <row r="113" spans="2:5" x14ac:dyDescent="0.3">
      <c r="B113" s="180" t="s">
        <v>86</v>
      </c>
      <c r="C113" s="145">
        <f>AVERAGE(D146:D164)</f>
        <v>34649.368637809217</v>
      </c>
      <c r="D113" t="s">
        <v>87</v>
      </c>
    </row>
    <row r="114" spans="2:5" x14ac:dyDescent="0.3">
      <c r="B114" s="161"/>
      <c r="C114" s="127">
        <f>C113/35.5/3600</f>
        <v>0.27112182032714566</v>
      </c>
      <c r="D114" t="s">
        <v>127</v>
      </c>
    </row>
    <row r="115" spans="2:5" x14ac:dyDescent="0.3">
      <c r="B115" s="160" t="s">
        <v>88</v>
      </c>
      <c r="C115" s="146">
        <f>AVERAGE(C146:C164)</f>
        <v>53163.777369239557</v>
      </c>
      <c r="D115" t="s">
        <v>87</v>
      </c>
    </row>
    <row r="116" spans="2:5" x14ac:dyDescent="0.3">
      <c r="B116" s="161"/>
      <c r="C116" s="127">
        <f>C115/35.5/3600</f>
        <v>0.41599199819436272</v>
      </c>
      <c r="D116" t="s">
        <v>127</v>
      </c>
    </row>
    <row r="117" spans="2:5" x14ac:dyDescent="0.3">
      <c r="B117" s="160" t="s">
        <v>89</v>
      </c>
      <c r="C117" s="147">
        <f>AVERAGE(F146:F164)</f>
        <v>1.4754102272010752</v>
      </c>
      <c r="D117" t="s">
        <v>91</v>
      </c>
    </row>
    <row r="118" spans="2:5" x14ac:dyDescent="0.3">
      <c r="B118" s="161"/>
      <c r="C118" s="13">
        <f>C117/35.5</f>
        <v>4.1560851470452818E-2</v>
      </c>
      <c r="D118" t="s">
        <v>128</v>
      </c>
    </row>
    <row r="119" spans="2:5" x14ac:dyDescent="0.3">
      <c r="B119" s="160" t="s">
        <v>90</v>
      </c>
      <c r="C119" s="143">
        <f>AVERAGE(E146:E176)</f>
        <v>63.995352792758105</v>
      </c>
      <c r="D119" t="s">
        <v>91</v>
      </c>
    </row>
    <row r="120" spans="2:5" x14ac:dyDescent="0.3">
      <c r="B120" s="161"/>
      <c r="C120" s="13">
        <f>C119/35.5</f>
        <v>1.8026859941622002</v>
      </c>
      <c r="D120" t="s">
        <v>128</v>
      </c>
    </row>
    <row r="121" spans="2:5" x14ac:dyDescent="0.3">
      <c r="B121" s="187" t="s">
        <v>92</v>
      </c>
      <c r="C121" s="134">
        <v>0.25</v>
      </c>
      <c r="D121" t="s">
        <v>150</v>
      </c>
      <c r="E121" t="s">
        <v>151</v>
      </c>
    </row>
    <row r="122" spans="2:5" x14ac:dyDescent="0.3">
      <c r="B122" s="128" t="s">
        <v>93</v>
      </c>
      <c r="C122" s="144">
        <f>AVERAGE(G146:G176)</f>
        <v>17.026850534537509</v>
      </c>
      <c r="D122" t="s">
        <v>94</v>
      </c>
    </row>
    <row r="123" spans="2:5" x14ac:dyDescent="0.3">
      <c r="B123" s="33" t="s">
        <v>95</v>
      </c>
      <c r="C123" s="127">
        <f>(C122/20)^0.2</f>
        <v>0.96832437813567629</v>
      </c>
    </row>
    <row r="124" spans="2:5" x14ac:dyDescent="0.3">
      <c r="B124" s="130" t="s">
        <v>96</v>
      </c>
      <c r="C124" s="134">
        <v>1</v>
      </c>
      <c r="D124" t="s">
        <v>162</v>
      </c>
    </row>
    <row r="125" spans="2:5" x14ac:dyDescent="0.3">
      <c r="B125" s="130" t="s">
        <v>97</v>
      </c>
      <c r="C125" s="134">
        <v>1</v>
      </c>
      <c r="D125" t="s">
        <v>163</v>
      </c>
    </row>
    <row r="126" spans="2:5" x14ac:dyDescent="0.3">
      <c r="B126" s="129" t="s">
        <v>98</v>
      </c>
      <c r="C126" s="116">
        <f>C121*C123*C124*C125</f>
        <v>0.24208109453391907</v>
      </c>
      <c r="D126" t="s">
        <v>150</v>
      </c>
    </row>
    <row r="127" spans="2:5" x14ac:dyDescent="0.3">
      <c r="B127" s="129" t="s">
        <v>125</v>
      </c>
      <c r="C127" s="13">
        <f>C126*SQRT( (C119-C117)/C117)</f>
        <v>1.5758459674008416</v>
      </c>
      <c r="D127" t="s">
        <v>150</v>
      </c>
    </row>
    <row r="128" spans="2:5" x14ac:dyDescent="0.3">
      <c r="B128" s="129" t="s">
        <v>99</v>
      </c>
      <c r="C128" s="13">
        <f>C115/C113*SQRT(C117/C119)</f>
        <v>0.23297143841592541</v>
      </c>
    </row>
    <row r="129" spans="2:7" x14ac:dyDescent="0.3">
      <c r="B129" s="102" t="s">
        <v>100</v>
      </c>
      <c r="C129" s="135">
        <v>0.8</v>
      </c>
      <c r="E129" s="140" t="s">
        <v>165</v>
      </c>
      <c r="F129" t="s">
        <v>166</v>
      </c>
    </row>
    <row r="130" spans="2:7" ht="16.2" thickBot="1" x14ac:dyDescent="0.35">
      <c r="B130" s="133" t="s">
        <v>152</v>
      </c>
      <c r="C130" s="155">
        <f>0.1+( (C128-0.1)/9)</f>
        <v>0.11477460426843616</v>
      </c>
      <c r="D130" t="s">
        <v>151</v>
      </c>
    </row>
    <row r="131" spans="2:7" ht="16.2" thickBot="1" x14ac:dyDescent="0.35">
      <c r="B131" s="195" t="s">
        <v>101</v>
      </c>
      <c r="C131" s="196">
        <f>( 4*C114/ (C129*C127*PI()*(1-C130)*C118) )^(1/2)</f>
        <v>2.7281375846376479</v>
      </c>
      <c r="D131" t="s">
        <v>83</v>
      </c>
      <c r="F131" t="s">
        <v>172</v>
      </c>
    </row>
    <row r="132" spans="2:7" ht="16.2" thickBot="1" x14ac:dyDescent="0.35"/>
    <row r="133" spans="2:7" ht="16.2" thickBot="1" x14ac:dyDescent="0.35">
      <c r="B133" s="149">
        <v>11</v>
      </c>
      <c r="C133" s="179" t="s">
        <v>102</v>
      </c>
      <c r="D133" s="159"/>
    </row>
    <row r="134" spans="2:7" ht="16.2" thickBot="1" x14ac:dyDescent="0.35">
      <c r="B134" s="197" t="s">
        <v>103</v>
      </c>
      <c r="C134" s="198">
        <f>CONVERT(C135,"m","ft")</f>
        <v>44.291338582677163</v>
      </c>
      <c r="D134" t="s">
        <v>83</v>
      </c>
      <c r="F134" t="s">
        <v>173</v>
      </c>
    </row>
    <row r="135" spans="2:7" ht="16.2" thickBot="1" x14ac:dyDescent="0.35">
      <c r="B135" s="199"/>
      <c r="C135" s="200">
        <f>C102*(C108-1)</f>
        <v>13.5</v>
      </c>
      <c r="D135" t="s">
        <v>131</v>
      </c>
    </row>
    <row r="137" spans="2:7" x14ac:dyDescent="0.3">
      <c r="B137" s="129" t="s">
        <v>129</v>
      </c>
      <c r="C137" s="135">
        <v>4</v>
      </c>
      <c r="D137" t="s">
        <v>83</v>
      </c>
    </row>
    <row r="138" spans="2:7" x14ac:dyDescent="0.3">
      <c r="B138" s="129" t="s">
        <v>130</v>
      </c>
      <c r="C138" s="135">
        <v>10</v>
      </c>
      <c r="D138" t="s">
        <v>83</v>
      </c>
    </row>
    <row r="139" spans="2:7" x14ac:dyDescent="0.3">
      <c r="B139" s="22" t="s">
        <v>144</v>
      </c>
      <c r="C139" s="23">
        <f>SUM(C134,C137:C138)</f>
        <v>58.291338582677163</v>
      </c>
      <c r="D139" t="s">
        <v>83</v>
      </c>
    </row>
    <row r="142" spans="2:7" x14ac:dyDescent="0.3">
      <c r="B142" t="s">
        <v>153</v>
      </c>
    </row>
    <row r="144" spans="2:7" x14ac:dyDescent="0.3">
      <c r="B144" s="157" t="s">
        <v>143</v>
      </c>
      <c r="C144" s="158"/>
      <c r="D144" s="158"/>
      <c r="E144" s="158"/>
      <c r="F144" s="158"/>
      <c r="G144" s="159"/>
    </row>
    <row r="145" spans="2:7" x14ac:dyDescent="0.3">
      <c r="B145" s="47" t="s">
        <v>137</v>
      </c>
      <c r="C145" s="47" t="s">
        <v>138</v>
      </c>
      <c r="D145" s="47" t="s">
        <v>139</v>
      </c>
      <c r="E145" s="47" t="s">
        <v>140</v>
      </c>
      <c r="F145" s="47" t="s">
        <v>141</v>
      </c>
      <c r="G145" s="47" t="s">
        <v>142</v>
      </c>
    </row>
    <row r="146" spans="2:7" x14ac:dyDescent="0.3">
      <c r="B146" s="152">
        <v>9.7223427867311699E-3</v>
      </c>
      <c r="C146" s="129">
        <v>2169.9005015042098</v>
      </c>
      <c r="D146" s="152">
        <v>2.5191829173108201E-6</v>
      </c>
      <c r="E146" s="129">
        <v>64.757706439115594</v>
      </c>
      <c r="F146" s="129">
        <v>1.31783021019771</v>
      </c>
      <c r="G146" s="129">
        <v>18.5495518918286</v>
      </c>
    </row>
    <row r="147" spans="2:7" x14ac:dyDescent="0.3">
      <c r="B147" s="152">
        <v>1.50599771717355E-2</v>
      </c>
      <c r="C147" s="129">
        <v>2243.5099936665201</v>
      </c>
      <c r="D147" s="129">
        <v>13997.925020807699</v>
      </c>
      <c r="E147" s="129">
        <v>67.013746541002504</v>
      </c>
      <c r="F147" s="129">
        <v>1.09540979607283</v>
      </c>
      <c r="G147" s="129">
        <v>21.747968589075899</v>
      </c>
    </row>
    <row r="148" spans="2:7" x14ac:dyDescent="0.3">
      <c r="B148" s="152">
        <v>1.50461897335362E-2</v>
      </c>
      <c r="C148" s="129">
        <v>2323.0248312722001</v>
      </c>
      <c r="D148" s="129">
        <v>14573.6834939173</v>
      </c>
      <c r="E148" s="129">
        <v>66.252463887804595</v>
      </c>
      <c r="F148" s="129">
        <v>1.1480462664368201</v>
      </c>
      <c r="G148" s="129">
        <v>20.605502739964901</v>
      </c>
    </row>
    <row r="149" spans="2:7" x14ac:dyDescent="0.3">
      <c r="B149" s="152">
        <v>1.5048591140338E-2</v>
      </c>
      <c r="C149" s="129">
        <v>2327.9344164481799</v>
      </c>
      <c r="D149" s="129">
        <v>14653.198331523001</v>
      </c>
      <c r="E149" s="129">
        <v>66.224076526421797</v>
      </c>
      <c r="F149" s="129">
        <v>1.1509800764637199</v>
      </c>
      <c r="G149" s="129">
        <v>20.523042444836499</v>
      </c>
    </row>
    <row r="150" spans="2:7" x14ac:dyDescent="0.3">
      <c r="B150" s="152">
        <v>1.5049170852253701E-2</v>
      </c>
      <c r="C150" s="129">
        <v>2328.41854657452</v>
      </c>
      <c r="D150" s="129">
        <v>14658.1079166989</v>
      </c>
      <c r="E150" s="129">
        <v>66.222333631141595</v>
      </c>
      <c r="F150" s="129">
        <v>1.1512428766887599</v>
      </c>
      <c r="G150" s="129">
        <v>20.514042627507798</v>
      </c>
    </row>
    <row r="151" spans="2:7" x14ac:dyDescent="0.3">
      <c r="B151" s="152">
        <v>1.5049257478541401E-2</v>
      </c>
      <c r="C151" s="129">
        <v>2328.4771052188698</v>
      </c>
      <c r="D151" s="129">
        <v>14658.592046825301</v>
      </c>
      <c r="E151" s="129">
        <v>66.222163057419493</v>
      </c>
      <c r="F151" s="129">
        <v>1.15127369611873</v>
      </c>
      <c r="G151" s="129">
        <v>20.5129215038762</v>
      </c>
    </row>
    <row r="152" spans="2:7" x14ac:dyDescent="0.3">
      <c r="B152" s="152">
        <v>1.50492660755666E-2</v>
      </c>
      <c r="C152" s="129">
        <v>2328.4846198493701</v>
      </c>
      <c r="D152" s="129">
        <v>14658.6506054696</v>
      </c>
      <c r="E152" s="129">
        <v>66.222142503306799</v>
      </c>
      <c r="F152" s="129">
        <v>1.1512776073265101</v>
      </c>
      <c r="G152" s="129">
        <v>20.512777188592</v>
      </c>
    </row>
    <row r="153" spans="2:7" x14ac:dyDescent="0.3">
      <c r="B153" s="152">
        <v>1.5049267285879899E-2</v>
      </c>
      <c r="C153" s="129">
        <v>2328.4855991685899</v>
      </c>
      <c r="D153" s="129">
        <v>14658.658120100101</v>
      </c>
      <c r="E153" s="129">
        <v>66.222139869962703</v>
      </c>
      <c r="F153" s="129">
        <v>1.1512781137285899</v>
      </c>
      <c r="G153" s="129">
        <v>20.5127584548542</v>
      </c>
    </row>
    <row r="154" spans="2:7" x14ac:dyDescent="0.3">
      <c r="B154" s="152">
        <v>1.5049267562666E-2</v>
      </c>
      <c r="C154" s="129">
        <v>2328.48572112483</v>
      </c>
      <c r="D154" s="129">
        <v>14658.659099419399</v>
      </c>
      <c r="E154" s="129">
        <v>66.222139527262101</v>
      </c>
      <c r="F154" s="129">
        <v>1.1512781796471001</v>
      </c>
      <c r="G154" s="129">
        <v>20.512756016595102</v>
      </c>
    </row>
    <row r="155" spans="2:7" x14ac:dyDescent="0.3">
      <c r="B155" s="152">
        <v>1.5049267596793601E-2</v>
      </c>
      <c r="C155" s="129">
        <v>2328.4857414222602</v>
      </c>
      <c r="D155" s="129">
        <v>14658.659221375599</v>
      </c>
      <c r="E155" s="129">
        <v>66.222139484224002</v>
      </c>
      <c r="F155" s="129">
        <v>1.1512781880841001</v>
      </c>
      <c r="G155" s="129">
        <v>20.5127557026616</v>
      </c>
    </row>
    <row r="156" spans="2:7" x14ac:dyDescent="0.3">
      <c r="B156" s="152">
        <v>1.50492676027682E-2</v>
      </c>
      <c r="C156" s="129">
        <v>91353.081101543794</v>
      </c>
      <c r="D156" s="129">
        <v>14658.659241673</v>
      </c>
      <c r="E156" s="129">
        <v>66.222139477381504</v>
      </c>
      <c r="F156" s="129">
        <v>1.15127818929213</v>
      </c>
      <c r="G156" s="129">
        <v>20.512755659257198</v>
      </c>
    </row>
    <row r="157" spans="2:7" x14ac:dyDescent="0.3">
      <c r="B157" s="152">
        <v>1.3875441823976001E-2</v>
      </c>
      <c r="C157" s="129">
        <v>109889.08465307399</v>
      </c>
      <c r="D157" s="129">
        <v>38622.708665848797</v>
      </c>
      <c r="E157" s="129">
        <v>62.117439998135097</v>
      </c>
      <c r="F157" s="129">
        <v>1.6066281137114899</v>
      </c>
      <c r="G157" s="129">
        <v>15.614368219097599</v>
      </c>
    </row>
    <row r="158" spans="2:7" x14ac:dyDescent="0.3">
      <c r="B158" s="152">
        <v>1.3663722290330201E-2</v>
      </c>
      <c r="C158" s="129">
        <v>115445.844694759</v>
      </c>
      <c r="D158" s="129">
        <v>57158.712217378699</v>
      </c>
      <c r="E158" s="129">
        <v>61.4481925296691</v>
      </c>
      <c r="F158" s="129">
        <v>1.74928555342861</v>
      </c>
      <c r="G158" s="129">
        <v>14.1134674997299</v>
      </c>
    </row>
    <row r="159" spans="2:7" x14ac:dyDescent="0.3">
      <c r="B159" s="152">
        <v>1.3653902412575299E-2</v>
      </c>
      <c r="C159" s="129">
        <v>118875.21532134101</v>
      </c>
      <c r="D159" s="129">
        <v>62715.472259063899</v>
      </c>
      <c r="E159" s="129">
        <v>61.170691741779599</v>
      </c>
      <c r="F159" s="129">
        <v>1.83679975878588</v>
      </c>
      <c r="G159" s="129">
        <v>13.0741969649506</v>
      </c>
    </row>
    <row r="160" spans="2:7" x14ac:dyDescent="0.3">
      <c r="B160" s="152">
        <v>1.36607232865553E-2</v>
      </c>
      <c r="C160" s="129">
        <v>121704.104875099</v>
      </c>
      <c r="D160" s="129">
        <v>66144.842885645805</v>
      </c>
      <c r="E160" s="129">
        <v>60.956378027269402</v>
      </c>
      <c r="F160" s="129">
        <v>1.9115205505444199</v>
      </c>
      <c r="G160" s="129">
        <v>12.2165833108642</v>
      </c>
    </row>
    <row r="161" spans="2:7" x14ac:dyDescent="0.3">
      <c r="B161" s="152">
        <v>1.3664325133692101E-2</v>
      </c>
      <c r="C161" s="129">
        <v>124024.172834852</v>
      </c>
      <c r="D161" s="129">
        <v>68973.732439404004</v>
      </c>
      <c r="E161" s="129">
        <v>60.780932420730402</v>
      </c>
      <c r="F161" s="129">
        <v>1.97474508175375</v>
      </c>
      <c r="G161" s="129">
        <v>11.528813353079601</v>
      </c>
    </row>
    <row r="162" spans="2:7" x14ac:dyDescent="0.3">
      <c r="B162" s="152">
        <v>1.3664383124756201E-2</v>
      </c>
      <c r="C162" s="129">
        <v>125843.033886918</v>
      </c>
      <c r="D162" s="129">
        <v>71293.800399157102</v>
      </c>
      <c r="E162" s="129">
        <v>60.641256364063501</v>
      </c>
      <c r="F162" s="129">
        <v>2.0254729221655001</v>
      </c>
      <c r="G162" s="129">
        <v>11.0015612822236</v>
      </c>
    </row>
    <row r="163" spans="2:7" x14ac:dyDescent="0.3">
      <c r="B163" s="152">
        <v>1.36629864197801E-2</v>
      </c>
      <c r="C163" s="129">
        <v>127211.65313602</v>
      </c>
      <c r="D163" s="129">
        <v>73112.661451222695</v>
      </c>
      <c r="E163" s="129">
        <v>60.535530180228001</v>
      </c>
      <c r="F163" s="129">
        <v>2.0642795169115802</v>
      </c>
      <c r="G163" s="129">
        <v>10.612087327536599</v>
      </c>
    </row>
    <row r="164" spans="2:7" x14ac:dyDescent="0.3">
      <c r="B164" s="152">
        <v>1.3661092988551201E-2</v>
      </c>
      <c r="C164" s="129">
        <v>52730.372435695099</v>
      </c>
      <c r="D164" s="129">
        <v>74481.280700325005</v>
      </c>
      <c r="E164" s="129">
        <v>60.458090855486297</v>
      </c>
      <c r="F164" s="129">
        <v>2.0928896194622002</v>
      </c>
      <c r="G164" s="129">
        <v>10.332249379680601</v>
      </c>
    </row>
  </sheetData>
  <mergeCells count="18">
    <mergeCell ref="S5:U5"/>
    <mergeCell ref="B1:D1"/>
    <mergeCell ref="E1:G1"/>
    <mergeCell ref="H1:J1"/>
    <mergeCell ref="K1:M1"/>
    <mergeCell ref="C112:D112"/>
    <mergeCell ref="B117:B118"/>
    <mergeCell ref="B119:B120"/>
    <mergeCell ref="E21:E22"/>
    <mergeCell ref="C60:E60"/>
    <mergeCell ref="C85:F85"/>
    <mergeCell ref="C90:D90"/>
    <mergeCell ref="C97:F97"/>
    <mergeCell ref="C133:D133"/>
    <mergeCell ref="B134:B135"/>
    <mergeCell ref="B144:G144"/>
    <mergeCell ref="B113:B114"/>
    <mergeCell ref="B115:B1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67FD-CC36-4944-8091-08B53F231B85}">
  <dimension ref="A1:T196"/>
  <sheetViews>
    <sheetView topLeftCell="A102" zoomScale="68" zoomScaleNormal="68" workbookViewId="0">
      <selection activeCell="C130" sqref="C130:D130"/>
    </sheetView>
  </sheetViews>
  <sheetFormatPr defaultRowHeight="15.6" x14ac:dyDescent="0.3"/>
  <cols>
    <col min="1" max="1" width="3" bestFit="1" customWidth="1"/>
    <col min="2" max="2" width="38.59765625" bestFit="1" customWidth="1"/>
    <col min="3" max="3" width="11.19921875" customWidth="1"/>
    <col min="4" max="4" width="13.69921875" bestFit="1" customWidth="1"/>
    <col min="5" max="5" width="20.19921875" bestFit="1" customWidth="1"/>
    <col min="6" max="6" width="18.09765625" bestFit="1" customWidth="1"/>
    <col min="7" max="7" width="23.69921875" bestFit="1" customWidth="1"/>
    <col min="8" max="8" width="12.09765625" bestFit="1" customWidth="1"/>
    <col min="9" max="9" width="10.09765625" bestFit="1" customWidth="1"/>
    <col min="10" max="10" width="12.19921875" bestFit="1" customWidth="1"/>
    <col min="11" max="11" width="11.8984375" bestFit="1" customWidth="1"/>
    <col min="12" max="12" width="8.8984375" bestFit="1" customWidth="1"/>
    <col min="13" max="13" width="12.19921875" bestFit="1" customWidth="1"/>
    <col min="14" max="14" width="8.59765625" bestFit="1" customWidth="1"/>
    <col min="15" max="15" width="6" bestFit="1" customWidth="1"/>
    <col min="16" max="16" width="7.59765625" bestFit="1" customWidth="1"/>
    <col min="18" max="18" width="18.19921875" bestFit="1" customWidth="1"/>
  </cols>
  <sheetData>
    <row r="1" spans="1:20" x14ac:dyDescent="0.3">
      <c r="B1" s="167" t="s">
        <v>30</v>
      </c>
      <c r="C1" s="167"/>
      <c r="D1" s="167"/>
      <c r="E1" s="168" t="s">
        <v>31</v>
      </c>
      <c r="F1" s="168"/>
      <c r="G1" s="168"/>
      <c r="H1" s="169" t="s">
        <v>32</v>
      </c>
      <c r="I1" s="169"/>
      <c r="J1" s="169"/>
      <c r="K1" s="186" t="s">
        <v>33</v>
      </c>
      <c r="L1" s="186"/>
      <c r="M1" s="186"/>
    </row>
    <row r="2" spans="1:20" ht="16.2" thickBot="1" x14ac:dyDescent="0.35"/>
    <row r="3" spans="1:20" ht="16.2" thickBot="1" x14ac:dyDescent="0.35">
      <c r="B3" s="35">
        <v>1</v>
      </c>
    </row>
    <row r="4" spans="1:20" ht="16.2" thickBot="1" x14ac:dyDescent="0.35">
      <c r="B4" s="202" t="s">
        <v>170</v>
      </c>
      <c r="D4" s="2" t="str">
        <f>'D3'!D3</f>
        <v>total flowrate</v>
      </c>
      <c r="E4" s="2">
        <v>676.5</v>
      </c>
      <c r="F4" s="2" t="str">
        <f>'D3'!F3</f>
        <v>kgmole/hr</v>
      </c>
    </row>
    <row r="5" spans="1:20" ht="47.4" thickBot="1" x14ac:dyDescent="0.35">
      <c r="B5" s="5" t="s">
        <v>107</v>
      </c>
      <c r="C5" s="41" t="s">
        <v>1</v>
      </c>
      <c r="D5" s="42" t="s">
        <v>20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</row>
    <row r="6" spans="1:20" ht="16.2" thickBot="1" x14ac:dyDescent="0.35">
      <c r="A6">
        <v>1</v>
      </c>
      <c r="B6" s="4" t="s">
        <v>9</v>
      </c>
      <c r="C6" s="43">
        <v>18.8</v>
      </c>
      <c r="D6" s="44">
        <v>0</v>
      </c>
      <c r="E6" s="2">
        <f t="shared" ref="E6:E16" si="0">D6*$E$4</f>
        <v>0</v>
      </c>
      <c r="F6" s="2">
        <v>1</v>
      </c>
      <c r="G6" s="2">
        <v>0</v>
      </c>
      <c r="H6" s="2">
        <f t="shared" ref="H6:H16" si="1">$E6*F6</f>
        <v>0</v>
      </c>
      <c r="I6" s="2">
        <f t="shared" ref="I6:I16" si="2">$E6*G6</f>
        <v>0</v>
      </c>
      <c r="J6" s="2">
        <f>H6/'D1'!$H$17</f>
        <v>0</v>
      </c>
      <c r="K6" s="2">
        <f>I6/'D1'!$I$17</f>
        <v>0</v>
      </c>
      <c r="N6" s="52" t="s">
        <v>26</v>
      </c>
      <c r="O6" s="53">
        <v>1100</v>
      </c>
      <c r="P6" s="54" t="s">
        <v>27</v>
      </c>
      <c r="R6" s="181" t="s">
        <v>41</v>
      </c>
      <c r="S6" s="182"/>
      <c r="T6" s="183"/>
    </row>
    <row r="7" spans="1:20" x14ac:dyDescent="0.3">
      <c r="A7">
        <v>2</v>
      </c>
      <c r="B7" s="2" t="s">
        <v>11</v>
      </c>
      <c r="C7" s="43">
        <v>16.84</v>
      </c>
      <c r="D7" s="44">
        <v>0</v>
      </c>
      <c r="E7" s="2">
        <f t="shared" si="0"/>
        <v>0</v>
      </c>
      <c r="F7" s="2">
        <v>1</v>
      </c>
      <c r="G7" s="2">
        <v>0</v>
      </c>
      <c r="H7" s="2">
        <f t="shared" si="1"/>
        <v>0</v>
      </c>
      <c r="I7" s="2">
        <f t="shared" si="2"/>
        <v>0</v>
      </c>
      <c r="J7" s="2">
        <f>H7/'D1'!$H$17</f>
        <v>0</v>
      </c>
      <c r="K7" s="2">
        <f>I7/'D1'!$I$17</f>
        <v>0</v>
      </c>
      <c r="N7" s="55" t="s">
        <v>28</v>
      </c>
      <c r="O7" s="44">
        <v>186</v>
      </c>
      <c r="P7" s="57" t="s">
        <v>29</v>
      </c>
      <c r="R7" s="45" t="s">
        <v>42</v>
      </c>
      <c r="S7" s="46">
        <v>21.3</v>
      </c>
      <c r="T7" s="46">
        <v>22</v>
      </c>
    </row>
    <row r="8" spans="1:20" ht="16.2" thickBot="1" x14ac:dyDescent="0.35">
      <c r="A8">
        <v>3</v>
      </c>
      <c r="B8" s="2" t="s">
        <v>10</v>
      </c>
      <c r="C8" s="43">
        <v>14.87</v>
      </c>
      <c r="D8" s="44">
        <v>0</v>
      </c>
      <c r="E8" s="2">
        <f t="shared" si="0"/>
        <v>0</v>
      </c>
      <c r="F8" s="2">
        <v>1</v>
      </c>
      <c r="G8" s="2">
        <v>0</v>
      </c>
      <c r="H8" s="2">
        <f t="shared" si="1"/>
        <v>0</v>
      </c>
      <c r="I8" s="2">
        <f t="shared" si="2"/>
        <v>0</v>
      </c>
      <c r="J8" s="2">
        <f>H8/'D1'!$H$17</f>
        <v>0</v>
      </c>
      <c r="K8" s="2">
        <f>I8/'D1'!$I$17</f>
        <v>0</v>
      </c>
      <c r="N8" s="56" t="s">
        <v>34</v>
      </c>
      <c r="O8" s="50">
        <f>E4</f>
        <v>676.5</v>
      </c>
      <c r="P8" s="58" t="s">
        <v>35</v>
      </c>
      <c r="R8" s="45" t="s">
        <v>43</v>
      </c>
      <c r="S8" s="46">
        <v>38.22</v>
      </c>
      <c r="T8" s="46">
        <v>39</v>
      </c>
    </row>
    <row r="9" spans="1:20" x14ac:dyDescent="0.3">
      <c r="A9">
        <v>4</v>
      </c>
      <c r="B9" s="2" t="s">
        <v>12</v>
      </c>
      <c r="C9" s="43">
        <v>6.2859999999999996</v>
      </c>
      <c r="D9" s="44">
        <v>0</v>
      </c>
      <c r="E9" s="2">
        <f t="shared" si="0"/>
        <v>0</v>
      </c>
      <c r="F9" s="2">
        <v>1</v>
      </c>
      <c r="G9" s="2">
        <v>0</v>
      </c>
      <c r="H9" s="2">
        <f t="shared" si="1"/>
        <v>0</v>
      </c>
      <c r="I9" s="2">
        <f t="shared" si="2"/>
        <v>0</v>
      </c>
      <c r="J9" s="2">
        <f>H9/'D1'!$H$17</f>
        <v>0</v>
      </c>
      <c r="K9" s="2">
        <f>I9/'D1'!$I$17</f>
        <v>0</v>
      </c>
      <c r="R9" s="45" t="s">
        <v>44</v>
      </c>
      <c r="S9" s="46">
        <v>15.8</v>
      </c>
      <c r="T9" s="46">
        <v>16</v>
      </c>
    </row>
    <row r="10" spans="1:20" x14ac:dyDescent="0.3">
      <c r="A10">
        <v>5</v>
      </c>
      <c r="B10" s="2" t="s">
        <v>13</v>
      </c>
      <c r="C10" s="43">
        <v>4.8689999999999998</v>
      </c>
      <c r="D10" s="44">
        <v>4.0000000000000002E-4</v>
      </c>
      <c r="E10" s="2">
        <f t="shared" si="0"/>
        <v>0.27060000000000001</v>
      </c>
      <c r="F10" s="2">
        <v>1</v>
      </c>
      <c r="G10" s="2">
        <v>0</v>
      </c>
      <c r="H10" s="2">
        <f t="shared" si="1"/>
        <v>0.27060000000000001</v>
      </c>
      <c r="I10" s="2">
        <f t="shared" si="2"/>
        <v>0</v>
      </c>
      <c r="J10" s="26">
        <f>H10/'D1'!$H$17</f>
        <v>4.4664816548509309E-4</v>
      </c>
      <c r="K10" s="2">
        <f>I10/'D1'!$I$17</f>
        <v>0</v>
      </c>
      <c r="R10" s="45" t="s">
        <v>45</v>
      </c>
      <c r="S10" s="46">
        <v>180.3</v>
      </c>
      <c r="T10" s="46" t="s">
        <v>29</v>
      </c>
    </row>
    <row r="11" spans="1:20" x14ac:dyDescent="0.3">
      <c r="A11">
        <v>6</v>
      </c>
      <c r="B11" s="2" t="s">
        <v>17</v>
      </c>
      <c r="C11" s="43">
        <v>4.7939999999999996</v>
      </c>
      <c r="D11" s="44">
        <v>3.3999999999999998E-3</v>
      </c>
      <c r="E11" s="2">
        <f t="shared" si="0"/>
        <v>2.3001</v>
      </c>
      <c r="F11" s="2">
        <v>1</v>
      </c>
      <c r="G11" s="2">
        <v>0</v>
      </c>
      <c r="H11" s="2">
        <f t="shared" si="1"/>
        <v>2.3001</v>
      </c>
      <c r="I11" s="2">
        <f t="shared" si="2"/>
        <v>0</v>
      </c>
      <c r="J11" s="26">
        <f>H11/'D1'!$H$17</f>
        <v>3.796509406623291E-3</v>
      </c>
      <c r="K11" s="2">
        <f>I11/'D1'!$I$17</f>
        <v>0</v>
      </c>
      <c r="R11" s="45" t="s">
        <v>46</v>
      </c>
      <c r="S11" s="46">
        <v>213</v>
      </c>
      <c r="T11" s="46" t="s">
        <v>29</v>
      </c>
    </row>
    <row r="12" spans="1:20" x14ac:dyDescent="0.3">
      <c r="A12">
        <v>7</v>
      </c>
      <c r="B12" s="28" t="s">
        <v>18</v>
      </c>
      <c r="C12" s="43">
        <v>0.99060000000000004</v>
      </c>
      <c r="D12" s="44">
        <v>0.99429999999999996</v>
      </c>
      <c r="E12" s="27">
        <f t="shared" si="0"/>
        <v>672.64395000000002</v>
      </c>
      <c r="F12" s="2">
        <v>0.99</v>
      </c>
      <c r="G12" s="2">
        <v>0.1</v>
      </c>
      <c r="H12" s="2">
        <f t="shared" si="1"/>
        <v>665.91751050000005</v>
      </c>
      <c r="I12" s="2">
        <f t="shared" si="2"/>
        <v>67.264395000000007</v>
      </c>
      <c r="J12" s="29">
        <f>H12/'D1'!$H$17</f>
        <v>1.0991531205810245</v>
      </c>
      <c r="K12" s="29">
        <f>I12/'D1'!$I$17</f>
        <v>6.6391085990964008E-2</v>
      </c>
      <c r="R12" s="45" t="s">
        <v>49</v>
      </c>
      <c r="S12" s="46">
        <v>1.111</v>
      </c>
      <c r="T12" s="46"/>
    </row>
    <row r="13" spans="1:20" x14ac:dyDescent="0.3">
      <c r="A13">
        <v>8</v>
      </c>
      <c r="B13" s="31" t="s">
        <v>19</v>
      </c>
      <c r="C13" s="43">
        <v>0.58289999999999997</v>
      </c>
      <c r="D13" s="44">
        <v>1.4E-3</v>
      </c>
      <c r="E13" s="2">
        <f t="shared" si="0"/>
        <v>0.94709999999999994</v>
      </c>
      <c r="F13" s="2">
        <v>0.1</v>
      </c>
      <c r="G13" s="2">
        <v>0.9</v>
      </c>
      <c r="H13" s="2">
        <f t="shared" si="1"/>
        <v>9.4710000000000003E-2</v>
      </c>
      <c r="I13" s="2">
        <f t="shared" si="2"/>
        <v>0.85238999999999998</v>
      </c>
      <c r="J13" s="32">
        <f>H13/'D1'!$H$17</f>
        <v>1.5632685791978259E-4</v>
      </c>
      <c r="K13" s="32">
        <f>I13/'D1'!$I$17</f>
        <v>8.4132322587362595E-4</v>
      </c>
      <c r="R13" s="45" t="s">
        <v>51</v>
      </c>
      <c r="S13" s="185">
        <v>1.764</v>
      </c>
      <c r="T13" s="185"/>
    </row>
    <row r="14" spans="1:20" x14ac:dyDescent="0.3">
      <c r="A14">
        <v>9</v>
      </c>
      <c r="B14" s="2" t="s">
        <v>14</v>
      </c>
      <c r="C14" s="44">
        <v>0</v>
      </c>
      <c r="D14" s="44">
        <v>0</v>
      </c>
      <c r="E14" s="2">
        <f t="shared" si="0"/>
        <v>0</v>
      </c>
      <c r="F14" s="2">
        <v>0</v>
      </c>
      <c r="G14" s="2">
        <v>0</v>
      </c>
      <c r="H14" s="2">
        <f t="shared" si="1"/>
        <v>0</v>
      </c>
      <c r="I14" s="2">
        <f t="shared" si="2"/>
        <v>0</v>
      </c>
      <c r="J14" s="2">
        <f>H14/'D1'!$H$17</f>
        <v>0</v>
      </c>
      <c r="K14" s="2">
        <f>I14/'D1'!$I$17</f>
        <v>0</v>
      </c>
    </row>
    <row r="15" spans="1:20" x14ac:dyDescent="0.3">
      <c r="A15">
        <v>10</v>
      </c>
      <c r="B15" s="2" t="s">
        <v>15</v>
      </c>
      <c r="C15" s="43">
        <v>4.8689999999999998</v>
      </c>
      <c r="D15" s="44">
        <v>0</v>
      </c>
      <c r="E15" s="2">
        <f t="shared" si="0"/>
        <v>0</v>
      </c>
      <c r="F15" s="2">
        <v>1</v>
      </c>
      <c r="G15" s="2">
        <v>0</v>
      </c>
      <c r="H15" s="2">
        <f t="shared" si="1"/>
        <v>0</v>
      </c>
      <c r="I15" s="2">
        <f t="shared" si="2"/>
        <v>0</v>
      </c>
      <c r="J15" s="2">
        <f>H15/'D1'!$H$17</f>
        <v>0</v>
      </c>
      <c r="K15" s="2">
        <f>I15/'D1'!$I$17</f>
        <v>0</v>
      </c>
    </row>
    <row r="16" spans="1:20" x14ac:dyDescent="0.3">
      <c r="A16">
        <v>11</v>
      </c>
      <c r="B16" s="33" t="s">
        <v>16</v>
      </c>
      <c r="C16" s="43">
        <v>2.4430000000000001</v>
      </c>
      <c r="D16" s="44">
        <v>5.9999999999999995E-4</v>
      </c>
      <c r="E16" s="2">
        <f t="shared" si="0"/>
        <v>0.40589999999999998</v>
      </c>
      <c r="F16" s="2">
        <v>1</v>
      </c>
      <c r="G16" s="2">
        <v>0</v>
      </c>
      <c r="H16" s="2">
        <f t="shared" si="1"/>
        <v>0.40589999999999998</v>
      </c>
      <c r="I16" s="2">
        <f t="shared" si="2"/>
        <v>0</v>
      </c>
      <c r="J16" s="34">
        <f>H16/'D1'!$H$17</f>
        <v>6.6997224822763952E-4</v>
      </c>
      <c r="K16" s="33">
        <f>I16/'D1'!$I$17</f>
        <v>0</v>
      </c>
    </row>
    <row r="17" spans="2:9" x14ac:dyDescent="0.3">
      <c r="G17" s="2" t="s">
        <v>21</v>
      </c>
      <c r="H17" s="2">
        <f>SUM(H6:H16)</f>
        <v>668.98882049999997</v>
      </c>
      <c r="I17" s="2">
        <f>SUM(I6:I16)</f>
        <v>68.116785000000007</v>
      </c>
    </row>
    <row r="19" spans="2:9" ht="16.2" thickBot="1" x14ac:dyDescent="0.35"/>
    <row r="20" spans="2:9" ht="16.2" thickBot="1" x14ac:dyDescent="0.35">
      <c r="B20" s="35">
        <v>2</v>
      </c>
    </row>
    <row r="22" spans="2:9" x14ac:dyDescent="0.3">
      <c r="B22" s="36" t="s">
        <v>47</v>
      </c>
      <c r="C22" s="37">
        <v>160</v>
      </c>
      <c r="D22" s="39" t="s">
        <v>48</v>
      </c>
      <c r="E22" s="171" t="s">
        <v>108</v>
      </c>
    </row>
    <row r="23" spans="2:9" x14ac:dyDescent="0.3">
      <c r="B23" s="36" t="s">
        <v>50</v>
      </c>
      <c r="C23" s="38">
        <f>C22-6</f>
        <v>154</v>
      </c>
      <c r="D23" s="40" t="s">
        <v>48</v>
      </c>
      <c r="E23" s="172"/>
    </row>
    <row r="24" spans="2:9" x14ac:dyDescent="0.3">
      <c r="C24" s="123"/>
    </row>
    <row r="25" spans="2:9" ht="46.8" x14ac:dyDescent="0.3">
      <c r="B25" s="1"/>
      <c r="C25" s="42" t="s">
        <v>1</v>
      </c>
      <c r="D25" s="42" t="s">
        <v>158</v>
      </c>
      <c r="E25" s="42" t="s">
        <v>159</v>
      </c>
      <c r="F25" s="3" t="s">
        <v>52</v>
      </c>
    </row>
    <row r="26" spans="2:9" x14ac:dyDescent="0.3">
      <c r="B26" s="2" t="s">
        <v>9</v>
      </c>
      <c r="C26" s="43">
        <v>18.8</v>
      </c>
      <c r="D26" s="101">
        <v>26.96</v>
      </c>
      <c r="E26" s="101">
        <v>1</v>
      </c>
      <c r="F26" s="61">
        <f xml:space="preserve"> ( (D26/$D$33)*(E26/$E$33))^0.5</f>
        <v>9.0160615078745145</v>
      </c>
    </row>
    <row r="27" spans="2:9" x14ac:dyDescent="0.3">
      <c r="B27" s="2" t="s">
        <v>11</v>
      </c>
      <c r="C27" s="43">
        <v>16.84</v>
      </c>
      <c r="D27" s="101">
        <v>18.52</v>
      </c>
      <c r="E27" s="101">
        <v>10.06</v>
      </c>
      <c r="F27" s="61">
        <f t="shared" ref="F27:F36" si="3" xml:space="preserve"> ( (D27/$D$33)*(E27/$E$33))^0.5</f>
        <v>23.701531177911605</v>
      </c>
    </row>
    <row r="28" spans="2:9" x14ac:dyDescent="0.3">
      <c r="B28" s="2" t="s">
        <v>10</v>
      </c>
      <c r="C28" s="43">
        <v>14.87</v>
      </c>
      <c r="D28" s="101">
        <v>16.86</v>
      </c>
      <c r="E28" s="101">
        <v>1</v>
      </c>
      <c r="F28" s="61">
        <f t="shared" si="3"/>
        <v>7.1299372393990748</v>
      </c>
    </row>
    <row r="29" spans="2:9" x14ac:dyDescent="0.3">
      <c r="B29" s="2" t="s">
        <v>12</v>
      </c>
      <c r="C29" s="43">
        <v>6.2859999999999996</v>
      </c>
      <c r="D29" s="101">
        <v>6.4429999999999996</v>
      </c>
      <c r="E29" s="101">
        <v>7.4770000000000003</v>
      </c>
      <c r="F29" s="59">
        <f t="shared" si="3"/>
        <v>12.052154153193115</v>
      </c>
    </row>
    <row r="30" spans="2:9" x14ac:dyDescent="0.3">
      <c r="B30" s="2" t="s">
        <v>13</v>
      </c>
      <c r="C30" s="43">
        <v>4.8689999999999998</v>
      </c>
      <c r="D30" s="101">
        <v>5.07</v>
      </c>
      <c r="E30" s="101">
        <v>1</v>
      </c>
      <c r="F30" s="59">
        <f t="shared" si="3"/>
        <v>3.9098572507602127</v>
      </c>
    </row>
    <row r="31" spans="2:9" x14ac:dyDescent="0.3">
      <c r="B31" s="2" t="s">
        <v>17</v>
      </c>
      <c r="C31" s="43">
        <v>4.7939999999999996</v>
      </c>
      <c r="D31" s="101">
        <v>6.7759999999999998</v>
      </c>
      <c r="E31" s="101">
        <v>1</v>
      </c>
      <c r="F31" s="59">
        <f t="shared" si="3"/>
        <v>4.5200539718479034</v>
      </c>
    </row>
    <row r="32" spans="2:9" x14ac:dyDescent="0.3">
      <c r="B32" s="28" t="s">
        <v>18</v>
      </c>
      <c r="C32" s="43">
        <v>0.99060000000000004</v>
      </c>
      <c r="D32" s="101">
        <v>0.81789999999999996</v>
      </c>
      <c r="E32" s="101">
        <v>1.232</v>
      </c>
      <c r="F32" s="59">
        <f t="shared" si="3"/>
        <v>1.743060173180025</v>
      </c>
    </row>
    <row r="33" spans="2:13" x14ac:dyDescent="0.3">
      <c r="B33" s="31" t="s">
        <v>19</v>
      </c>
      <c r="C33" s="43">
        <v>0.58289999999999997</v>
      </c>
      <c r="D33" s="101">
        <v>0.45369999999999999</v>
      </c>
      <c r="E33" s="101">
        <v>0.73099999999999998</v>
      </c>
      <c r="F33" s="59">
        <f t="shared" si="3"/>
        <v>1</v>
      </c>
    </row>
    <row r="34" spans="2:13" x14ac:dyDescent="0.3">
      <c r="B34" s="2" t="s">
        <v>14</v>
      </c>
      <c r="C34" s="44">
        <v>0</v>
      </c>
      <c r="D34" s="101">
        <v>0</v>
      </c>
      <c r="E34" s="101">
        <v>0</v>
      </c>
      <c r="F34" s="61">
        <f t="shared" si="3"/>
        <v>0</v>
      </c>
    </row>
    <row r="35" spans="2:13" x14ac:dyDescent="0.3">
      <c r="B35" s="2" t="s">
        <v>15</v>
      </c>
      <c r="C35" s="43">
        <v>22.54</v>
      </c>
      <c r="D35" s="142">
        <v>22.54</v>
      </c>
      <c r="E35" s="101">
        <v>1</v>
      </c>
      <c r="F35" s="61">
        <f t="shared" si="3"/>
        <v>8.2439220702476366</v>
      </c>
    </row>
    <row r="36" spans="2:13" x14ac:dyDescent="0.3">
      <c r="B36" s="2" t="s">
        <v>16</v>
      </c>
      <c r="C36" s="43">
        <v>2.4430000000000001</v>
      </c>
      <c r="D36" s="101">
        <v>2</v>
      </c>
      <c r="E36" s="101">
        <v>2.9350000000000001</v>
      </c>
      <c r="F36" s="59">
        <f t="shared" si="3"/>
        <v>4.2070335218625514</v>
      </c>
    </row>
    <row r="37" spans="2:13" ht="16.2" thickBot="1" x14ac:dyDescent="0.35"/>
    <row r="38" spans="2:13" ht="63" thickBot="1" x14ac:dyDescent="0.35">
      <c r="B38" s="89">
        <v>3</v>
      </c>
      <c r="C38" s="62" t="s">
        <v>109</v>
      </c>
      <c r="D38" s="126">
        <f>LOG( (C40/C41) * (C42/C43) ) / LOG(E42)</f>
        <v>8.0803053074340028</v>
      </c>
    </row>
    <row r="40" spans="2:13" x14ac:dyDescent="0.3">
      <c r="B40" s="1" t="s">
        <v>53</v>
      </c>
      <c r="C40" s="1">
        <f>H53</f>
        <v>665.91751050000005</v>
      </c>
      <c r="D40" s="1" t="s">
        <v>110</v>
      </c>
      <c r="E40" s="1">
        <f>D32/D33</f>
        <v>1.8027330835353756</v>
      </c>
    </row>
    <row r="41" spans="2:13" x14ac:dyDescent="0.3">
      <c r="B41" s="1" t="s">
        <v>54</v>
      </c>
      <c r="C41" s="1">
        <f>G53</f>
        <v>67.264395000000007</v>
      </c>
      <c r="D41" s="1" t="s">
        <v>55</v>
      </c>
      <c r="E41" s="1">
        <f>E32/E33</f>
        <v>1.6853625170998632</v>
      </c>
    </row>
    <row r="42" spans="2:13" x14ac:dyDescent="0.3">
      <c r="B42" s="1" t="s">
        <v>56</v>
      </c>
      <c r="C42" s="1">
        <f>G54</f>
        <v>0.85238999999999998</v>
      </c>
      <c r="D42" s="1" t="s">
        <v>57</v>
      </c>
      <c r="E42" s="1">
        <f>SQRT(E40*E41)</f>
        <v>1.743060173180025</v>
      </c>
    </row>
    <row r="43" spans="2:13" x14ac:dyDescent="0.3">
      <c r="B43" s="1" t="s">
        <v>58</v>
      </c>
      <c r="C43" s="1">
        <f>H54</f>
        <v>9.4710000000000003E-2</v>
      </c>
    </row>
    <row r="44" spans="2:13" ht="16.2" thickBot="1" x14ac:dyDescent="0.35"/>
    <row r="45" spans="2:13" ht="16.2" thickBot="1" x14ac:dyDescent="0.35">
      <c r="B45" s="90">
        <v>4</v>
      </c>
      <c r="C45" s="63" t="s">
        <v>59</v>
      </c>
      <c r="D45" s="64"/>
      <c r="E45" s="64"/>
      <c r="F45" s="65"/>
      <c r="G45" s="66"/>
      <c r="H45" s="66"/>
      <c r="I45" s="66"/>
      <c r="J45" s="66"/>
      <c r="K45" s="66" t="s">
        <v>60</v>
      </c>
      <c r="L45" s="66"/>
      <c r="M45" s="66"/>
    </row>
    <row r="46" spans="2:13" ht="78.599999999999994" customHeight="1" x14ac:dyDescent="0.3">
      <c r="B46" s="88" t="s">
        <v>61</v>
      </c>
      <c r="C46" s="78" t="s">
        <v>36</v>
      </c>
      <c r="D46" s="67" t="s">
        <v>37</v>
      </c>
      <c r="E46" s="67" t="s">
        <v>38</v>
      </c>
      <c r="F46" s="68" t="s">
        <v>112</v>
      </c>
      <c r="G46" s="69" t="s">
        <v>40</v>
      </c>
      <c r="H46" s="69" t="s">
        <v>39</v>
      </c>
      <c r="I46" s="70" t="s">
        <v>62</v>
      </c>
      <c r="J46" s="71" t="s">
        <v>63</v>
      </c>
      <c r="K46" s="85" t="s">
        <v>64</v>
      </c>
      <c r="L46" s="72" t="s">
        <v>65</v>
      </c>
      <c r="M46" s="85" t="s">
        <v>66</v>
      </c>
    </row>
    <row r="47" spans="2:13" x14ac:dyDescent="0.3">
      <c r="B47" s="72" t="s">
        <v>9</v>
      </c>
      <c r="C47" s="79">
        <f>E6</f>
        <v>0</v>
      </c>
      <c r="D47" s="72">
        <f>F6</f>
        <v>1</v>
      </c>
      <c r="E47" s="72">
        <v>0</v>
      </c>
      <c r="F47" s="93">
        <f>K47^($D$38) * ($J$13/$K$13)</f>
        <v>9680517.4043821394</v>
      </c>
      <c r="G47" s="73">
        <v>0</v>
      </c>
      <c r="H47" s="73">
        <v>0</v>
      </c>
      <c r="I47" s="73">
        <f>L47/$L$58</f>
        <v>0</v>
      </c>
      <c r="J47" s="73">
        <f>M47/$M$58</f>
        <v>0</v>
      </c>
      <c r="K47" s="72">
        <f>SQRT( (D26/$D$33)*(E26/$E$33) )</f>
        <v>9.0160615078745145</v>
      </c>
      <c r="L47" s="75">
        <f>C47-M47</f>
        <v>0</v>
      </c>
      <c r="M47" s="72">
        <f>C47/(F47+1)</f>
        <v>0</v>
      </c>
    </row>
    <row r="48" spans="2:13" x14ac:dyDescent="0.3">
      <c r="B48" s="72" t="s">
        <v>11</v>
      </c>
      <c r="C48" s="79">
        <f t="shared" ref="C48:C57" si="4">E7</f>
        <v>0</v>
      </c>
      <c r="D48" s="72">
        <f t="shared" ref="D48:D57" si="5">F7</f>
        <v>1</v>
      </c>
      <c r="E48" s="72">
        <v>0</v>
      </c>
      <c r="F48" s="93">
        <f t="shared" ref="F48:F57" si="6">K48^($D$38) * ($J$13/$K$13)</f>
        <v>23860733472.236008</v>
      </c>
      <c r="G48" s="73">
        <v>0</v>
      </c>
      <c r="H48" s="73">
        <v>0</v>
      </c>
      <c r="I48" s="73">
        <f t="shared" ref="I48:I57" si="7">L48/$L$58</f>
        <v>0</v>
      </c>
      <c r="J48" s="73">
        <f t="shared" ref="J48:J57" si="8">M48/$M$58</f>
        <v>0</v>
      </c>
      <c r="K48" s="72">
        <f t="shared" ref="K48:K57" si="9">SQRT( (D27/$D$33)*(E27/$E$33) )</f>
        <v>23.701531177911605</v>
      </c>
      <c r="L48" s="75">
        <f t="shared" ref="L48:L57" si="10">C48-M48</f>
        <v>0</v>
      </c>
      <c r="M48" s="72">
        <f t="shared" ref="M48:M57" si="11">C48/(F48+1)</f>
        <v>0</v>
      </c>
    </row>
    <row r="49" spans="2:13" x14ac:dyDescent="0.3">
      <c r="B49" s="72" t="s">
        <v>10</v>
      </c>
      <c r="C49" s="79">
        <f t="shared" si="4"/>
        <v>0</v>
      </c>
      <c r="D49" s="72">
        <f t="shared" si="5"/>
        <v>1</v>
      </c>
      <c r="E49" s="72">
        <v>0</v>
      </c>
      <c r="F49" s="93">
        <f t="shared" si="6"/>
        <v>1452993.5511429175</v>
      </c>
      <c r="G49" s="74">
        <v>0</v>
      </c>
      <c r="H49" s="74">
        <v>0</v>
      </c>
      <c r="I49" s="73">
        <f t="shared" si="7"/>
        <v>0</v>
      </c>
      <c r="J49" s="73">
        <f t="shared" si="8"/>
        <v>0</v>
      </c>
      <c r="K49" s="72">
        <f t="shared" si="9"/>
        <v>7.1299372393990748</v>
      </c>
      <c r="L49" s="75">
        <f t="shared" si="10"/>
        <v>0</v>
      </c>
      <c r="M49" s="72">
        <f t="shared" si="11"/>
        <v>0</v>
      </c>
    </row>
    <row r="50" spans="2:13" x14ac:dyDescent="0.3">
      <c r="B50" s="72" t="s">
        <v>12</v>
      </c>
      <c r="C50" s="79">
        <f t="shared" si="4"/>
        <v>0</v>
      </c>
      <c r="D50" s="72">
        <f t="shared" si="5"/>
        <v>1</v>
      </c>
      <c r="E50" s="72">
        <v>0</v>
      </c>
      <c r="F50" s="93">
        <f t="shared" si="6"/>
        <v>101019072.07528462</v>
      </c>
      <c r="G50" s="72">
        <v>0</v>
      </c>
      <c r="H50" s="72">
        <v>0</v>
      </c>
      <c r="I50" s="73">
        <f t="shared" si="7"/>
        <v>0</v>
      </c>
      <c r="J50" s="73">
        <f t="shared" si="8"/>
        <v>0</v>
      </c>
      <c r="K50" s="72">
        <f t="shared" si="9"/>
        <v>12.052154153193115</v>
      </c>
      <c r="L50" s="75">
        <f t="shared" si="10"/>
        <v>0</v>
      </c>
      <c r="M50" s="72">
        <f t="shared" si="11"/>
        <v>0</v>
      </c>
    </row>
    <row r="51" spans="2:13" x14ac:dyDescent="0.3">
      <c r="B51" s="72" t="s">
        <v>13</v>
      </c>
      <c r="C51" s="79">
        <f t="shared" si="4"/>
        <v>0.27060000000000001</v>
      </c>
      <c r="D51" s="72">
        <f t="shared" si="5"/>
        <v>1</v>
      </c>
      <c r="E51" s="72">
        <v>0</v>
      </c>
      <c r="F51" s="93">
        <f t="shared" si="6"/>
        <v>11321.69878417616</v>
      </c>
      <c r="G51" s="72">
        <v>0</v>
      </c>
      <c r="H51" s="72">
        <v>0.27060000000000001</v>
      </c>
      <c r="I51" s="73">
        <f t="shared" si="7"/>
        <v>4.2446367733610385E-4</v>
      </c>
      <c r="J51" s="73">
        <f t="shared" si="8"/>
        <v>6.1101283548739168E-7</v>
      </c>
      <c r="K51" s="72">
        <f t="shared" si="9"/>
        <v>3.9098572507602127</v>
      </c>
      <c r="L51" s="75">
        <f t="shared" si="10"/>
        <v>0.27057610110406027</v>
      </c>
      <c r="M51" s="72">
        <f t="shared" si="11"/>
        <v>2.3898895939735877E-5</v>
      </c>
    </row>
    <row r="52" spans="2:13" x14ac:dyDescent="0.3">
      <c r="B52" s="72" t="s">
        <v>17</v>
      </c>
      <c r="C52" s="79">
        <f t="shared" si="4"/>
        <v>2.3001</v>
      </c>
      <c r="D52" s="72">
        <f t="shared" si="5"/>
        <v>1</v>
      </c>
      <c r="E52" s="72">
        <v>0</v>
      </c>
      <c r="F52" s="93">
        <f t="shared" si="6"/>
        <v>36545.27167854154</v>
      </c>
      <c r="G52" s="72">
        <v>0</v>
      </c>
      <c r="H52" s="72">
        <v>2.3001</v>
      </c>
      <c r="I52" s="73">
        <f t="shared" si="7"/>
        <v>3.6081612009863213E-3</v>
      </c>
      <c r="J52" s="73">
        <f t="shared" si="8"/>
        <v>1.6090744352230535E-6</v>
      </c>
      <c r="K52" s="72">
        <f t="shared" si="9"/>
        <v>4.5200539718479034</v>
      </c>
      <c r="L52" s="75">
        <f t="shared" si="10"/>
        <v>2.300037063347522</v>
      </c>
      <c r="M52" s="72">
        <f t="shared" si="11"/>
        <v>6.2936652478028931E-5</v>
      </c>
    </row>
    <row r="53" spans="2:13" x14ac:dyDescent="0.3">
      <c r="B53" s="84" t="s">
        <v>18</v>
      </c>
      <c r="C53" s="79">
        <f t="shared" si="4"/>
        <v>672.64395000000002</v>
      </c>
      <c r="D53" s="83">
        <f t="shared" si="5"/>
        <v>0.99</v>
      </c>
      <c r="E53" s="83">
        <v>0.1</v>
      </c>
      <c r="F53" s="94">
        <f t="shared" si="6"/>
        <v>16.555733411720702</v>
      </c>
      <c r="G53" s="84">
        <v>67.264395000000007</v>
      </c>
      <c r="H53" s="84">
        <v>665.91751050000005</v>
      </c>
      <c r="I53" s="95">
        <f t="shared" si="7"/>
        <v>0.99509784413004054</v>
      </c>
      <c r="J53" s="95">
        <f t="shared" si="8"/>
        <v>0.97957740310730868</v>
      </c>
      <c r="K53" s="83">
        <f t="shared" si="9"/>
        <v>1.743060173180025</v>
      </c>
      <c r="L53" s="87">
        <f t="shared" si="10"/>
        <v>634.32917645992541</v>
      </c>
      <c r="M53" s="83">
        <f t="shared" si="11"/>
        <v>38.314773540074604</v>
      </c>
    </row>
    <row r="54" spans="2:13" x14ac:dyDescent="0.3">
      <c r="B54" s="82" t="s">
        <v>19</v>
      </c>
      <c r="C54" s="79">
        <f t="shared" si="4"/>
        <v>0.94709999999999994</v>
      </c>
      <c r="D54" s="81">
        <f t="shared" si="5"/>
        <v>0.1</v>
      </c>
      <c r="E54" s="81">
        <v>0.9</v>
      </c>
      <c r="F54" s="96">
        <f t="shared" si="6"/>
        <v>0.18581070046824577</v>
      </c>
      <c r="G54" s="82">
        <v>0.85238999999999998</v>
      </c>
      <c r="H54" s="82">
        <v>9.4710000000000003E-2</v>
      </c>
      <c r="I54" s="97">
        <f t="shared" si="7"/>
        <v>2.3281035331501184E-4</v>
      </c>
      <c r="J54" s="97">
        <f t="shared" si="8"/>
        <v>2.0419869717527763E-2</v>
      </c>
      <c r="K54" s="81">
        <f t="shared" si="9"/>
        <v>1</v>
      </c>
      <c r="L54" s="86">
        <f t="shared" si="10"/>
        <v>0.14840590858556513</v>
      </c>
      <c r="M54" s="81">
        <f t="shared" si="11"/>
        <v>0.79869409141443481</v>
      </c>
    </row>
    <row r="55" spans="2:13" x14ac:dyDescent="0.3">
      <c r="B55" s="72" t="s">
        <v>14</v>
      </c>
      <c r="C55" s="79">
        <f t="shared" si="4"/>
        <v>0</v>
      </c>
      <c r="D55" s="72">
        <f t="shared" si="5"/>
        <v>0</v>
      </c>
      <c r="E55" s="72">
        <v>0</v>
      </c>
      <c r="F55" s="93">
        <f t="shared" si="6"/>
        <v>0</v>
      </c>
      <c r="G55" s="72">
        <v>0</v>
      </c>
      <c r="H55" s="72">
        <v>0</v>
      </c>
      <c r="I55" s="73">
        <f t="shared" si="7"/>
        <v>0</v>
      </c>
      <c r="J55" s="73">
        <f t="shared" si="8"/>
        <v>0</v>
      </c>
      <c r="K55" s="72">
        <f t="shared" si="9"/>
        <v>0</v>
      </c>
      <c r="L55" s="75">
        <f t="shared" si="10"/>
        <v>0</v>
      </c>
      <c r="M55" s="72">
        <f t="shared" si="11"/>
        <v>0</v>
      </c>
    </row>
    <row r="56" spans="2:13" x14ac:dyDescent="0.3">
      <c r="B56" s="72" t="s">
        <v>15</v>
      </c>
      <c r="C56" s="79">
        <f t="shared" si="4"/>
        <v>0</v>
      </c>
      <c r="D56" s="72">
        <f t="shared" si="5"/>
        <v>1</v>
      </c>
      <c r="E56" s="72">
        <v>0</v>
      </c>
      <c r="F56" s="93">
        <f t="shared" si="6"/>
        <v>4695827.7199488822</v>
      </c>
      <c r="G56" s="72">
        <v>0</v>
      </c>
      <c r="H56" s="72">
        <v>0</v>
      </c>
      <c r="I56" s="73">
        <f t="shared" si="7"/>
        <v>0</v>
      </c>
      <c r="J56" s="73">
        <f t="shared" si="8"/>
        <v>0</v>
      </c>
      <c r="K56" s="72">
        <f t="shared" si="9"/>
        <v>8.2439220702476366</v>
      </c>
      <c r="L56" s="75">
        <f t="shared" si="10"/>
        <v>0</v>
      </c>
      <c r="M56" s="72">
        <f t="shared" si="11"/>
        <v>0</v>
      </c>
    </row>
    <row r="57" spans="2:13" x14ac:dyDescent="0.3">
      <c r="B57" s="76" t="s">
        <v>16</v>
      </c>
      <c r="C57" s="79">
        <f t="shared" si="4"/>
        <v>0.40589999999999998</v>
      </c>
      <c r="D57" s="72">
        <f t="shared" si="5"/>
        <v>1</v>
      </c>
      <c r="E57" s="72">
        <v>0</v>
      </c>
      <c r="F57" s="93">
        <f t="shared" si="6"/>
        <v>20463.837709429699</v>
      </c>
      <c r="G57" s="72">
        <v>0</v>
      </c>
      <c r="H57" s="72">
        <v>0.40589999999999998</v>
      </c>
      <c r="I57" s="73">
        <f t="shared" si="7"/>
        <v>6.3672063832204639E-4</v>
      </c>
      <c r="J57" s="73">
        <f t="shared" si="8"/>
        <v>5.0708789297908729E-7</v>
      </c>
      <c r="K57" s="72">
        <f t="shared" si="9"/>
        <v>4.2070335218625514</v>
      </c>
      <c r="L57" s="75">
        <f t="shared" si="10"/>
        <v>0.4058801659800208</v>
      </c>
      <c r="M57" s="72">
        <f t="shared" si="11"/>
        <v>1.9834019979204191E-5</v>
      </c>
    </row>
    <row r="58" spans="2:13" x14ac:dyDescent="0.3">
      <c r="B58" s="77" t="s">
        <v>111</v>
      </c>
      <c r="C58" s="18">
        <f>SUM(C47:C57)</f>
        <v>676.56764999999996</v>
      </c>
      <c r="F58" s="21"/>
      <c r="G58" s="30">
        <f>SUM(G47:G57)</f>
        <v>68.116785000000007</v>
      </c>
      <c r="H58" s="30">
        <f>SUM(H47:H57)</f>
        <v>668.98882049999997</v>
      </c>
      <c r="I58" s="30">
        <f>SUM(I47:I57)</f>
        <v>1</v>
      </c>
      <c r="J58" s="30">
        <f>SUM(J47:J57)</f>
        <v>1</v>
      </c>
      <c r="K58" s="21"/>
      <c r="L58" s="13">
        <f>SUM(L47:L57)</f>
        <v>637.45407569894257</v>
      </c>
      <c r="M58" s="13">
        <f>SUM(M47:M57)</f>
        <v>39.113574301057433</v>
      </c>
    </row>
    <row r="60" spans="2:13" ht="16.2" thickBot="1" x14ac:dyDescent="0.35"/>
    <row r="61" spans="2:13" ht="16.2" thickBot="1" x14ac:dyDescent="0.35">
      <c r="B61" s="122">
        <v>5</v>
      </c>
      <c r="C61" s="173" t="s">
        <v>67</v>
      </c>
      <c r="D61" s="174"/>
      <c r="E61" s="175"/>
    </row>
    <row r="62" spans="2:13" x14ac:dyDescent="0.3">
      <c r="B62" s="24" t="s">
        <v>68</v>
      </c>
      <c r="C62" s="104">
        <v>1771.4469999999999</v>
      </c>
      <c r="D62" s="24" t="s">
        <v>35</v>
      </c>
    </row>
    <row r="63" spans="2:13" x14ac:dyDescent="0.3">
      <c r="B63" s="1" t="s">
        <v>69</v>
      </c>
      <c r="C63" s="101">
        <v>676.5</v>
      </c>
      <c r="D63" s="1" t="s">
        <v>35</v>
      </c>
    </row>
    <row r="64" spans="2:13" x14ac:dyDescent="0.3">
      <c r="B64" s="1" t="s">
        <v>113</v>
      </c>
      <c r="C64" s="103">
        <f>C62/C63</f>
        <v>2.6185469327420545</v>
      </c>
    </row>
    <row r="65" spans="2:6" x14ac:dyDescent="0.3">
      <c r="B65" s="1" t="s">
        <v>114</v>
      </c>
      <c r="C65" s="13">
        <f>1-C64-E75</f>
        <v>-6.6032521672809708E-9</v>
      </c>
    </row>
    <row r="66" spans="2:6" x14ac:dyDescent="0.3">
      <c r="B66" s="1" t="s">
        <v>70</v>
      </c>
      <c r="C66" s="102">
        <v>1.0003537350984564</v>
      </c>
      <c r="D66" s="25" t="s">
        <v>121</v>
      </c>
    </row>
    <row r="68" spans="2:6" ht="40.950000000000003" customHeight="1" x14ac:dyDescent="0.3">
      <c r="B68" s="72" t="s">
        <v>61</v>
      </c>
      <c r="C68" s="2" t="s">
        <v>115</v>
      </c>
      <c r="D68" s="2" t="s">
        <v>71</v>
      </c>
      <c r="E68" s="3" t="s">
        <v>72</v>
      </c>
      <c r="F68" s="3" t="s">
        <v>73</v>
      </c>
    </row>
    <row r="69" spans="2:6" x14ac:dyDescent="0.3">
      <c r="B69" s="72" t="s">
        <v>12</v>
      </c>
      <c r="C69" s="30">
        <f>K50</f>
        <v>12.052154153193115</v>
      </c>
      <c r="D69" s="30">
        <f>D9</f>
        <v>0</v>
      </c>
      <c r="E69" s="30">
        <f>C69*D69/(C69-$C$66)</f>
        <v>0</v>
      </c>
      <c r="F69" s="30">
        <f>C69*I50/(C69-$C$66)</f>
        <v>0</v>
      </c>
    </row>
    <row r="70" spans="2:6" x14ac:dyDescent="0.3">
      <c r="B70" s="72" t="s">
        <v>13</v>
      </c>
      <c r="C70" s="30">
        <f>K51</f>
        <v>3.9098572507602127</v>
      </c>
      <c r="D70" s="30">
        <f>D10</f>
        <v>4.0000000000000002E-4</v>
      </c>
      <c r="E70" s="30">
        <f t="shared" ref="E70:E74" si="12">C70*D70/(C70-$C$66)</f>
        <v>5.3752913233664611E-4</v>
      </c>
      <c r="F70" s="30">
        <f>C70*I51/(C70-$C$66)</f>
        <v>5.7040398046724497E-4</v>
      </c>
    </row>
    <row r="71" spans="2:6" x14ac:dyDescent="0.3">
      <c r="B71" s="72" t="s">
        <v>17</v>
      </c>
      <c r="C71" s="30">
        <f>K52</f>
        <v>4.5200539718479034</v>
      </c>
      <c r="D71" s="30">
        <f>D11</f>
        <v>3.3999999999999998E-3</v>
      </c>
      <c r="E71" s="30">
        <f t="shared" si="12"/>
        <v>4.3663330597937134E-3</v>
      </c>
      <c r="F71" s="30">
        <f>C71*I52/(C71-$C$66)</f>
        <v>4.6336569226269305E-3</v>
      </c>
    </row>
    <row r="72" spans="2:6" x14ac:dyDescent="0.3">
      <c r="B72" s="84" t="s">
        <v>18</v>
      </c>
      <c r="C72" s="16">
        <f>K53</f>
        <v>1.743060173180025</v>
      </c>
      <c r="D72" s="16">
        <f>D12</f>
        <v>0.99429999999999996</v>
      </c>
      <c r="E72" s="16">
        <f t="shared" si="12"/>
        <v>2.3335259280498608</v>
      </c>
      <c r="F72" s="16">
        <f>C72*I53/(C72-$C$66)</f>
        <v>2.3353983910529705</v>
      </c>
    </row>
    <row r="73" spans="2:6" x14ac:dyDescent="0.3">
      <c r="B73" s="82" t="s">
        <v>19</v>
      </c>
      <c r="C73" s="100">
        <f>K54</f>
        <v>1</v>
      </c>
      <c r="D73" s="100">
        <f>D13</f>
        <v>1.4E-3</v>
      </c>
      <c r="E73" s="100">
        <f t="shared" si="12"/>
        <v>-3.9577638919895137</v>
      </c>
      <c r="F73" s="100">
        <f>C73*I54/(C73-$C$66)</f>
        <v>-0.65814886430819652</v>
      </c>
    </row>
    <row r="74" spans="2:6" x14ac:dyDescent="0.3">
      <c r="B74" s="72" t="s">
        <v>16</v>
      </c>
      <c r="C74" s="30">
        <f>K57</f>
        <v>4.2070335218625514</v>
      </c>
      <c r="D74" s="30">
        <f>D16</f>
        <v>5.9999999999999995E-4</v>
      </c>
      <c r="E74" s="30">
        <f t="shared" si="12"/>
        <v>7.8717560872043168E-4</v>
      </c>
      <c r="F74" s="30">
        <f>C74*I57/(C74-$C$66)</f>
        <v>8.3535159342669788E-4</v>
      </c>
    </row>
    <row r="75" spans="2:6" x14ac:dyDescent="0.3">
      <c r="D75" s="30" t="s">
        <v>21</v>
      </c>
      <c r="E75" s="98">
        <f>SUM(E69:E74)</f>
        <v>-1.6185469261388024</v>
      </c>
      <c r="F75" s="98">
        <f>SUM(F69:F74)</f>
        <v>1.6832889392412949</v>
      </c>
    </row>
    <row r="76" spans="2:6" ht="16.2" thickBot="1" x14ac:dyDescent="0.35"/>
    <row r="77" spans="2:6" ht="16.2" thickBot="1" x14ac:dyDescent="0.35">
      <c r="B77" s="118">
        <v>6</v>
      </c>
      <c r="C77" s="99" t="s">
        <v>74</v>
      </c>
      <c r="D77" s="23">
        <f>F75-1</f>
        <v>0.68328893924129486</v>
      </c>
    </row>
    <row r="78" spans="2:6" x14ac:dyDescent="0.3">
      <c r="B78" s="20" t="s">
        <v>75</v>
      </c>
      <c r="C78" s="102">
        <v>1.4</v>
      </c>
    </row>
    <row r="79" spans="2:6" x14ac:dyDescent="0.3">
      <c r="B79" s="22" t="s">
        <v>116</v>
      </c>
      <c r="C79" s="23">
        <f>C78*D77</f>
        <v>0.95660451493781273</v>
      </c>
    </row>
    <row r="81" spans="2:7" ht="16.2" thickBot="1" x14ac:dyDescent="0.35"/>
    <row r="82" spans="2:7" ht="16.2" thickBot="1" x14ac:dyDescent="0.35">
      <c r="B82" s="35">
        <v>7</v>
      </c>
      <c r="C82" s="159" t="s">
        <v>117</v>
      </c>
      <c r="D82" s="176"/>
      <c r="E82" s="176"/>
      <c r="F82" s="177"/>
    </row>
    <row r="83" spans="2:7" x14ac:dyDescent="0.3">
      <c r="B83" s="20" t="s">
        <v>118</v>
      </c>
      <c r="C83" s="30">
        <f>(C84-D38)/(C84+1)</f>
        <v>0.50383712436805861</v>
      </c>
      <c r="D83" s="30" t="s">
        <v>119</v>
      </c>
      <c r="E83" s="30">
        <f>0.75*( 1 - ( (C79-D77)/(C79+1) )^(0.566) )</f>
        <v>0.50383711309054247</v>
      </c>
      <c r="F83" s="30" t="s">
        <v>120</v>
      </c>
      <c r="G83" s="30">
        <f>C83-E83</f>
        <v>1.1277516143159971E-8</v>
      </c>
    </row>
    <row r="84" spans="2:7" x14ac:dyDescent="0.3">
      <c r="B84" s="22" t="s">
        <v>76</v>
      </c>
      <c r="C84" s="110">
        <v>17.30105748211977</v>
      </c>
      <c r="D84" s="189" t="s">
        <v>77</v>
      </c>
      <c r="E84" s="21"/>
      <c r="F84" s="21"/>
      <c r="G84" s="21"/>
    </row>
    <row r="86" spans="2:7" ht="16.2" thickBot="1" x14ac:dyDescent="0.35"/>
    <row r="87" spans="2:7" ht="16.2" thickBot="1" x14ac:dyDescent="0.35">
      <c r="B87" s="35">
        <v>8</v>
      </c>
      <c r="C87" s="159" t="s">
        <v>122</v>
      </c>
      <c r="D87" s="176"/>
    </row>
    <row r="88" spans="2:7" x14ac:dyDescent="0.3">
      <c r="B88" s="20" t="s">
        <v>78</v>
      </c>
      <c r="C88" s="13">
        <f>EXP(0.206*LN( (I17/H17)*(D13/D12)*(K12/J13)^2 ) )</f>
        <v>1.9543180105601872</v>
      </c>
    </row>
    <row r="89" spans="2:7" x14ac:dyDescent="0.3">
      <c r="B89" s="30" t="s">
        <v>79</v>
      </c>
      <c r="C89" s="13">
        <f>C84/(C88+1)</f>
        <v>5.8561933482709962</v>
      </c>
    </row>
    <row r="90" spans="2:7" ht="16.2" customHeight="1" x14ac:dyDescent="0.3">
      <c r="B90" s="30" t="s">
        <v>80</v>
      </c>
      <c r="C90" s="13">
        <f>C89*C88</f>
        <v>11.444864133848775</v>
      </c>
    </row>
    <row r="91" spans="2:7" x14ac:dyDescent="0.3">
      <c r="B91" s="22" t="s">
        <v>81</v>
      </c>
      <c r="C91" s="110">
        <f>ROUNDUP(C90,0)</f>
        <v>12</v>
      </c>
    </row>
    <row r="93" spans="2:7" ht="16.2" thickBot="1" x14ac:dyDescent="0.35"/>
    <row r="94" spans="2:7" ht="16.2" thickBot="1" x14ac:dyDescent="0.35">
      <c r="B94" s="35">
        <v>9</v>
      </c>
      <c r="C94" s="159" t="s">
        <v>82</v>
      </c>
      <c r="D94" s="176"/>
      <c r="E94" s="176"/>
      <c r="F94" s="176"/>
    </row>
    <row r="95" spans="2:7" x14ac:dyDescent="0.3">
      <c r="B95" s="138" t="s">
        <v>132</v>
      </c>
      <c r="C95" s="137">
        <v>1.4999999999999999E-2</v>
      </c>
      <c r="D95" t="s">
        <v>131</v>
      </c>
      <c r="E95" s="140" t="s">
        <v>161</v>
      </c>
    </row>
    <row r="96" spans="2:7" x14ac:dyDescent="0.3">
      <c r="B96" s="102" t="s">
        <v>133</v>
      </c>
      <c r="C96" s="137">
        <v>0.1</v>
      </c>
      <c r="D96" t="s">
        <v>157</v>
      </c>
      <c r="E96" s="140" t="s">
        <v>161</v>
      </c>
    </row>
    <row r="97" spans="2:5" x14ac:dyDescent="0.3">
      <c r="B97" s="102" t="s">
        <v>123</v>
      </c>
      <c r="C97" s="137">
        <v>0.2</v>
      </c>
      <c r="D97" t="s">
        <v>157</v>
      </c>
      <c r="E97" s="140" t="s">
        <v>161</v>
      </c>
    </row>
    <row r="98" spans="2:5" x14ac:dyDescent="0.3">
      <c r="B98" s="102" t="s">
        <v>134</v>
      </c>
      <c r="C98" s="137">
        <v>3</v>
      </c>
      <c r="E98" s="140" t="s">
        <v>161</v>
      </c>
    </row>
    <row r="99" spans="2:5" x14ac:dyDescent="0.3">
      <c r="B99" s="102" t="s">
        <v>135</v>
      </c>
      <c r="C99" s="102">
        <v>0.60960000000000003</v>
      </c>
      <c r="D99" t="s">
        <v>131</v>
      </c>
      <c r="E99" s="140" t="s">
        <v>161</v>
      </c>
    </row>
    <row r="100" spans="2:5" x14ac:dyDescent="0.3">
      <c r="B100" s="102" t="s">
        <v>136</v>
      </c>
      <c r="C100" s="137">
        <v>0.05</v>
      </c>
      <c r="D100" t="s">
        <v>131</v>
      </c>
      <c r="E100" s="140" t="s">
        <v>161</v>
      </c>
    </row>
    <row r="101" spans="2:5" x14ac:dyDescent="0.3">
      <c r="B101" s="101" t="s">
        <v>145</v>
      </c>
      <c r="C101" s="92">
        <f>AVERAGE(B144:B196)</f>
        <v>0.17889484760993865</v>
      </c>
      <c r="D101" t="s">
        <v>84</v>
      </c>
    </row>
    <row r="102" spans="2:5" x14ac:dyDescent="0.3">
      <c r="B102" s="139" t="s">
        <v>146</v>
      </c>
      <c r="C102" s="13">
        <f>F32/F33</f>
        <v>1.743060173180025</v>
      </c>
      <c r="E102" t="s">
        <v>164</v>
      </c>
    </row>
    <row r="103" spans="2:5" x14ac:dyDescent="0.3">
      <c r="B103" s="139" t="s">
        <v>147</v>
      </c>
      <c r="C103" s="14">
        <f>C101*C102</f>
        <v>0.31182448405599383</v>
      </c>
    </row>
    <row r="104" spans="2:5" x14ac:dyDescent="0.3">
      <c r="B104" s="98" t="s">
        <v>148</v>
      </c>
      <c r="C104" s="135">
        <v>0.8</v>
      </c>
      <c r="E104" t="s">
        <v>160</v>
      </c>
    </row>
    <row r="105" spans="2:5" x14ac:dyDescent="0.3">
      <c r="B105" s="98" t="s">
        <v>149</v>
      </c>
      <c r="C105" s="129">
        <f>ROUNDUP(C84/C104,0)</f>
        <v>22</v>
      </c>
    </row>
    <row r="106" spans="2:5" x14ac:dyDescent="0.3">
      <c r="B106" s="98" t="s">
        <v>155</v>
      </c>
      <c r="C106" s="129" t="s">
        <v>156</v>
      </c>
    </row>
    <row r="108" spans="2:5" ht="16.2" thickBot="1" x14ac:dyDescent="0.35"/>
    <row r="109" spans="2:5" ht="16.2" thickBot="1" x14ac:dyDescent="0.35">
      <c r="B109" s="35">
        <v>10</v>
      </c>
      <c r="C109" s="178" t="s">
        <v>85</v>
      </c>
      <c r="D109" s="159"/>
    </row>
    <row r="110" spans="2:5" x14ac:dyDescent="0.3">
      <c r="B110" s="180" t="s">
        <v>86</v>
      </c>
      <c r="C110" s="145">
        <f>AVERAGE(D144:D196)</f>
        <v>502106.04725056933</v>
      </c>
      <c r="D110" t="s">
        <v>87</v>
      </c>
    </row>
    <row r="111" spans="2:5" x14ac:dyDescent="0.3">
      <c r="B111" s="161"/>
      <c r="C111" s="127">
        <f>C110/35.5/3600</f>
        <v>3.9288423102548458</v>
      </c>
      <c r="D111" t="s">
        <v>127</v>
      </c>
    </row>
    <row r="112" spans="2:5" x14ac:dyDescent="0.3">
      <c r="B112" s="160" t="s">
        <v>88</v>
      </c>
      <c r="C112" s="146">
        <f>AVERAGE(C144:C196)</f>
        <v>470540.84919371095</v>
      </c>
      <c r="D112" t="s">
        <v>87</v>
      </c>
    </row>
    <row r="113" spans="2:6" x14ac:dyDescent="0.3">
      <c r="B113" s="161"/>
      <c r="C113" s="127">
        <f>C112/35.5/3600</f>
        <v>3.6818532800759853</v>
      </c>
      <c r="D113" t="s">
        <v>127</v>
      </c>
    </row>
    <row r="114" spans="2:6" x14ac:dyDescent="0.3">
      <c r="B114" s="160" t="s">
        <v>89</v>
      </c>
      <c r="C114" s="147">
        <f>AVERAGE(F144:F196)</f>
        <v>1.8632926436912154</v>
      </c>
      <c r="D114" t="s">
        <v>91</v>
      </c>
    </row>
    <row r="115" spans="2:6" x14ac:dyDescent="0.3">
      <c r="B115" s="161"/>
      <c r="C115" s="13">
        <f>C114/35.5</f>
        <v>5.2487116723696207E-2</v>
      </c>
      <c r="D115" t="s">
        <v>128</v>
      </c>
    </row>
    <row r="116" spans="2:6" x14ac:dyDescent="0.3">
      <c r="B116" s="160" t="s">
        <v>90</v>
      </c>
      <c r="C116" s="143">
        <f>AVERAGE(E144:E196)</f>
        <v>61.627793380514944</v>
      </c>
      <c r="D116" t="s">
        <v>91</v>
      </c>
    </row>
    <row r="117" spans="2:6" x14ac:dyDescent="0.3">
      <c r="B117" s="161"/>
      <c r="C117" s="13">
        <f>C116/35.5</f>
        <v>1.7359941797328153</v>
      </c>
      <c r="D117" t="s">
        <v>128</v>
      </c>
    </row>
    <row r="118" spans="2:6" x14ac:dyDescent="0.3">
      <c r="B118" s="187" t="s">
        <v>92</v>
      </c>
      <c r="C118" s="134">
        <v>0.32</v>
      </c>
      <c r="D118" t="s">
        <v>150</v>
      </c>
      <c r="E118" t="s">
        <v>151</v>
      </c>
    </row>
    <row r="119" spans="2:6" x14ac:dyDescent="0.3">
      <c r="B119" s="128" t="s">
        <v>93</v>
      </c>
      <c r="C119" s="144">
        <f>AVERAGE(G144:G196)</f>
        <v>11.635285630843853</v>
      </c>
      <c r="D119" t="s">
        <v>94</v>
      </c>
    </row>
    <row r="120" spans="2:6" x14ac:dyDescent="0.3">
      <c r="B120" s="33" t="s">
        <v>95</v>
      </c>
      <c r="C120" s="127">
        <f>(C119/20)^0.2</f>
        <v>0.89732426252448394</v>
      </c>
    </row>
    <row r="121" spans="2:6" x14ac:dyDescent="0.3">
      <c r="B121" s="130" t="s">
        <v>96</v>
      </c>
      <c r="C121" s="134">
        <v>1</v>
      </c>
      <c r="D121" t="s">
        <v>162</v>
      </c>
    </row>
    <row r="122" spans="2:6" x14ac:dyDescent="0.3">
      <c r="B122" s="130" t="s">
        <v>97</v>
      </c>
      <c r="C122" s="134">
        <v>1</v>
      </c>
      <c r="D122" t="s">
        <v>163</v>
      </c>
    </row>
    <row r="123" spans="2:6" x14ac:dyDescent="0.3">
      <c r="B123" s="129" t="s">
        <v>98</v>
      </c>
      <c r="C123" s="116">
        <f>C120*C121*C122*C118</f>
        <v>0.28714376400783487</v>
      </c>
    </row>
    <row r="124" spans="2:6" x14ac:dyDescent="0.3">
      <c r="B124" s="129" t="s">
        <v>125</v>
      </c>
      <c r="C124" s="13">
        <f>C123*SQRT( (C116-C114)/C114)</f>
        <v>1.6262245096129699</v>
      </c>
      <c r="D124" t="s">
        <v>150</v>
      </c>
    </row>
    <row r="125" spans="2:6" x14ac:dyDescent="0.3">
      <c r="B125" s="129" t="s">
        <v>99</v>
      </c>
      <c r="C125" s="13">
        <f>C112/C110*SQRT(C114/C116)</f>
        <v>0.1629499027995239</v>
      </c>
    </row>
    <row r="126" spans="2:6" x14ac:dyDescent="0.3">
      <c r="B126" s="102" t="s">
        <v>100</v>
      </c>
      <c r="C126" s="135">
        <v>0.8</v>
      </c>
      <c r="E126" s="140" t="s">
        <v>165</v>
      </c>
      <c r="F126" t="s">
        <v>166</v>
      </c>
    </row>
    <row r="127" spans="2:6" ht="16.2" thickBot="1" x14ac:dyDescent="0.35">
      <c r="B127" s="133" t="s">
        <v>152</v>
      </c>
      <c r="C127" s="201">
        <f>0.1+( (C125-0.1)/9 )</f>
        <v>0.10699443364439155</v>
      </c>
      <c r="D127" t="s">
        <v>151</v>
      </c>
    </row>
    <row r="128" spans="2:6" ht="16.2" thickBot="1" x14ac:dyDescent="0.35">
      <c r="B128" s="205" t="s">
        <v>101</v>
      </c>
      <c r="C128" s="204">
        <f>( 4*C111/ (C126*C124*PI()*(1-C127)*C115) )^(1/2)</f>
        <v>9.0572983261716171</v>
      </c>
      <c r="D128" t="s">
        <v>83</v>
      </c>
      <c r="F128" t="s">
        <v>168</v>
      </c>
    </row>
    <row r="129" spans="2:7" ht="16.2" thickBot="1" x14ac:dyDescent="0.35"/>
    <row r="130" spans="2:7" ht="16.2" thickBot="1" x14ac:dyDescent="0.35">
      <c r="B130" s="149">
        <v>11</v>
      </c>
      <c r="C130" s="179" t="s">
        <v>102</v>
      </c>
      <c r="D130" s="159"/>
    </row>
    <row r="131" spans="2:7" ht="16.2" thickBot="1" x14ac:dyDescent="0.35">
      <c r="B131" s="197" t="s">
        <v>103</v>
      </c>
      <c r="C131" s="198">
        <f>CONVERT(C132,"m","ft")</f>
        <v>42</v>
      </c>
      <c r="D131" t="s">
        <v>83</v>
      </c>
      <c r="F131" t="s">
        <v>167</v>
      </c>
    </row>
    <row r="132" spans="2:7" ht="16.2" thickBot="1" x14ac:dyDescent="0.35">
      <c r="B132" s="199"/>
      <c r="C132" s="200">
        <f>C99*(C105-1)</f>
        <v>12.801600000000001</v>
      </c>
      <c r="D132" t="s">
        <v>131</v>
      </c>
    </row>
    <row r="134" spans="2:7" x14ac:dyDescent="0.3">
      <c r="B134" s="129" t="s">
        <v>129</v>
      </c>
      <c r="C134" s="135">
        <v>4</v>
      </c>
      <c r="D134" t="s">
        <v>83</v>
      </c>
    </row>
    <row r="135" spans="2:7" x14ac:dyDescent="0.3">
      <c r="B135" s="129" t="s">
        <v>130</v>
      </c>
      <c r="C135" s="135">
        <v>10</v>
      </c>
      <c r="D135" t="s">
        <v>83</v>
      </c>
    </row>
    <row r="136" spans="2:7" x14ac:dyDescent="0.3">
      <c r="B136" s="22" t="s">
        <v>144</v>
      </c>
      <c r="C136" s="23">
        <f>SUM(C131,C134:C135)</f>
        <v>56</v>
      </c>
      <c r="D136" t="s">
        <v>83</v>
      </c>
    </row>
    <row r="139" spans="2:7" x14ac:dyDescent="0.3">
      <c r="B139" t="s">
        <v>153</v>
      </c>
    </row>
    <row r="142" spans="2:7" x14ac:dyDescent="0.3">
      <c r="B142" s="157" t="s">
        <v>143</v>
      </c>
      <c r="C142" s="158"/>
      <c r="D142" s="158"/>
      <c r="E142" s="158"/>
      <c r="F142" s="158"/>
      <c r="G142" s="159"/>
    </row>
    <row r="143" spans="2:7" x14ac:dyDescent="0.3">
      <c r="B143" s="203" t="s">
        <v>137</v>
      </c>
      <c r="C143" s="203" t="s">
        <v>138</v>
      </c>
      <c r="D143" s="203" t="s">
        <v>139</v>
      </c>
      <c r="E143" s="203" t="s">
        <v>140</v>
      </c>
      <c r="F143" s="203" t="s">
        <v>141</v>
      </c>
      <c r="G143" s="203" t="s">
        <v>142</v>
      </c>
    </row>
    <row r="144" spans="2:7" x14ac:dyDescent="0.3">
      <c r="B144" s="141">
        <v>0.22056471355239801</v>
      </c>
      <c r="C144" s="141">
        <v>240055.65873758</v>
      </c>
      <c r="D144" s="152">
        <v>1.27297072328586E-3</v>
      </c>
      <c r="E144" s="141">
        <v>63.346746318706799</v>
      </c>
      <c r="F144" s="141">
        <v>1.1418540621411699</v>
      </c>
      <c r="G144" s="141">
        <v>23.379594938407699</v>
      </c>
    </row>
    <row r="145" spans="2:7" x14ac:dyDescent="0.3">
      <c r="B145" s="141">
        <v>0.199964117079314</v>
      </c>
      <c r="C145" s="141">
        <v>285495.24807069497</v>
      </c>
      <c r="D145" s="141">
        <v>393740.459396091</v>
      </c>
      <c r="E145" s="141">
        <v>62.482956532922103</v>
      </c>
      <c r="F145" s="141">
        <v>1.43650939390858</v>
      </c>
      <c r="G145" s="141">
        <v>17.1353734031164</v>
      </c>
    </row>
    <row r="146" spans="2:7" x14ac:dyDescent="0.3">
      <c r="B146" s="141">
        <v>0.19141356226092501</v>
      </c>
      <c r="C146" s="141">
        <v>303696.07522422599</v>
      </c>
      <c r="D146" s="141">
        <v>439180.04872920702</v>
      </c>
      <c r="E146" s="141">
        <v>62.0348976389268</v>
      </c>
      <c r="F146" s="141">
        <v>1.5860161936732999</v>
      </c>
      <c r="G146" s="141">
        <v>14.801464508871099</v>
      </c>
    </row>
    <row r="147" spans="2:7" x14ac:dyDescent="0.3">
      <c r="B147" s="141">
        <v>0.18851921322195</v>
      </c>
      <c r="C147" s="141">
        <v>309960.39682462497</v>
      </c>
      <c r="D147" s="141">
        <v>457380.87588273699</v>
      </c>
      <c r="E147" s="141">
        <v>61.871007568420403</v>
      </c>
      <c r="F147" s="141">
        <v>1.6412601458229601</v>
      </c>
      <c r="G147" s="141">
        <v>14.031560060480899</v>
      </c>
    </row>
    <row r="148" spans="2:7" x14ac:dyDescent="0.3">
      <c r="B148" s="141">
        <v>0.18759038138421999</v>
      </c>
      <c r="C148" s="141">
        <v>311989.909933344</v>
      </c>
      <c r="D148" s="141">
        <v>463645.19748313702</v>
      </c>
      <c r="E148" s="141">
        <v>61.817417347946297</v>
      </c>
      <c r="F148" s="141">
        <v>1.6595413297325201</v>
      </c>
      <c r="G148" s="141">
        <v>13.786303036412599</v>
      </c>
    </row>
    <row r="149" spans="2:7" x14ac:dyDescent="0.3">
      <c r="B149" s="141">
        <v>0.18729689996905999</v>
      </c>
      <c r="C149" s="141">
        <v>312635.67085816798</v>
      </c>
      <c r="D149" s="141">
        <v>465674.71059185499</v>
      </c>
      <c r="E149" s="141">
        <v>61.800809530388001</v>
      </c>
      <c r="F149" s="141">
        <v>1.6653851491817</v>
      </c>
      <c r="G149" s="141">
        <v>13.7089565175212</v>
      </c>
    </row>
    <row r="150" spans="2:7" x14ac:dyDescent="0.3">
      <c r="B150" s="141">
        <v>0.187204627172087</v>
      </c>
      <c r="C150" s="141">
        <v>312842.07023610501</v>
      </c>
      <c r="D150" s="141">
        <v>466320.47151667898</v>
      </c>
      <c r="E150" s="141">
        <v>61.796138745896201</v>
      </c>
      <c r="F150" s="141">
        <v>1.66724078135986</v>
      </c>
      <c r="G150" s="141">
        <v>13.6846261264666</v>
      </c>
    </row>
    <row r="151" spans="2:7" x14ac:dyDescent="0.3">
      <c r="B151" s="141">
        <v>0.18717567669772101</v>
      </c>
      <c r="C151" s="141">
        <v>312910.80427375401</v>
      </c>
      <c r="D151" s="141">
        <v>466526.870894616</v>
      </c>
      <c r="E151" s="141">
        <v>61.795354984217802</v>
      </c>
      <c r="F151" s="141">
        <v>1.66783840523215</v>
      </c>
      <c r="G151" s="141">
        <v>13.6769632079922</v>
      </c>
    </row>
    <row r="152" spans="2:7" x14ac:dyDescent="0.3">
      <c r="B152" s="141">
        <v>0.187166657992064</v>
      </c>
      <c r="C152" s="141">
        <v>312937.23639488901</v>
      </c>
      <c r="D152" s="141">
        <v>466595.60493226501</v>
      </c>
      <c r="E152" s="141">
        <v>61.795934607103497</v>
      </c>
      <c r="F152" s="141">
        <v>1.6680432977561099</v>
      </c>
      <c r="G152" s="141">
        <v>13.674529385544201</v>
      </c>
    </row>
    <row r="153" spans="2:7" x14ac:dyDescent="0.3">
      <c r="B153" s="141">
        <v>0.187163876146236</v>
      </c>
      <c r="C153" s="141">
        <v>312951.506489472</v>
      </c>
      <c r="D153" s="141">
        <v>466622.03705340001</v>
      </c>
      <c r="E153" s="141">
        <v>61.797112313036401</v>
      </c>
      <c r="F153" s="141">
        <v>1.6681284488038399</v>
      </c>
      <c r="G153" s="141">
        <v>13.673730431446</v>
      </c>
    </row>
    <row r="154" spans="2:7" x14ac:dyDescent="0.3">
      <c r="B154" s="141">
        <v>0.18716308742313301</v>
      </c>
      <c r="C154" s="141">
        <v>312963.25882345298</v>
      </c>
      <c r="D154" s="141">
        <v>466636.307147983</v>
      </c>
      <c r="E154" s="141">
        <v>61.798682500596598</v>
      </c>
      <c r="F154" s="141">
        <v>1.6681803529199</v>
      </c>
      <c r="G154" s="141">
        <v>13.673436699946899</v>
      </c>
    </row>
    <row r="155" spans="2:7" x14ac:dyDescent="0.3">
      <c r="B155" s="141">
        <v>0.187162929471057</v>
      </c>
      <c r="C155" s="141">
        <v>483689.60363763198</v>
      </c>
      <c r="D155" s="141">
        <v>466648.05948196398</v>
      </c>
      <c r="E155" s="141">
        <v>61.800622500745902</v>
      </c>
      <c r="F155" s="141">
        <v>1.6682270396499801</v>
      </c>
      <c r="G155" s="141">
        <v>13.673292205903399</v>
      </c>
    </row>
    <row r="156" spans="2:7" x14ac:dyDescent="0.3">
      <c r="B156" s="141">
        <v>0.18028657536325299</v>
      </c>
      <c r="C156" s="141">
        <v>507188.96783218498</v>
      </c>
      <c r="D156" s="141">
        <v>483271.09622089099</v>
      </c>
      <c r="E156" s="141">
        <v>61.3764708839755</v>
      </c>
      <c r="F156" s="141">
        <v>1.81336574033014</v>
      </c>
      <c r="G156" s="141">
        <v>11.8862901866675</v>
      </c>
    </row>
    <row r="157" spans="2:7" x14ac:dyDescent="0.3">
      <c r="B157" s="141">
        <v>0.177309888896405</v>
      </c>
      <c r="C157" s="141">
        <v>517703.46293200098</v>
      </c>
      <c r="D157" s="141">
        <v>506770.46041544498</v>
      </c>
      <c r="E157" s="141">
        <v>61.179926327065601</v>
      </c>
      <c r="F157" s="141">
        <v>1.88149165944049</v>
      </c>
      <c r="G157" s="141">
        <v>11.124735863584901</v>
      </c>
    </row>
    <row r="158" spans="2:7" x14ac:dyDescent="0.3">
      <c r="B158" s="141">
        <v>0.17608481156799399</v>
      </c>
      <c r="C158" s="141">
        <v>522105.37885370501</v>
      </c>
      <c r="D158" s="141">
        <v>517284.95551526098</v>
      </c>
      <c r="E158" s="141">
        <v>61.096919547073803</v>
      </c>
      <c r="F158" s="141">
        <v>1.9105503578215</v>
      </c>
      <c r="G158" s="141">
        <v>10.813050958963199</v>
      </c>
    </row>
    <row r="159" spans="2:7" x14ac:dyDescent="0.3">
      <c r="B159" s="141">
        <v>0.17559244417004999</v>
      </c>
      <c r="C159" s="141">
        <v>523895.54295107903</v>
      </c>
      <c r="D159" s="141">
        <v>521686.87143696402</v>
      </c>
      <c r="E159" s="141">
        <v>61.064151640431298</v>
      </c>
      <c r="F159" s="141">
        <v>1.9224550124658</v>
      </c>
      <c r="G159" s="141">
        <v>10.6875078538841</v>
      </c>
    </row>
    <row r="160" spans="2:7" x14ac:dyDescent="0.3">
      <c r="B160" s="141">
        <v>0.175395286494853</v>
      </c>
      <c r="C160" s="141">
        <v>524614.89143658895</v>
      </c>
      <c r="D160" s="141">
        <v>523477.03553433798</v>
      </c>
      <c r="E160" s="141">
        <v>61.051026978738001</v>
      </c>
      <c r="F160" s="141">
        <v>1.92725252117979</v>
      </c>
      <c r="G160" s="141">
        <v>10.637259350736301</v>
      </c>
    </row>
    <row r="161" spans="2:7" x14ac:dyDescent="0.3">
      <c r="B161" s="141">
        <v>0.17531652096810799</v>
      </c>
      <c r="C161" s="141">
        <v>524902.56521579495</v>
      </c>
      <c r="D161" s="141">
        <v>524196.38401984901</v>
      </c>
      <c r="E161" s="141">
        <v>61.045776856064997</v>
      </c>
      <c r="F161" s="141">
        <v>1.92917315145261</v>
      </c>
      <c r="G161" s="141">
        <v>10.6171978901644</v>
      </c>
    </row>
    <row r="162" spans="2:7" x14ac:dyDescent="0.3">
      <c r="B162" s="141">
        <v>0.17528515197382599</v>
      </c>
      <c r="C162" s="141">
        <v>525017.40010190103</v>
      </c>
      <c r="D162" s="141">
        <v>524484.05779905501</v>
      </c>
      <c r="E162" s="141">
        <v>61.043681316961901</v>
      </c>
      <c r="F162" s="141">
        <v>1.9299400261722499</v>
      </c>
      <c r="G162" s="141">
        <v>10.609196453216599</v>
      </c>
    </row>
    <row r="163" spans="2:7" x14ac:dyDescent="0.3">
      <c r="B163" s="141">
        <v>0.17527261086642201</v>
      </c>
      <c r="C163" s="141">
        <v>525063.22021605703</v>
      </c>
      <c r="D163" s="141">
        <v>524598.89268516097</v>
      </c>
      <c r="E163" s="141">
        <v>61.042845687857998</v>
      </c>
      <c r="F163" s="141">
        <v>1.9302459050570799</v>
      </c>
      <c r="G163" s="141">
        <v>10.6060063834079</v>
      </c>
    </row>
    <row r="164" spans="2:7" x14ac:dyDescent="0.3">
      <c r="B164" s="141">
        <v>0.17526763645740201</v>
      </c>
      <c r="C164" s="141">
        <v>525081.51300102705</v>
      </c>
      <c r="D164" s="141">
        <v>524644.71279931697</v>
      </c>
      <c r="E164" s="141">
        <v>61.042512693889897</v>
      </c>
      <c r="F164" s="141">
        <v>1.93036786076074</v>
      </c>
      <c r="G164" s="141">
        <v>10.604734752391</v>
      </c>
    </row>
    <row r="165" spans="2:7" x14ac:dyDescent="0.3">
      <c r="B165" s="141">
        <v>0.17526622346014301</v>
      </c>
      <c r="C165" s="141">
        <v>525088.83168783702</v>
      </c>
      <c r="D165" s="141">
        <v>524663.00558428594</v>
      </c>
      <c r="E165" s="141">
        <v>61.042695050035398</v>
      </c>
      <c r="F165" s="141">
        <v>1.9304164819266401</v>
      </c>
      <c r="G165" s="141">
        <v>10.604227897549899</v>
      </c>
    </row>
    <row r="166" spans="2:7" x14ac:dyDescent="0.3">
      <c r="B166" s="141">
        <v>0.17526505837300199</v>
      </c>
      <c r="C166" s="141">
        <v>525091.77744706697</v>
      </c>
      <c r="D166" s="141">
        <v>524670.32427109696</v>
      </c>
      <c r="E166" s="141">
        <v>61.042453329318498</v>
      </c>
      <c r="F166" s="141">
        <v>1.93043587322855</v>
      </c>
      <c r="G166" s="141">
        <v>10.604025899492701</v>
      </c>
    </row>
    <row r="167" spans="2:7" x14ac:dyDescent="0.3">
      <c r="B167" s="141">
        <v>0.17526462272121701</v>
      </c>
      <c r="C167" s="141">
        <v>525092.98300880403</v>
      </c>
      <c r="D167" s="141">
        <v>524673.27003032598</v>
      </c>
      <c r="E167" s="141">
        <v>61.042357736540801</v>
      </c>
      <c r="F167" s="141">
        <v>1.9304436211565601</v>
      </c>
      <c r="G167" s="141">
        <v>10.6039454360352</v>
      </c>
    </row>
    <row r="168" spans="2:7" x14ac:dyDescent="0.3">
      <c r="B168" s="141">
        <v>0.175264413486976</v>
      </c>
      <c r="C168" s="141">
        <v>525093.49986890901</v>
      </c>
      <c r="D168" s="141">
        <v>524674.47559206397</v>
      </c>
      <c r="E168" s="141">
        <v>61.042320933324497</v>
      </c>
      <c r="F168" s="141">
        <v>1.93044674168749</v>
      </c>
      <c r="G168" s="141">
        <v>10.6039134509034</v>
      </c>
    </row>
    <row r="169" spans="2:7" x14ac:dyDescent="0.3">
      <c r="B169" s="141">
        <v>0.17526434970346999</v>
      </c>
      <c r="C169" s="141">
        <v>525093.75071898301</v>
      </c>
      <c r="D169" s="141">
        <v>524674.99245216895</v>
      </c>
      <c r="E169" s="141">
        <v>61.042308502214503</v>
      </c>
      <c r="F169" s="141">
        <v>1.9304480411812801</v>
      </c>
      <c r="G169" s="141">
        <v>10.6039008509438</v>
      </c>
    </row>
    <row r="170" spans="2:7" x14ac:dyDescent="0.3">
      <c r="B170" s="141">
        <v>0.175264354989809</v>
      </c>
      <c r="C170" s="141">
        <v>525093.91020863899</v>
      </c>
      <c r="D170" s="141">
        <v>524675.24330224295</v>
      </c>
      <c r="E170" s="141">
        <v>61.042307404544196</v>
      </c>
      <c r="F170" s="141">
        <v>1.9304486551339799</v>
      </c>
      <c r="G170" s="141">
        <v>10.603896085236901</v>
      </c>
    </row>
    <row r="171" spans="2:7" x14ac:dyDescent="0.3">
      <c r="B171" s="141">
        <v>0.17526430634189999</v>
      </c>
      <c r="C171" s="141">
        <v>525094.05860298302</v>
      </c>
      <c r="D171" s="141">
        <v>524675.40279189905</v>
      </c>
      <c r="E171" s="141">
        <v>61.042313614440602</v>
      </c>
      <c r="F171" s="141">
        <v>1.9304490652842601</v>
      </c>
      <c r="G171" s="141">
        <v>10.6038946276286</v>
      </c>
    </row>
    <row r="172" spans="2:7" x14ac:dyDescent="0.3">
      <c r="B172" s="141">
        <v>0.175264301333729</v>
      </c>
      <c r="C172" s="141">
        <v>525094.24627912405</v>
      </c>
      <c r="D172" s="141">
        <v>524675.55118624296</v>
      </c>
      <c r="E172" s="141">
        <v>61.0423275454513</v>
      </c>
      <c r="F172" s="141">
        <v>1.93044951387418</v>
      </c>
      <c r="G172" s="141">
        <v>10.6038948082383</v>
      </c>
    </row>
    <row r="173" spans="2:7" x14ac:dyDescent="0.3">
      <c r="B173" s="141">
        <v>0.17526429454953099</v>
      </c>
      <c r="C173" s="141">
        <v>525094.52503690205</v>
      </c>
      <c r="D173" s="141">
        <v>524675.73886238295</v>
      </c>
      <c r="E173" s="141">
        <v>61.042352840335198</v>
      </c>
      <c r="F173" s="141">
        <v>1.93045018401678</v>
      </c>
      <c r="G173" s="141">
        <v>10.6038961926899</v>
      </c>
    </row>
    <row r="174" spans="2:7" x14ac:dyDescent="0.3">
      <c r="B174" s="141">
        <v>0.175264288611892</v>
      </c>
      <c r="C174" s="141">
        <v>525094.97023877199</v>
      </c>
      <c r="D174" s="141">
        <v>524676.01762016094</v>
      </c>
      <c r="E174" s="141">
        <v>61.0423969444318</v>
      </c>
      <c r="F174" s="141">
        <v>1.9304512978652499</v>
      </c>
      <c r="G174" s="141">
        <v>10.6038990062815</v>
      </c>
    </row>
    <row r="175" spans="2:7" x14ac:dyDescent="0.3">
      <c r="B175" s="141">
        <v>0.17526430159477199</v>
      </c>
      <c r="C175" s="141">
        <v>525095.70628438599</v>
      </c>
      <c r="D175" s="141">
        <v>524676.462822031</v>
      </c>
      <c r="E175" s="141">
        <v>61.042473153364597</v>
      </c>
      <c r="F175" s="141">
        <v>1.9304532010238</v>
      </c>
      <c r="G175" s="141">
        <v>10.6039040253932</v>
      </c>
    </row>
    <row r="176" spans="2:7" x14ac:dyDescent="0.3">
      <c r="B176" s="141">
        <v>0.175264297957723</v>
      </c>
      <c r="C176" s="141">
        <v>525096.94545965595</v>
      </c>
      <c r="D176" s="141">
        <v>524677.198867645</v>
      </c>
      <c r="E176" s="141">
        <v>61.042604563613303</v>
      </c>
      <c r="F176" s="141">
        <v>1.9304564742222501</v>
      </c>
      <c r="G176" s="141">
        <v>10.6039127425383</v>
      </c>
    </row>
    <row r="177" spans="2:7" x14ac:dyDescent="0.3">
      <c r="B177" s="141">
        <v>0.17526430066630799</v>
      </c>
      <c r="C177" s="141">
        <v>525099.05286898301</v>
      </c>
      <c r="D177" s="141">
        <v>524678.43804291601</v>
      </c>
      <c r="E177" s="141">
        <v>61.042831046895301</v>
      </c>
      <c r="F177" s="141">
        <v>1.93046211228034</v>
      </c>
      <c r="G177" s="141">
        <v>10.6039277910011</v>
      </c>
    </row>
    <row r="178" spans="2:7" x14ac:dyDescent="0.3">
      <c r="B178" s="141">
        <v>0.17526431226428699</v>
      </c>
      <c r="C178" s="141">
        <v>525102.65751063603</v>
      </c>
      <c r="D178" s="141">
        <v>524680.54545224295</v>
      </c>
      <c r="E178" s="141">
        <v>61.043221330186597</v>
      </c>
      <c r="F178" s="141">
        <v>1.9304718270936201</v>
      </c>
      <c r="G178" s="141">
        <v>10.6039537319957</v>
      </c>
    </row>
    <row r="179" spans="2:7" x14ac:dyDescent="0.3">
      <c r="B179" s="141">
        <v>0.175264308865381</v>
      </c>
      <c r="C179" s="141">
        <v>525108.84330210905</v>
      </c>
      <c r="D179" s="141">
        <v>524684.15009389503</v>
      </c>
      <c r="E179" s="141">
        <v>61.043893821915802</v>
      </c>
      <c r="F179" s="141">
        <v>1.93048856746014</v>
      </c>
      <c r="G179" s="141">
        <v>10.603998431743101</v>
      </c>
    </row>
    <row r="180" spans="2:7" x14ac:dyDescent="0.3">
      <c r="B180" s="141">
        <v>0.175264269908635</v>
      </c>
      <c r="C180" s="141">
        <v>525119.47792629304</v>
      </c>
      <c r="D180" s="141">
        <v>524690.33588536805</v>
      </c>
      <c r="E180" s="141">
        <v>61.045052458628902</v>
      </c>
      <c r="F180" s="141">
        <v>1.9305174135373899</v>
      </c>
      <c r="G180" s="141">
        <v>10.604075438309</v>
      </c>
    </row>
    <row r="181" spans="2:7" x14ac:dyDescent="0.3">
      <c r="B181" s="141">
        <v>0.175264228783194</v>
      </c>
      <c r="C181" s="141">
        <v>525137.77882830705</v>
      </c>
      <c r="D181" s="141">
        <v>524700.97050955205</v>
      </c>
      <c r="E181" s="141">
        <v>61.047048323918503</v>
      </c>
      <c r="F181" s="141">
        <v>1.9305671164038301</v>
      </c>
      <c r="G181" s="141">
        <v>10.6042080657912</v>
      </c>
    </row>
    <row r="182" spans="2:7" x14ac:dyDescent="0.3">
      <c r="B182" s="141">
        <v>0.17526417381373499</v>
      </c>
      <c r="C182" s="141">
        <v>525169.28668581694</v>
      </c>
      <c r="D182" s="141">
        <v>524719.271411567</v>
      </c>
      <c r="E182" s="141">
        <v>61.050485363510603</v>
      </c>
      <c r="F182" s="141">
        <v>1.9306527465355099</v>
      </c>
      <c r="G182" s="141">
        <v>10.6044363884521</v>
      </c>
    </row>
    <row r="183" spans="2:7" x14ac:dyDescent="0.3">
      <c r="B183" s="141">
        <v>0.17526409550162</v>
      </c>
      <c r="C183" s="141">
        <v>525223.53696716996</v>
      </c>
      <c r="D183" s="141">
        <v>524750.77926907595</v>
      </c>
      <c r="E183" s="141">
        <v>61.056401159056598</v>
      </c>
      <c r="F183" s="141">
        <v>1.9308002444536001</v>
      </c>
      <c r="G183" s="141">
        <v>10.6048291593738</v>
      </c>
    </row>
    <row r="184" spans="2:7" x14ac:dyDescent="0.3">
      <c r="B184" s="141">
        <v>0.17526390977026299</v>
      </c>
      <c r="C184" s="141">
        <v>525316.92283852794</v>
      </c>
      <c r="D184" s="141">
        <v>524805.02955043002</v>
      </c>
      <c r="E184" s="141">
        <v>61.066574302478699</v>
      </c>
      <c r="F184" s="141">
        <v>1.9310542230116601</v>
      </c>
      <c r="G184" s="141">
        <v>10.605503951804099</v>
      </c>
    </row>
    <row r="185" spans="2:7" x14ac:dyDescent="0.3">
      <c r="B185" s="141">
        <v>0.175263551311999</v>
      </c>
      <c r="C185" s="141">
        <v>525477.57340710994</v>
      </c>
      <c r="D185" s="141">
        <v>524898.415421788</v>
      </c>
      <c r="E185" s="141">
        <v>61.084041873249902</v>
      </c>
      <c r="F185" s="141">
        <v>1.9314912950900101</v>
      </c>
      <c r="G185" s="141">
        <v>10.6066606981384</v>
      </c>
    </row>
    <row r="186" spans="2:7" x14ac:dyDescent="0.3">
      <c r="B186" s="141">
        <v>0.17526269970678901</v>
      </c>
      <c r="C186" s="141">
        <v>525753.59348700801</v>
      </c>
      <c r="D186" s="141">
        <v>525059.06599036895</v>
      </c>
      <c r="E186" s="141">
        <v>61.113955498060101</v>
      </c>
      <c r="F186" s="141">
        <v>1.9322426925466001</v>
      </c>
      <c r="G186" s="141">
        <v>10.6086360731758</v>
      </c>
    </row>
    <row r="187" spans="2:7" x14ac:dyDescent="0.3">
      <c r="B187" s="141">
        <v>0.17526080477528599</v>
      </c>
      <c r="C187" s="141">
        <v>526226.76114400895</v>
      </c>
      <c r="D187" s="141">
        <v>525335.08607026702</v>
      </c>
      <c r="E187" s="141">
        <v>61.164953499695301</v>
      </c>
      <c r="F187" s="141">
        <v>1.9335322191834801</v>
      </c>
      <c r="G187" s="141">
        <v>10.6119873852382</v>
      </c>
    </row>
    <row r="188" spans="2:7" x14ac:dyDescent="0.3">
      <c r="B188" s="141">
        <v>0.17525617001191801</v>
      </c>
      <c r="C188" s="141">
        <v>527034.68260004197</v>
      </c>
      <c r="D188" s="141">
        <v>525808.25372726901</v>
      </c>
      <c r="E188" s="141">
        <v>61.251233933177303</v>
      </c>
      <c r="F188" s="141">
        <v>1.9357386549039099</v>
      </c>
      <c r="G188" s="141">
        <v>10.617609505870901</v>
      </c>
    </row>
    <row r="189" spans="2:7" x14ac:dyDescent="0.3">
      <c r="B189" s="141">
        <v>0.175244184924399</v>
      </c>
      <c r="C189" s="141">
        <v>528404.82771187602</v>
      </c>
      <c r="D189" s="141">
        <v>526616.17518330098</v>
      </c>
      <c r="E189" s="141">
        <v>61.395331384132</v>
      </c>
      <c r="F189" s="141">
        <v>1.9394946304330101</v>
      </c>
      <c r="G189" s="141">
        <v>10.6268617267853</v>
      </c>
    </row>
    <row r="190" spans="2:7" x14ac:dyDescent="0.3">
      <c r="B190" s="141">
        <v>0.17521309820874201</v>
      </c>
      <c r="C190" s="141">
        <v>530701.51900974801</v>
      </c>
      <c r="D190" s="141">
        <v>527986.32029513502</v>
      </c>
      <c r="E190" s="141">
        <v>61.6308632215991</v>
      </c>
      <c r="F190" s="141">
        <v>1.9458325131918</v>
      </c>
      <c r="G190" s="141">
        <v>10.641598882808101</v>
      </c>
    </row>
    <row r="191" spans="2:7" x14ac:dyDescent="0.3">
      <c r="B191" s="141">
        <v>0.17513306003005</v>
      </c>
      <c r="C191" s="141">
        <v>534475.58035552397</v>
      </c>
      <c r="D191" s="141">
        <v>530283.01159300702</v>
      </c>
      <c r="E191" s="141">
        <v>62.002593413893003</v>
      </c>
      <c r="F191" s="141">
        <v>1.9563691622036099</v>
      </c>
      <c r="G191" s="141">
        <v>10.663813863751001</v>
      </c>
    </row>
    <row r="192" spans="2:7" x14ac:dyDescent="0.3">
      <c r="B192" s="141">
        <v>0.17493652780069399</v>
      </c>
      <c r="C192" s="141">
        <v>540474.65816111199</v>
      </c>
      <c r="D192" s="141">
        <v>534057.07293878298</v>
      </c>
      <c r="E192" s="141">
        <v>62.557919513160002</v>
      </c>
      <c r="F192" s="141">
        <v>1.9734556827757701</v>
      </c>
      <c r="G192" s="141">
        <v>10.694344922366099</v>
      </c>
    </row>
    <row r="193" spans="2:7" x14ac:dyDescent="0.3">
      <c r="B193" s="141">
        <v>0.17449349649238899</v>
      </c>
      <c r="C193" s="141">
        <v>549517.77052192704</v>
      </c>
      <c r="D193" s="141">
        <v>540056.15074437205</v>
      </c>
      <c r="E193" s="141">
        <v>63.322670065581001</v>
      </c>
      <c r="F193" s="141">
        <v>2.00006420156646</v>
      </c>
      <c r="G193" s="141">
        <v>10.730254335264799</v>
      </c>
    </row>
    <row r="194" spans="2:7" x14ac:dyDescent="0.3">
      <c r="B194" s="141">
        <v>0.17361554524388301</v>
      </c>
      <c r="C194" s="141">
        <v>562122.39975920995</v>
      </c>
      <c r="D194" s="141">
        <v>549099.26310518605</v>
      </c>
      <c r="E194" s="141">
        <v>64.265048062148097</v>
      </c>
      <c r="F194" s="141">
        <v>2.0389804040614101</v>
      </c>
      <c r="G194" s="141">
        <v>10.762194768758601</v>
      </c>
    </row>
    <row r="195" spans="2:7" x14ac:dyDescent="0.3">
      <c r="B195" s="141">
        <v>0.172145525382324</v>
      </c>
      <c r="C195" s="141">
        <v>577953.98987818998</v>
      </c>
      <c r="D195" s="141">
        <v>561703.89234246896</v>
      </c>
      <c r="E195" s="141">
        <v>65.278539578228106</v>
      </c>
      <c r="F195" s="141">
        <v>2.09099404619201</v>
      </c>
      <c r="G195" s="141">
        <v>10.776106707067999</v>
      </c>
    </row>
    <row r="196" spans="2:7" x14ac:dyDescent="0.3">
      <c r="B196" s="141">
        <v>0.17011717761221101</v>
      </c>
      <c r="C196" s="141">
        <v>418.50741674070503</v>
      </c>
      <c r="D196" s="141">
        <v>577535.48246145004</v>
      </c>
      <c r="E196" s="141">
        <v>66.220487179195203</v>
      </c>
      <c r="F196" s="141">
        <v>2.1528843772467798</v>
      </c>
      <c r="G196" s="141">
        <v>10.762015368972101</v>
      </c>
    </row>
  </sheetData>
  <mergeCells count="19">
    <mergeCell ref="B1:D1"/>
    <mergeCell ref="E1:G1"/>
    <mergeCell ref="H1:J1"/>
    <mergeCell ref="K1:M1"/>
    <mergeCell ref="E22:E23"/>
    <mergeCell ref="C109:D109"/>
    <mergeCell ref="B114:B115"/>
    <mergeCell ref="B116:B117"/>
    <mergeCell ref="S13:T13"/>
    <mergeCell ref="R6:T6"/>
    <mergeCell ref="C61:E61"/>
    <mergeCell ref="C82:F82"/>
    <mergeCell ref="C87:D87"/>
    <mergeCell ref="C94:F94"/>
    <mergeCell ref="C130:D130"/>
    <mergeCell ref="B131:B132"/>
    <mergeCell ref="B142:G142"/>
    <mergeCell ref="B110:B111"/>
    <mergeCell ref="B112:B113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Smith</dc:creator>
  <cp:lastModifiedBy>A. Mansouri</cp:lastModifiedBy>
  <dcterms:created xsi:type="dcterms:W3CDTF">2021-11-01T13:43:22Z</dcterms:created>
  <dcterms:modified xsi:type="dcterms:W3CDTF">2021-12-08T14:56:12Z</dcterms:modified>
</cp:coreProperties>
</file>