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evzate\m40-m50-m60\siemens ms40.1 m50b20\MS40 M50 PnP\"/>
    </mc:Choice>
  </mc:AlternateContent>
  <xr:revisionPtr revIDLastSave="0" documentId="13_ncr:1_{E2974700-EA19-4804-9BEE-0559C485176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1" i="1"/>
  <c r="S51" i="1"/>
  <c r="R51" i="1"/>
  <c r="Q51" i="1"/>
  <c r="P51" i="1"/>
  <c r="N51" i="1"/>
  <c r="M51" i="1"/>
  <c r="M56" i="1"/>
  <c r="N56" i="1"/>
  <c r="P56" i="1"/>
  <c r="P12" i="1" l="1"/>
  <c r="R12" i="1"/>
  <c r="S12" i="1"/>
  <c r="T33" i="1"/>
  <c r="S33" i="1"/>
  <c r="R33" i="1"/>
  <c r="Q33" i="1"/>
  <c r="P33" i="1"/>
  <c r="N33" i="1"/>
  <c r="M33" i="1"/>
  <c r="S56" i="1" l="1"/>
  <c r="R56" i="1"/>
  <c r="Q56" i="1"/>
  <c r="S50" i="1" l="1"/>
  <c r="R50" i="1"/>
  <c r="Q50" i="1"/>
  <c r="P50" i="1"/>
  <c r="N50" i="1"/>
  <c r="M50" i="1"/>
  <c r="A40" i="1" l="1"/>
  <c r="A41" i="1"/>
  <c r="A42" i="1"/>
  <c r="A43" i="1"/>
  <c r="A44" i="1"/>
  <c r="A45" i="1"/>
  <c r="A46" i="1"/>
  <c r="A35" i="1"/>
  <c r="S45" i="1" l="1"/>
  <c r="R45" i="1"/>
  <c r="Q45" i="1"/>
  <c r="P45" i="1"/>
  <c r="N45" i="1"/>
  <c r="M45" i="1"/>
  <c r="A10" i="1" l="1"/>
  <c r="R10" i="1" s="1"/>
  <c r="S10" i="1" l="1"/>
  <c r="Q10" i="1"/>
  <c r="N10" i="1"/>
  <c r="M10" i="1"/>
  <c r="P10" i="1"/>
  <c r="A26" i="1" l="1"/>
  <c r="S26" i="1" l="1"/>
  <c r="R26" i="1"/>
  <c r="Q26" i="1"/>
  <c r="P26" i="1"/>
  <c r="N26" i="1"/>
  <c r="M26" i="1"/>
  <c r="R48" i="1"/>
  <c r="P48" i="1"/>
  <c r="S42" i="1" l="1"/>
  <c r="R42" i="1"/>
  <c r="Q42" i="1"/>
  <c r="P42" i="1"/>
  <c r="N42" i="1"/>
  <c r="M42" i="1"/>
  <c r="S22" i="1" l="1"/>
  <c r="R22" i="1"/>
  <c r="Q22" i="1"/>
  <c r="P22" i="1"/>
  <c r="N22" i="1"/>
  <c r="M22" i="1"/>
  <c r="A27" i="1"/>
  <c r="A25" i="1"/>
  <c r="A38" i="1"/>
  <c r="S38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3" i="1"/>
  <c r="A24" i="1"/>
  <c r="S24" i="1" s="1"/>
  <c r="A29" i="1"/>
  <c r="S29" i="1" s="1"/>
  <c r="A30" i="1"/>
  <c r="S30" i="1" s="1"/>
  <c r="R31" i="1"/>
  <c r="A34" i="1"/>
  <c r="S34" i="1" s="1"/>
  <c r="S35" i="1"/>
  <c r="A36" i="1"/>
  <c r="P36" i="1" s="1"/>
  <c r="A37" i="1"/>
  <c r="P37" i="1" s="1"/>
  <c r="S39" i="1"/>
  <c r="S40" i="1"/>
  <c r="S43" i="1"/>
  <c r="S44" i="1"/>
  <c r="S46" i="1"/>
  <c r="A3" i="1"/>
  <c r="S3" i="1" s="1"/>
  <c r="M18" i="1"/>
  <c r="M20" i="1"/>
  <c r="M35" i="1"/>
  <c r="M40" i="1"/>
  <c r="M43" i="1"/>
  <c r="M44" i="1"/>
  <c r="M46" i="1"/>
  <c r="R46" i="1"/>
  <c r="Q46" i="1"/>
  <c r="P46" i="1"/>
  <c r="N46" i="1"/>
  <c r="R17" i="1"/>
  <c r="R18" i="1"/>
  <c r="R19" i="1"/>
  <c r="R20" i="1"/>
  <c r="R23" i="1"/>
  <c r="R35" i="1"/>
  <c r="R39" i="1"/>
  <c r="R40" i="1"/>
  <c r="R43" i="1"/>
  <c r="R44" i="1"/>
  <c r="R47" i="1"/>
  <c r="N18" i="1"/>
  <c r="N20" i="1"/>
  <c r="N35" i="1"/>
  <c r="N40" i="1"/>
  <c r="N43" i="1"/>
  <c r="N44" i="1"/>
  <c r="Q44" i="1"/>
  <c r="P44" i="1"/>
  <c r="Q43" i="1"/>
  <c r="Q40" i="1"/>
  <c r="Q35" i="1"/>
  <c r="Q18" i="1"/>
  <c r="Q20" i="1"/>
  <c r="Q2" i="1"/>
  <c r="P17" i="1"/>
  <c r="P18" i="1"/>
  <c r="P19" i="1"/>
  <c r="P20" i="1"/>
  <c r="P23" i="1"/>
  <c r="P35" i="1"/>
  <c r="P39" i="1"/>
  <c r="P40" i="1"/>
  <c r="P43" i="1"/>
  <c r="P47" i="1"/>
  <c r="P2" i="1"/>
  <c r="S27" i="1" l="1"/>
  <c r="R27" i="1"/>
  <c r="Q27" i="1"/>
  <c r="P27" i="1"/>
  <c r="R25" i="1"/>
  <c r="P25" i="1"/>
  <c r="P38" i="1"/>
  <c r="P7" i="1"/>
  <c r="N29" i="1"/>
  <c r="Q7" i="1"/>
  <c r="M4" i="1"/>
  <c r="N4" i="1"/>
  <c r="N15" i="1"/>
  <c r="N6" i="1"/>
  <c r="Q4" i="1"/>
  <c r="P4" i="1"/>
  <c r="P9" i="1"/>
  <c r="P24" i="1"/>
  <c r="Q5" i="1"/>
  <c r="N9" i="1"/>
  <c r="N36" i="1"/>
  <c r="N24" i="1"/>
  <c r="N14" i="1"/>
  <c r="R5" i="1"/>
  <c r="P5" i="1"/>
  <c r="Q36" i="1"/>
  <c r="Q9" i="1"/>
  <c r="N5" i="1"/>
  <c r="R9" i="1"/>
  <c r="M36" i="1"/>
  <c r="M7" i="1"/>
  <c r="N25" i="1"/>
  <c r="S25" i="1"/>
  <c r="Q24" i="1"/>
  <c r="R24" i="1"/>
  <c r="M24" i="1"/>
  <c r="R36" i="1"/>
  <c r="R6" i="1"/>
  <c r="M37" i="1"/>
  <c r="M6" i="1"/>
  <c r="S6" i="1"/>
  <c r="S4" i="1"/>
  <c r="P30" i="1"/>
  <c r="P15" i="1"/>
  <c r="P6" i="1"/>
  <c r="N7" i="1"/>
  <c r="R30" i="1"/>
  <c r="M13" i="1"/>
  <c r="M3" i="1"/>
  <c r="S36" i="1"/>
  <c r="S7" i="1"/>
  <c r="S5" i="1"/>
  <c r="M38" i="1"/>
  <c r="R38" i="1"/>
  <c r="Q25" i="1"/>
  <c r="P11" i="1"/>
  <c r="N11" i="1"/>
  <c r="M11" i="1"/>
  <c r="R11" i="1"/>
  <c r="Q11" i="1"/>
  <c r="S8" i="1"/>
  <c r="R34" i="1"/>
  <c r="S9" i="1"/>
  <c r="Q8" i="1"/>
  <c r="N8" i="1"/>
  <c r="R8" i="1"/>
  <c r="P8" i="1"/>
  <c r="P34" i="1"/>
  <c r="R37" i="1"/>
  <c r="P3" i="1"/>
  <c r="N34" i="1"/>
  <c r="N13" i="1"/>
  <c r="N3" i="1"/>
  <c r="P29" i="1"/>
  <c r="P16" i="1"/>
  <c r="Q37" i="1"/>
  <c r="Q30" i="1"/>
  <c r="Q15" i="1"/>
  <c r="N37" i="1"/>
  <c r="N30" i="1"/>
  <c r="M15" i="1"/>
  <c r="S37" i="1"/>
  <c r="P13" i="1"/>
  <c r="Q29" i="1"/>
  <c r="Q34" i="1"/>
  <c r="Q3" i="1"/>
  <c r="Q13" i="1"/>
  <c r="R29" i="1"/>
  <c r="R16" i="1"/>
  <c r="M27" i="1"/>
  <c r="N27" i="1"/>
  <c r="P14" i="1"/>
  <c r="N16" i="1"/>
  <c r="M31" i="1"/>
  <c r="R14" i="1"/>
  <c r="Q16" i="1"/>
  <c r="N31" i="1"/>
  <c r="R3" i="1"/>
  <c r="R13" i="1"/>
  <c r="M30" i="1"/>
  <c r="M14" i="1"/>
  <c r="S31" i="1"/>
  <c r="S16" i="1"/>
  <c r="S14" i="1"/>
  <c r="N38" i="1"/>
  <c r="Q38" i="1"/>
  <c r="M25" i="1"/>
  <c r="P31" i="1"/>
  <c r="Q31" i="1"/>
  <c r="R15" i="1"/>
  <c r="M34" i="1"/>
  <c r="M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<sst xmlns="http://schemas.openxmlformats.org/spreadsheetml/2006/main" count="351" uniqueCount="310">
  <si>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</si>
  <si>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</si>
  <si>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</si>
  <si>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</si>
  <si>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</si>
  <si>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</si>
  <si>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</si>
  <si>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</si>
  <si>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</si>
  <si>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</si>
  <si>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</si>
  <si>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</si>
  <si>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</si>
  <si>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</si>
  <si>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</si>
  <si>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</si>
  <si>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</si>
  <si>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</si>
  <si>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</si>
  <si>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</si>
  <si>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</si>
  <si>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</si>
  <si>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</si>
  <si>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</si>
  <si>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</si>
  <si>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</si>
  <si>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</si>
  <si>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</si>
  <si>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</si>
  <si>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</si>
  <si>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</si>
  <si>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</si>
  <si>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</si>
  <si>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</si>
  <si>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</si>
  <si>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</si>
  <si>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</si>
  <si>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</si>
  <si>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</si>
  <si>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</si>
  <si>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</si>
  <si>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</si>
  <si>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</si>
  <si>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</si>
  <si>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</si>
  <si>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</si>
  <si>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</si>
  <si>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</si>
  <si>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</si>
  <si>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</si>
  <si>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</si>
  <si>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</si>
  <si>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</si>
  <si>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</si>
  <si>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</si>
  <si>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</si>
  <si>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</si>
  <si>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</si>
  <si>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</si>
  <si>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</si>
  <si>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</si>
  <si>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</si>
  <si>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</si>
  <si>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C16</t>
  </si>
  <si>
    <t>C14</t>
  </si>
  <si>
    <t>5mm-LED</t>
  </si>
  <si>
    <t>MPX4250AP-ND</t>
  </si>
  <si>
    <t>SENSOR ABS PRESS 36.3 PSI MAX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</si>
  <si>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</si>
  <si>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</si>
  <si>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</si>
  <si>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</si>
  <si>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</si>
  <si>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</si>
  <si>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</si>
  <si>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</si>
  <si>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</si>
  <si>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</si>
  <si>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</si>
  <si>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</si>
  <si>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</si>
  <si>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</si>
  <si>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</si>
  <si>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</si>
  <si>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</si>
  <si>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</si>
  <si>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</si>
  <si>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</si>
  <si>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</si>
  <si>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</si>
  <si>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</si>
  <si>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</si>
  <si>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</si>
  <si>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</si>
  <si>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</si>
  <si>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</si>
  <si>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</si>
  <si>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</si>
  <si>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</si>
  <si>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</si>
  <si>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</si>
  <si>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</si>
  <si>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</si>
  <si>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</si>
  <si>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</si>
  <si>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</si>
  <si>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</si>
  <si>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</si>
  <si>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</si>
  <si>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</si>
  <si>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</si>
  <si>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</si>
  <si>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</si>
  <si>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</si>
  <si>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</si>
  <si>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</si>
  <si>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</si>
  <si>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</si>
  <si>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</si>
  <si>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</si>
  <si>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</si>
  <si>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</si>
  <si>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</si>
  <si>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</si>
  <si>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</si>
  <si>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</si>
  <si>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</si>
  <si>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</si>
  <si>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</si>
  <si>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</si>
  <si>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</si>
  <si>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</si>
  <si>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</si>
  <si>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</si>
  <si>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</si>
  <si>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</si>
  <si>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</si>
  <si>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</si>
  <si>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</si>
  <si>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</si>
  <si>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</si>
  <si>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</si>
  <si>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</si>
  <si>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</si>
  <si>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</si>
  <si>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</si>
  <si>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</si>
  <si>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</si>
  <si>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</si>
  <si>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</si>
  <si>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</si>
  <si>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</si>
  <si>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</si>
  <si>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</si>
  <si>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</si>
  <si>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</si>
  <si>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</si>
  <si>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</si>
  <si>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497-5981-5-ND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</si>
  <si>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</si>
  <si>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</si>
  <si>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</si>
  <si>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</si>
  <si>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</si>
  <si>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</si>
  <si>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</si>
  <si>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</si>
  <si>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</si>
  <si>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</si>
  <si>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</si>
  <si>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</si>
  <si>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</si>
  <si>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</si>
  <si>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</si>
  <si>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</si>
  <si>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</si>
  <si>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</si>
  <si>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</si>
  <si>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</si>
  <si>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</si>
  <si>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</si>
  <si>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</si>
  <si>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</si>
  <si>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</si>
  <si>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Samtec</t>
  </si>
  <si>
    <t>SSW-104-01-T-S</t>
  </si>
  <si>
    <t>200-SSW10401TS</t>
  </si>
  <si>
    <t>SAM1213-04-ND</t>
  </si>
  <si>
    <t>Q9</t>
  </si>
  <si>
    <t>603-MFR-25FBF52-10K</t>
  </si>
  <si>
    <t>603-MFR-25FBF52-1K</t>
  </si>
  <si>
    <t>SO-8</t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</si>
  <si>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</si>
  <si>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</si>
  <si>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</si>
  <si>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</si>
  <si>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</si>
  <si>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Pins for external connector</t>
  </si>
  <si>
    <t>Female pin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</si>
  <si>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</si>
  <si>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</si>
  <si>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</si>
  <si>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</si>
  <si>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</si>
  <si>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</si>
  <si>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</si>
  <si>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</si>
  <si>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</si>
  <si>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</si>
  <si>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</si>
  <si>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</si>
  <si>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</si>
  <si>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</si>
  <si>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</si>
  <si>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</si>
  <si>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</si>
  <si>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</si>
  <si>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</si>
  <si>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</si>
  <si>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</si>
  <si>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</si>
  <si>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</si>
  <si>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</si>
  <si>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</si>
  <si>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</si>
  <si>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</si>
  <si>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</si>
  <si>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</si>
  <si>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</si>
  <si>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</si>
  <si>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</si>
  <si>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</si>
  <si>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</si>
  <si>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</si>
  <si>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</si>
  <si>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</si>
  <si>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</si>
  <si>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</si>
  <si>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Q1,Q2,Q3,Q4,Q5,Q6</t>
  </si>
  <si>
    <t>SP720APP</t>
  </si>
  <si>
    <t>TVS ARRAY ESD 14 INPUT 30V 16-DIP</t>
  </si>
  <si>
    <t>576-SP720APP</t>
  </si>
  <si>
    <t>F2718-ND</t>
  </si>
  <si>
    <t>Thermal pad</t>
  </si>
  <si>
    <t>Adhesive Thermal Pad for TO-220</t>
  </si>
  <si>
    <t>Aavid</t>
  </si>
  <si>
    <t>53-77-9ACG</t>
  </si>
  <si>
    <t>53-77-9ACG-ND</t>
  </si>
  <si>
    <t>532-53-77-9ACG</t>
  </si>
  <si>
    <t>6-SOP</t>
  </si>
  <si>
    <t>SSOP-8</t>
  </si>
  <si>
    <r>
      <t>R7,</t>
    </r>
    <r>
      <rPr>
        <sz val="10"/>
        <color rgb="FF0070C0"/>
        <rFont val="Liberation Sans"/>
      </rPr>
      <t>R67,R68</t>
    </r>
    <r>
      <rPr>
        <sz val="10"/>
        <color theme="1"/>
        <rFont val="Liberation Sans"/>
      </rPr>
      <t>,R86</t>
    </r>
  </si>
  <si>
    <r>
      <t>R63,</t>
    </r>
    <r>
      <rPr>
        <sz val="10"/>
        <color rgb="FF0070C0"/>
        <rFont val="Liberation Sans"/>
      </rPr>
      <t>R66</t>
    </r>
    <r>
      <rPr>
        <sz val="10"/>
        <color theme="1"/>
        <rFont val="Liberation Sans"/>
      </rPr>
      <t>,R85</t>
    </r>
  </si>
  <si>
    <t/>
  </si>
  <si>
    <t>Optional Wideband controller</t>
  </si>
  <si>
    <t>WB Controller</t>
  </si>
  <si>
    <t>https://diy-efi.co.uk/product/tinywb_module</t>
  </si>
  <si>
    <t>DIY-EFI.uk</t>
  </si>
  <si>
    <t>6-POS connector</t>
  </si>
  <si>
    <t>6 CKT RCPT HOUSING</t>
  </si>
  <si>
    <t>39-01-2060</t>
  </si>
  <si>
    <t>WM3702-ND</t>
  </si>
  <si>
    <t>538-39-01-2060</t>
  </si>
  <si>
    <t>SP721APP</t>
  </si>
  <si>
    <t>IC6,IC7</t>
  </si>
  <si>
    <t>NOTE! Do not install R39,R40,R60 and R59 unless you plan to use Hall type crank/cam sensor. Stock sensor aren't compatible with speeduino. Do not use them.</t>
  </si>
  <si>
    <r>
      <t>C18,</t>
    </r>
    <r>
      <rPr>
        <sz val="10"/>
        <color rgb="FFFF0000"/>
        <rFont val="Liberation Sans"/>
      </rPr>
      <t>C26</t>
    </r>
  </si>
  <si>
    <t>C34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</si>
  <si>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vr-sensor(s). In that case the vr-conditioner is not installed at all.</t>
    </r>
  </si>
  <si>
    <t>CN2               Wideband connector</t>
  </si>
  <si>
    <t>12x molex female pin, supplied with female connector most times</t>
  </si>
  <si>
    <t>Thermal pads for ignition and injection mosfets</t>
  </si>
  <si>
    <t>Hardware for case</t>
  </si>
  <si>
    <t>4pin 2.54" connector for BT module, not needed</t>
  </si>
  <si>
    <t>12-18</t>
  </si>
  <si>
    <t>5557R-2*3P - 6 CKT RCPT HOUSING</t>
  </si>
  <si>
    <t>TC4424EPA or CPA</t>
  </si>
  <si>
    <t>Dual VR-conditioner</t>
  </si>
  <si>
    <t>IRF3205 or STP75NS04Z</t>
  </si>
  <si>
    <t>IRF3205 MOSFET N-CH 33V TO-220</t>
  </si>
  <si>
    <t>7bar or 2.5-Bar MAP sensor</t>
  </si>
  <si>
    <t>U10      MPX5700 or MPX4250A or in different package</t>
  </si>
  <si>
    <t>U12     DIY-EFI TinyWB + lsu 4.9 female connector</t>
  </si>
  <si>
    <t>CN1,CN3      External 6pin connector... You can just use wires with crimps also</t>
  </si>
  <si>
    <t>Varistor 14D220K.. SURGE ABSORBER 14MM 22V 1000A ZNR</t>
  </si>
  <si>
    <t>HC05/HC06 BT module</t>
  </si>
  <si>
    <t>BT module</t>
  </si>
  <si>
    <t>Baro sensor MPXH6115A6U</t>
  </si>
  <si>
    <t>MPXH6115A6U SENSOR ABS PRESS 16.7 PSI MAX</t>
  </si>
  <si>
    <t>100-200ohm resistor preferably 150R</t>
  </si>
  <si>
    <r>
      <t>D2,</t>
    </r>
    <r>
      <rPr>
        <sz val="10"/>
        <color rgb="FFFFC000"/>
        <rFont val="Liberation Sans"/>
        <charset val="238"/>
      </rPr>
      <t>D5</t>
    </r>
    <r>
      <rPr>
        <sz val="10"/>
        <color rgb="FF000000"/>
        <rFont val="Liberation Sans"/>
      </rPr>
      <t>,D16,</t>
    </r>
    <r>
      <rPr>
        <sz val="10"/>
        <color rgb="FF0070C0"/>
        <rFont val="Liberation Sans"/>
      </rPr>
      <t>D19</t>
    </r>
  </si>
  <si>
    <r>
      <t>C1,C3,C5,C7,C9,C13,C15,</t>
    </r>
    <r>
      <rPr>
        <sz val="10"/>
        <color rgb="FFFFC000"/>
        <rFont val="Liberation Sans"/>
        <charset val="238"/>
      </rPr>
      <t>C21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C29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C30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C33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</si>
  <si>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R72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R78</t>
    </r>
    <r>
      <rPr>
        <sz val="10"/>
        <color rgb="FF000000"/>
        <rFont val="Liberation Sans"/>
      </rPr>
      <t>,</t>
    </r>
    <r>
      <rPr>
        <sz val="10"/>
        <color rgb="FFFFC000"/>
        <rFont val="Liberation Sans"/>
        <charset val="238"/>
      </rPr>
      <t>R81</t>
    </r>
  </si>
  <si>
    <r>
      <t>R1,R3,</t>
    </r>
    <r>
      <rPr>
        <sz val="10"/>
        <color rgb="FFFFC000"/>
        <rFont val="Liberation Sans"/>
        <charset val="238"/>
      </rPr>
      <t>R5</t>
    </r>
    <r>
      <rPr>
        <sz val="10"/>
        <color rgb="FF000000"/>
        <rFont val="Liberation Sans"/>
      </rPr>
      <t>,R26,R28,R33,R34,R44,R61,</t>
    </r>
    <r>
      <rPr>
        <sz val="10"/>
        <color rgb="FFFFC000"/>
        <rFont val="Liberation Sans"/>
        <charset val="238"/>
      </rPr>
      <t>R69</t>
    </r>
    <r>
      <rPr>
        <sz val="10"/>
        <color rgb="FF000000"/>
        <rFont val="Liberation Sans"/>
      </rPr>
      <t>,R76,</t>
    </r>
    <r>
      <rPr>
        <sz val="10"/>
        <color rgb="FFFFC000"/>
        <rFont val="Liberation Sans"/>
        <charset val="238"/>
      </rPr>
      <t>R80</t>
    </r>
  </si>
  <si>
    <r>
      <t>D3,D4,D6,D7,</t>
    </r>
    <r>
      <rPr>
        <sz val="10"/>
        <color rgb="FFFFC000"/>
        <rFont val="Liberation Sans"/>
        <charset val="238"/>
      </rPr>
      <t>D8</t>
    </r>
    <r>
      <rPr>
        <sz val="10"/>
        <color rgb="FF000000"/>
        <rFont val="Liberation Sans"/>
      </rPr>
      <t>,D9,D10,D11,D12,D13,D18,</t>
    </r>
    <r>
      <rPr>
        <sz val="10"/>
        <color rgb="FF0070C0"/>
        <rFont val="Liberation Sans"/>
      </rPr>
      <t>D20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</si>
  <si>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MAF circuit, analog circuit on external connector and one on main connector, idle2</t>
    </r>
  </si>
  <si>
    <t>Note! For use with 3pin idle valves D8,R55,R57 needs to be soldered in, and one additional wire soldered to pin6 of U6 as no trace is present to any connector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</si>
  <si>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,R42,R47,R50,R51,</t>
    </r>
    <r>
      <rPr>
        <sz val="10"/>
        <color rgb="FFFFC000"/>
        <rFont val="Liberation Sans"/>
        <charset val="238"/>
      </rPr>
      <t>R57</t>
    </r>
    <r>
      <rPr>
        <sz val="10"/>
        <color rgb="FF000000"/>
        <rFont val="Liberation Sans"/>
      </rPr>
      <t>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,R62,R71,R73,R79,</t>
    </r>
    <r>
      <rPr>
        <sz val="10"/>
        <color rgb="FFFFC000"/>
        <rFont val="Liberation Sans"/>
        <charset val="238"/>
      </rPr>
      <t>R87</t>
    </r>
  </si>
  <si>
    <r>
      <t>R11,R14,R17,R20,R35,R36,R37,R38,R43,R48,R49,R52,</t>
    </r>
    <r>
      <rPr>
        <sz val="10"/>
        <color rgb="FFFFC000"/>
        <rFont val="Liberation Sans"/>
        <charset val="238"/>
      </rPr>
      <t>R55</t>
    </r>
    <r>
      <rPr>
        <sz val="10"/>
        <color rgb="FF000000"/>
        <rFont val="Liberation Sans"/>
      </rPr>
      <t>,R56,R70,R75</t>
    </r>
  </si>
  <si>
    <t>Note! Do not use stock cam/crank low resistance sensors (below 500R) as they are not compatible with Speeduino and this board. They are often market as VR-inductance sensors, but they do not output sine wave but change in frequency based on input from stock siemens ECU.</t>
  </si>
  <si>
    <t>Rev2.2 onwards allows 6-cyl sequential injection and in order to run 6 cyl sequential 202008 or later speeduino FW is needed. </t>
  </si>
  <si>
    <t>If sensors require pull-up resistor, the R39 is used for that for crank and R40 is for cam.</t>
  </si>
  <si>
    <t>ALSO NOTE that do not install the vr-conditioner when hall sensor(s) are used.</t>
  </si>
  <si>
    <t>SJ5 and SJ6 are used to power optional hall sensors with 5v or 12v. Do not use these with VR conditioner!</t>
  </si>
  <si>
    <t>In rev 2.2 the power will be sent to pin1 in the sensor connector. Pin 2 will be signal and pin 3 is ground.</t>
  </si>
  <si>
    <t>In addition to that R59 and R60 need to be added to get the signal to processor when VR-conditioner is not used.</t>
  </si>
  <si>
    <t>Classic speeduino dual vr conditioner based on max chip</t>
  </si>
  <si>
    <t>CONN HEADER .100" SNGL STR 4POS, female 2.54" pitch socket for BT and VR-con</t>
  </si>
  <si>
    <t>CONN HEADER .100" SNGL STR 40POS, female 2.54" pitch socket for Arduino</t>
  </si>
  <si>
    <r>
      <t>C19,</t>
    </r>
    <r>
      <rPr>
        <sz val="10"/>
        <color rgb="FFFF0000"/>
        <rFont val="Liberation Sans"/>
      </rPr>
      <t>C27</t>
    </r>
    <r>
      <rPr>
        <sz val="10"/>
        <color theme="1"/>
        <rFont val="Liberation Sans"/>
      </rPr>
      <t>,C32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</si>
</sst>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FF0000"/>
      <name val="Liberation Sans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rgb="FFFFC000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1" xfId="54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15" fillId="8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Font="1"/>
  </cellXfs>
  <cellStyles count="55">
    <cellStyle name="Hypertextové prepojenie" xfId="54" builtinId="8"/>
    <cellStyle name="Normálna" xfId="0" builtinId="0"/>
    <cellStyle name="Použité hypertextové prepojenie" xfId="1" builtinId="9" hidden="1"/>
    <cellStyle name="Použité hypertextové prepojenie" xfId="2" builtinId="9" hidden="1"/>
    <cellStyle name="Použité hypertextové prepojenie" xfId="3" builtinId="9" hidden="1"/>
    <cellStyle name="Použité hypertextové prepojenie" xfId="4" builtinId="9" hidden="1"/>
    <cellStyle name="Použité hypertextové prepojenie" xfId="5" builtinId="9" hidden="1"/>
    <cellStyle name="Použité hypertextové prepojenie" xfId="6" builtinId="9" hidden="1"/>
    <cellStyle name="Použité hypertextové prepojenie" xfId="7" builtinId="9" hidden="1"/>
    <cellStyle name="Použité hypertextové prepojenie" xfId="8" builtinId="9" hidden="1"/>
    <cellStyle name="Použité hypertextové prepojenie" xfId="9" builtinId="9" hidden="1"/>
    <cellStyle name="Použité hypertextové prepojenie" xfId="10" builtinId="9" hidden="1"/>
    <cellStyle name="Použité hypertextové prepojenie" xfId="11" builtinId="9" hidden="1"/>
    <cellStyle name="Použité hypertextové prepojenie" xfId="12" builtinId="9" hidden="1"/>
    <cellStyle name="Použité hypertextové prepojenie" xfId="13" builtinId="9" hidden="1"/>
    <cellStyle name="Použité hypertextové prepojenie" xfId="14" builtinId="9" hidden="1"/>
    <cellStyle name="Použité hypertextové prepojenie" xfId="15" builtinId="9" hidden="1"/>
    <cellStyle name="Použité hypertextové prepojenie" xfId="16" builtinId="9" hidden="1"/>
    <cellStyle name="Použité hypertextové prepojenie" xfId="17" builtinId="9" hidden="1"/>
    <cellStyle name="Použité hypertextové prepojenie" xfId="18" builtinId="9" hidden="1"/>
    <cellStyle name="Použité hypertextové prepojenie" xfId="19" builtinId="9" hidden="1"/>
    <cellStyle name="Použité hypertextové prepojenie" xfId="20" builtinId="9" hidden="1"/>
    <cellStyle name="Použité hypertextové prepojenie" xfId="21" builtinId="9" hidden="1"/>
    <cellStyle name="Použité hypertextové prepojenie" xfId="22" builtinId="9" hidden="1"/>
    <cellStyle name="Použité hypertextové prepojenie" xfId="23" builtinId="9" hidden="1"/>
    <cellStyle name="Použité hypertextové prepojenie" xfId="24" builtinId="9" hidden="1"/>
    <cellStyle name="Použité hypertextové prepojenie" xfId="25" builtinId="9" hidden="1"/>
    <cellStyle name="Použité hypertextové prepojenie" xfId="26" builtinId="9" hidden="1"/>
    <cellStyle name="Použité hypertextové prepojenie" xfId="27" builtinId="9" hidden="1"/>
    <cellStyle name="Použité hypertextové prepojenie" xfId="28" builtinId="9" hidden="1"/>
    <cellStyle name="Použité hypertextové prepojenie" xfId="29" builtinId="9" hidden="1"/>
    <cellStyle name="Použité hypertextové prepojenie" xfId="30" builtinId="9" hidden="1"/>
    <cellStyle name="Použité hypertextové prepojenie" xfId="31" builtinId="9" hidden="1"/>
    <cellStyle name="Použité hypertextové prepojenie" xfId="32" builtinId="9" hidden="1"/>
    <cellStyle name="Použité hypertextové prepojenie" xfId="33" builtinId="9" hidden="1"/>
    <cellStyle name="Použité hypertextové prepojenie" xfId="34" builtinId="9" hidden="1"/>
    <cellStyle name="Použité hypertextové prepojenie" xfId="35" builtinId="9" hidden="1"/>
    <cellStyle name="Použité hypertextové prepojenie" xfId="36" builtinId="9" hidden="1"/>
    <cellStyle name="Použité hypertextové prepojenie" xfId="37" builtinId="9" hidden="1"/>
    <cellStyle name="Použité hypertextové prepojenie" xfId="38" builtinId="9" hidden="1"/>
    <cellStyle name="Použité hypertextové prepojenie" xfId="39" builtinId="9" hidden="1"/>
    <cellStyle name="Použité hypertextové prepojenie" xfId="40" builtinId="9" hidden="1"/>
    <cellStyle name="Použité hypertextové prepojenie" xfId="41" builtinId="9" hidden="1"/>
    <cellStyle name="Použité hypertextové prepojenie" xfId="42" builtinId="9" hidden="1"/>
    <cellStyle name="Použité hypertextové prepojenie" xfId="43" builtinId="9" hidden="1"/>
    <cellStyle name="Použité hypertextové prepojenie" xfId="44" builtinId="9" hidden="1"/>
    <cellStyle name="Použité hypertextové prepojenie" xfId="45" builtinId="9" hidden="1"/>
    <cellStyle name="Použité hypertextové prepojenie" xfId="46" builtinId="9" hidden="1"/>
    <cellStyle name="Použité hypertextové prepojenie" xfId="47" builtinId="9" hidden="1"/>
    <cellStyle name="Použité hypertextové prepojenie" xfId="48" builtinId="9" hidden="1"/>
    <cellStyle name="Použité hypertextové prepojenie" xfId="49" builtinId="9" hidden="1"/>
    <cellStyle name="Použité hypertextové prepojenie" xfId="50" builtinId="9" hidden="1"/>
    <cellStyle name="Použité hypertextové prepojenie" xfId="51" builtinId="9" hidden="1"/>
    <cellStyle name="Použité hypertextové prepojenie" xfId="52" builtinId="9" hidden="1"/>
    <cellStyle name="Použité hypertextové prepojenie" xfId="5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s://diy-efi.co.uk/product/tinywb_module" TargetMode="Externa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3"/>
  <sheetViews>
    <sheetView tabSelected="1" topLeftCell="A46" zoomScaleNormal="100" workbookViewId="0">
      <selection activeCell="D70" sqref="D70"/>
    </sheetView>
  </sheetViews>
  <sheetFormatPr defaultColWidth="11" defaultRowHeight="15.75"/>
  <cols>
    <col min="1" max="1" width="7.625" style="15" bestFit="1" customWidth="1"/>
    <col min="2" max="2" width="46.37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3" t="s">
        <v>114</v>
      </c>
      <c r="B1" s="1" t="s">
        <v>115</v>
      </c>
      <c r="C1" s="1" t="s">
        <v>0</v>
      </c>
      <c r="D1" s="1" t="s">
        <v>1</v>
      </c>
      <c r="E1" s="1" t="s">
        <v>2</v>
      </c>
      <c r="F1" s="1" t="s">
        <v>91</v>
      </c>
      <c r="G1" s="1" t="s">
        <v>3</v>
      </c>
      <c r="H1" s="1" t="s">
        <v>4</v>
      </c>
      <c r="I1" s="1" t="s">
        <v>5</v>
      </c>
      <c r="J1" s="1" t="s">
        <v>118</v>
      </c>
      <c r="K1" s="1" t="s">
        <v>119</v>
      </c>
      <c r="L1" s="1" t="s">
        <v>120</v>
      </c>
      <c r="M1" s="1" t="s">
        <v>139</v>
      </c>
      <c r="N1" s="1" t="s">
        <v>140</v>
      </c>
      <c r="O1" s="1" t="s">
        <v>6</v>
      </c>
      <c r="P1" s="17" t="s">
        <v>116</v>
      </c>
      <c r="Q1" s="17" t="s">
        <v>83</v>
      </c>
      <c r="R1" s="17" t="s">
        <v>117</v>
      </c>
    </row>
    <row r="2" spans="1:19" ht="16.5" thickBot="1">
      <c r="A2" s="14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6">
        <f>LEN(B3)-LEN(SUBSTITUTE(B3,",",""))+1</f>
        <v>1</v>
      </c>
      <c r="B3" s="4" t="s">
        <v>63</v>
      </c>
      <c r="C3" s="3" t="s">
        <v>7</v>
      </c>
      <c r="D3" s="3" t="s">
        <v>102</v>
      </c>
      <c r="E3" s="3" t="s">
        <v>8</v>
      </c>
      <c r="F3" s="3"/>
      <c r="G3" s="3" t="s">
        <v>12</v>
      </c>
      <c r="H3" s="3" t="s">
        <v>103</v>
      </c>
      <c r="I3" s="2" t="s">
        <v>104</v>
      </c>
      <c r="J3" s="2" t="s">
        <v>124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6">
        <f>LEN(B4)-LEN(SUBSTITUTE(B4,",",""))+1</f>
        <v>5</v>
      </c>
      <c r="B4" s="4" t="s">
        <v>182</v>
      </c>
      <c r="C4" s="3" t="s">
        <v>10</v>
      </c>
      <c r="D4" s="2" t="s">
        <v>101</v>
      </c>
      <c r="E4" s="3" t="s">
        <v>11</v>
      </c>
      <c r="F4" s="3"/>
      <c r="G4" s="3" t="s">
        <v>12</v>
      </c>
      <c r="H4" s="3" t="s">
        <v>155</v>
      </c>
      <c r="I4" s="2" t="s">
        <v>156</v>
      </c>
      <c r="J4" s="2" t="s">
        <v>157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6">
        <f>LEN(B5)-LEN(SUBSTITUTE(B5,",",""))+1</f>
        <v>11</v>
      </c>
      <c r="B5" s="4" t="s">
        <v>291</v>
      </c>
      <c r="C5" s="3" t="s">
        <v>13</v>
      </c>
      <c r="D5" s="3" t="s">
        <v>98</v>
      </c>
      <c r="E5" s="3" t="s">
        <v>11</v>
      </c>
      <c r="F5" s="3"/>
      <c r="G5" s="3" t="s">
        <v>12</v>
      </c>
      <c r="H5" s="3" t="s">
        <v>99</v>
      </c>
      <c r="I5" s="2" t="s">
        <v>100</v>
      </c>
      <c r="J5" s="2" t="s">
        <v>125</v>
      </c>
      <c r="K5" s="5">
        <v>0.32</v>
      </c>
      <c r="L5" s="5">
        <v>0.32</v>
      </c>
      <c r="M5" s="6">
        <f>K5*A5</f>
        <v>3.52</v>
      </c>
      <c r="N5" s="6">
        <f>L5*A5</f>
        <v>3.52</v>
      </c>
      <c r="O5" s="4"/>
      <c r="P5" s="4" t="str">
        <f>IF(NOT(I5=""),A5&amp;","&amp;I5,"")</f>
        <v>11,399-9879-1-ND</v>
      </c>
      <c r="Q5" t="str">
        <f>"Capacitor - " &amp;A5&amp;"x "&amp;C5</f>
        <v>Capacitor - 11x 0.1uF / 100nF</v>
      </c>
      <c r="R5" t="str">
        <f>IF(NOT(J5=""),J5&amp;"|"&amp;A5,"")</f>
        <v>80-C322C104M5R-TR|11</v>
      </c>
      <c r="S5" t="str">
        <f>H5&amp;" "&amp;A5</f>
        <v>C322C104M5R5TA7301 11</v>
      </c>
    </row>
    <row r="6" spans="1:19" ht="16.5" thickBot="1">
      <c r="A6" s="16">
        <f>LEN(B6)-LEN(SUBSTITUTE(B6,",",""))+1</f>
        <v>1</v>
      </c>
      <c r="B6" s="4" t="s">
        <v>64</v>
      </c>
      <c r="C6" s="3" t="s">
        <v>14</v>
      </c>
      <c r="D6" s="3" t="s">
        <v>105</v>
      </c>
      <c r="E6" s="3" t="s">
        <v>8</v>
      </c>
      <c r="F6" s="3"/>
      <c r="G6" s="3" t="s">
        <v>12</v>
      </c>
      <c r="H6" s="3" t="s">
        <v>106</v>
      </c>
      <c r="I6" s="2" t="s">
        <v>107</v>
      </c>
      <c r="J6" s="2" t="s">
        <v>126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6">
        <f t="shared" ref="A7:A10" si="0">LEN(B7)-LEN(SUBSTITUTE(B7,",",""))+1</f>
        <v>2</v>
      </c>
      <c r="B7" s="4" t="s">
        <v>266</v>
      </c>
      <c r="C7" s="3" t="s">
        <v>15</v>
      </c>
      <c r="D7" s="2" t="s">
        <v>110</v>
      </c>
      <c r="E7" s="3" t="s">
        <v>11</v>
      </c>
      <c r="F7" s="3"/>
      <c r="G7" s="3" t="s">
        <v>9</v>
      </c>
      <c r="H7" s="3" t="s">
        <v>108</v>
      </c>
      <c r="I7" s="2" t="s">
        <v>109</v>
      </c>
      <c r="J7" s="2" t="s">
        <v>127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6">
        <f t="shared" si="0"/>
        <v>3</v>
      </c>
      <c r="B8" s="4" t="s">
        <v>309</v>
      </c>
      <c r="C8" s="3" t="s">
        <v>16</v>
      </c>
      <c r="D8" s="2" t="s">
        <v>111</v>
      </c>
      <c r="E8" s="3" t="s">
        <v>11</v>
      </c>
      <c r="F8" s="3"/>
      <c r="G8" s="3" t="s">
        <v>12</v>
      </c>
      <c r="H8" s="3" t="s">
        <v>112</v>
      </c>
      <c r="I8" s="2" t="s">
        <v>113</v>
      </c>
      <c r="J8" s="2" t="s">
        <v>128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6">
        <f t="shared" si="0"/>
        <v>5</v>
      </c>
      <c r="B9" s="4" t="s">
        <v>237</v>
      </c>
      <c r="C9" s="3" t="s">
        <v>17</v>
      </c>
      <c r="D9" s="3" t="s">
        <v>95</v>
      </c>
      <c r="E9" s="3" t="s">
        <v>11</v>
      </c>
      <c r="F9" s="3"/>
      <c r="G9" s="3" t="s">
        <v>12</v>
      </c>
      <c r="H9" s="3" t="s">
        <v>96</v>
      </c>
      <c r="I9" s="2" t="s">
        <v>97</v>
      </c>
      <c r="J9" s="2" t="s">
        <v>129</v>
      </c>
      <c r="K9" s="5">
        <v>0.66</v>
      </c>
      <c r="L9" s="5">
        <v>0.66</v>
      </c>
      <c r="M9" s="6">
        <f>K9*A9</f>
        <v>3.3000000000000003</v>
      </c>
      <c r="N9" s="6">
        <f>L9*A9</f>
        <v>3.3000000000000003</v>
      </c>
      <c r="O9" s="4"/>
      <c r="P9" s="4" t="str">
        <f>IF(NOT(I9=""),A9&amp;","&amp;I9,"")</f>
        <v>5,399-4390-ND</v>
      </c>
      <c r="Q9" t="str">
        <f>"Capacitor - " &amp;A9&amp;"x "&amp;C9</f>
        <v>Capacitor - 5x 1uF</v>
      </c>
      <c r="R9" t="str">
        <f>IF(NOT(J9=""),J9&amp;"|"&amp;A9,"")</f>
        <v>80-C330C105M5U|5</v>
      </c>
      <c r="S9" t="str">
        <f>H9&amp;" "&amp;A9</f>
        <v>C330C105M5U5TA 5</v>
      </c>
    </row>
    <row r="10" spans="1:19" ht="16.5" thickBot="1">
      <c r="A10" s="16">
        <f t="shared" si="0"/>
        <v>1</v>
      </c>
      <c r="B10" s="4" t="s">
        <v>267</v>
      </c>
      <c r="C10" s="3" t="s">
        <v>217</v>
      </c>
      <c r="D10" s="3" t="s">
        <v>219</v>
      </c>
      <c r="E10" s="3" t="s">
        <v>11</v>
      </c>
      <c r="F10" s="3"/>
      <c r="G10" s="3" t="s">
        <v>9</v>
      </c>
      <c r="H10" s="3" t="s">
        <v>218</v>
      </c>
      <c r="I10" s="2" t="s">
        <v>221</v>
      </c>
      <c r="J10" s="28" t="s">
        <v>220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6">
        <f>LEN(B11)-LEN(SUBSTITUTE(B11,",",""))+1</f>
        <v>1</v>
      </c>
      <c r="B11" s="4" t="s">
        <v>76</v>
      </c>
      <c r="C11" s="3" t="s">
        <v>77</v>
      </c>
      <c r="D11" s="3" t="s">
        <v>80</v>
      </c>
      <c r="E11" s="3" t="s">
        <v>11</v>
      </c>
      <c r="F11" s="3"/>
      <c r="G11" s="3" t="s">
        <v>12</v>
      </c>
      <c r="H11" s="3" t="s">
        <v>79</v>
      </c>
      <c r="I11" s="2" t="s">
        <v>78</v>
      </c>
      <c r="J11" s="2" t="s">
        <v>130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4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21" customHeight="1" thickBot="1">
      <c r="A13" s="16">
        <f>LEN(B13)-LEN(SUBSTITUTE(B13,",",""))+1</f>
        <v>4</v>
      </c>
      <c r="B13" s="4" t="s">
        <v>290</v>
      </c>
      <c r="C13" s="3" t="s">
        <v>85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143</v>
      </c>
      <c r="K13" s="5">
        <v>0.34</v>
      </c>
      <c r="L13" s="5">
        <v>0.43</v>
      </c>
      <c r="M13" s="6">
        <f>K13*A13</f>
        <v>1.36</v>
      </c>
      <c r="N13" s="6">
        <f>L13*A13</f>
        <v>1.72</v>
      </c>
      <c r="O13" s="4"/>
      <c r="P13" s="4" t="str">
        <f>IF(NOT(I13=""),A13&amp;","&amp;I13,"")</f>
        <v>4,1N5919BGOS-ND</v>
      </c>
      <c r="Q13" t="str">
        <f>"Diode - " &amp;A13&amp;"x "&amp;C13</f>
        <v>Diode - 4x 1N5919BG Zener</v>
      </c>
      <c r="R13" t="str">
        <f>IF(NOT(J13=""),J13&amp;"|"&amp;A13,"")</f>
        <v>863-1N5919BRLG|4</v>
      </c>
      <c r="S13" t="str">
        <f>H13&amp;" "&amp;A13</f>
        <v>1N5919BG 4</v>
      </c>
    </row>
    <row r="14" spans="1:19" ht="26.25" thickBot="1">
      <c r="A14" s="16">
        <f>LEN(B14)-LEN(SUBSTITUTE(B14,",",""))+1</f>
        <v>3</v>
      </c>
      <c r="B14" s="4" t="s">
        <v>200</v>
      </c>
      <c r="C14" s="3" t="s">
        <v>86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131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26.25" thickBot="1">
      <c r="A15" s="16">
        <f>LEN(B15)-LEN(SUBSTITUTE(B15,",",""))+1</f>
        <v>12</v>
      </c>
      <c r="B15" s="4" t="s">
        <v>223</v>
      </c>
      <c r="C15" s="3" t="s">
        <v>27</v>
      </c>
      <c r="D15" s="3" t="s">
        <v>70</v>
      </c>
      <c r="E15" s="3" t="s">
        <v>65</v>
      </c>
      <c r="F15" s="3"/>
      <c r="G15" s="3"/>
      <c r="H15" s="3" t="s">
        <v>146</v>
      </c>
      <c r="I15" s="2" t="s">
        <v>71</v>
      </c>
      <c r="J15" s="2" t="s">
        <v>141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>IF(NOT(I15=""),A15&amp;","&amp;I15,"")</f>
        <v>12,160-1139-ND</v>
      </c>
      <c r="Q15" t="str">
        <f>"Diode - " &amp;A15&amp;"x "&amp;C15</f>
        <v>Diode - 12x LED-Red</v>
      </c>
      <c r="R15" t="str">
        <f>IF(NOT(J15=""),J15&amp;"|"&amp;A15,"")</f>
        <v>859-LTL-4221N|12</v>
      </c>
      <c r="S15" t="str">
        <f>H15&amp;" "&amp;A15</f>
        <v>LTL-4221N 12</v>
      </c>
    </row>
    <row r="16" spans="1:19" ht="26.25" thickBot="1">
      <c r="A16" s="16">
        <f>LEN(B16)-LEN(SUBSTITUTE(B16,",",""))+1</f>
        <v>12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132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>IF(NOT(I16=""),A16&amp;","&amp;I16,"")</f>
        <v>12,1N4004-TPMSCT-ND</v>
      </c>
      <c r="Q16" t="str">
        <f>"Diode - " &amp;A16&amp;"x "&amp;C16</f>
        <v>Diode - 12x 1N4004</v>
      </c>
      <c r="R16" t="str">
        <f>IF(NOT(J16=""),J16&amp;"|"&amp;A16,"")</f>
        <v>833-1N4004-TP|12</v>
      </c>
      <c r="S16" t="str">
        <f>H16&amp;" "&amp;A16</f>
        <v>1N4004-TP 12</v>
      </c>
    </row>
    <row r="17" spans="1:19" ht="16.5" thickBot="1">
      <c r="A17" s="14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6">
        <v>1</v>
      </c>
      <c r="B18" s="4" t="s">
        <v>69</v>
      </c>
      <c r="C18" s="3" t="s">
        <v>32</v>
      </c>
      <c r="D18" s="3" t="s">
        <v>284</v>
      </c>
      <c r="E18" s="3" t="s">
        <v>33</v>
      </c>
      <c r="F18" s="3"/>
      <c r="G18" s="3" t="s">
        <v>34</v>
      </c>
      <c r="H18" s="3" t="s">
        <v>35</v>
      </c>
      <c r="I18" s="2" t="s">
        <v>36</v>
      </c>
      <c r="J18" s="2" t="s">
        <v>133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4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6">
        <v>4</v>
      </c>
      <c r="B20" s="4" t="s">
        <v>68</v>
      </c>
      <c r="C20" s="3" t="s">
        <v>81</v>
      </c>
      <c r="D20" s="3" t="s">
        <v>308</v>
      </c>
      <c r="E20" s="3"/>
      <c r="F20" s="3"/>
      <c r="G20" s="3" t="s">
        <v>75</v>
      </c>
      <c r="H20" s="3" t="s">
        <v>159</v>
      </c>
      <c r="I20" s="2" t="s">
        <v>74</v>
      </c>
      <c r="J20" s="2" t="s">
        <v>160</v>
      </c>
      <c r="K20" s="6">
        <v>0.56000000000000005</v>
      </c>
      <c r="L20" s="20">
        <v>2.95</v>
      </c>
      <c r="M20" s="6">
        <f>K20*A20</f>
        <v>2.2400000000000002</v>
      </c>
      <c r="N20" s="6">
        <f>L20*A20</f>
        <v>11.8</v>
      </c>
      <c r="O20" s="4" t="s">
        <v>142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6">
        <v>1</v>
      </c>
      <c r="B21" s="4" t="s">
        <v>285</v>
      </c>
      <c r="C21" s="3" t="s">
        <v>286</v>
      </c>
      <c r="D21" s="3"/>
      <c r="E21" s="3"/>
      <c r="F21" s="3"/>
      <c r="G21" s="3"/>
      <c r="H21" s="21"/>
      <c r="I21" s="24"/>
      <c r="J21" s="2"/>
      <c r="K21" s="6"/>
      <c r="L21" s="22"/>
      <c r="M21" s="6"/>
      <c r="N21" s="6"/>
      <c r="O21" s="4"/>
      <c r="P21" s="4"/>
    </row>
    <row r="22" spans="1:19" ht="26.25" thickBot="1">
      <c r="A22" s="16">
        <v>1</v>
      </c>
      <c r="B22" s="4" t="s">
        <v>183</v>
      </c>
      <c r="C22" s="3" t="s">
        <v>173</v>
      </c>
      <c r="D22" s="3" t="s">
        <v>307</v>
      </c>
      <c r="E22" s="3"/>
      <c r="F22" s="3"/>
      <c r="G22" s="3" t="s">
        <v>184</v>
      </c>
      <c r="H22" s="21" t="s">
        <v>185</v>
      </c>
      <c r="I22" s="24" t="s">
        <v>187</v>
      </c>
      <c r="J22" s="2" t="s">
        <v>186</v>
      </c>
      <c r="K22" s="6">
        <v>0.38</v>
      </c>
      <c r="L22" s="22">
        <v>0.76</v>
      </c>
      <c r="M22" s="6">
        <f>K22*A22</f>
        <v>0.38</v>
      </c>
      <c r="N22" s="6">
        <f>L22*A22</f>
        <v>0.76</v>
      </c>
      <c r="O22" s="4"/>
      <c r="P22" s="4" t="str">
        <f>IF(NOT(I22=""),A22&amp;","&amp;I22,"")</f>
        <v>1,SAM1213-04-ND</v>
      </c>
      <c r="Q22" t="str">
        <f>A22&amp;"x "&amp;C22</f>
        <v>1x 4 POS Header</v>
      </c>
      <c r="R22" t="str">
        <f>IF(NOT(J22=""),J22&amp;"|"&amp;A22,"")</f>
        <v>200-SSW10401TS|1</v>
      </c>
      <c r="S22" t="str">
        <f>H22&amp;" "&amp;A22</f>
        <v>SSW-104-01-T-S 1</v>
      </c>
    </row>
    <row r="23" spans="1:19" ht="16.5" thickBot="1">
      <c r="A23" s="14"/>
      <c r="B23" s="4"/>
      <c r="C23" s="3"/>
      <c r="D23" s="3"/>
      <c r="E23" s="3"/>
      <c r="F23" s="3"/>
      <c r="G23" s="3"/>
      <c r="H23" s="3"/>
      <c r="I23" s="2"/>
      <c r="J23" s="2"/>
      <c r="K23" s="3"/>
      <c r="L23" s="3"/>
      <c r="M23" s="6"/>
      <c r="N23" s="6"/>
      <c r="O23" s="4"/>
      <c r="P23" s="4" t="str">
        <f>IF(NOT(I23=""),A23&amp;","&amp;I23,"")</f>
        <v/>
      </c>
      <c r="R23" t="str">
        <f>IF(NOT(J23=""),J23&amp;"|"&amp;A23,"")</f>
        <v/>
      </c>
      <c r="S23" t="str">
        <f>H23&amp;" "&amp;A23</f>
        <v xml:space="preserve"> </v>
      </c>
    </row>
    <row r="24" spans="1:19" ht="26.25" thickBot="1">
      <c r="A24" s="16">
        <f>LEN(B24)-LEN(SUBSTITUTE(B24,",",""))+1</f>
        <v>6</v>
      </c>
      <c r="B24" s="4" t="s">
        <v>238</v>
      </c>
      <c r="C24" s="3" t="s">
        <v>82</v>
      </c>
      <c r="D24" s="3" t="s">
        <v>279</v>
      </c>
      <c r="E24" s="3" t="s">
        <v>60</v>
      </c>
      <c r="F24" s="3"/>
      <c r="G24" s="3"/>
      <c r="H24" s="3" t="s">
        <v>278</v>
      </c>
      <c r="I24" s="2" t="s">
        <v>158</v>
      </c>
      <c r="J24" s="2" t="s">
        <v>134</v>
      </c>
      <c r="K24" s="6">
        <v>1.51</v>
      </c>
      <c r="L24" s="6">
        <v>1.51</v>
      </c>
      <c r="M24" s="6">
        <f>K24*A24</f>
        <v>9.06</v>
      </c>
      <c r="N24" s="6">
        <f>L24*A24</f>
        <v>9.06</v>
      </c>
      <c r="O24" s="4"/>
      <c r="P24" s="4" t="str">
        <f>IF(NOT(I24=""),A24&amp;","&amp;I24,"")</f>
        <v>6,497-5981-5-ND</v>
      </c>
      <c r="Q24" t="str">
        <f>A24&amp;"x "&amp;C24</f>
        <v>6x 62A MOSFET N-CH</v>
      </c>
      <c r="R24" t="str">
        <f>IF(NOT(J24=""),J24&amp;"|"&amp;A24,"")</f>
        <v>511-STP62NS04Z|6</v>
      </c>
      <c r="S24" t="str">
        <f>H24&amp;" "&amp;A24</f>
        <v>IRF3205 or STP75NS04Z 6</v>
      </c>
    </row>
    <row r="25" spans="1:19" ht="26.25" thickBot="1">
      <c r="A25" s="16">
        <f>LEN(B25)-LEN(SUBSTITUTE(B25,",",""))+1</f>
        <v>6</v>
      </c>
      <c r="B25" s="4" t="s">
        <v>167</v>
      </c>
      <c r="C25" s="3" t="s">
        <v>168</v>
      </c>
      <c r="D25" s="3" t="s">
        <v>169</v>
      </c>
      <c r="E25" s="3" t="s">
        <v>170</v>
      </c>
      <c r="F25" s="3"/>
      <c r="G25" s="3" t="s">
        <v>20</v>
      </c>
      <c r="H25" s="3" t="s">
        <v>171</v>
      </c>
      <c r="I25" s="23" t="s">
        <v>180</v>
      </c>
      <c r="J25" s="2" t="s">
        <v>172</v>
      </c>
      <c r="K25" s="6">
        <v>2.62</v>
      </c>
      <c r="L25" s="6">
        <v>2.9</v>
      </c>
      <c r="M25" s="6">
        <f>K25*A25</f>
        <v>15.72</v>
      </c>
      <c r="N25" s="6">
        <f>L25*A25</f>
        <v>17.399999999999999</v>
      </c>
      <c r="O25" s="4"/>
      <c r="P25" s="4" t="str">
        <f>IF(NOT(I25=""),A25&amp;","&amp;I25,"")</f>
        <v>6,ISL9V5036P3-F085-ND</v>
      </c>
      <c r="Q25" t="str">
        <f>A25&amp;"x "&amp;C25</f>
        <v>6x Ignition IGBT</v>
      </c>
      <c r="R25" t="str">
        <f>IF(NOT(J25=""),J25&amp;"|"&amp;A25,"")</f>
        <v>512-ISL9V5036P3-F085
|6</v>
      </c>
      <c r="S25" t="str">
        <f>H25&amp;" "&amp;A25</f>
        <v>ISL9V5036P3-F085 6</v>
      </c>
    </row>
    <row r="26" spans="1:19" ht="16.5" thickBot="1">
      <c r="A26" s="16">
        <f>LEN(B26)-LEN(SUBSTITUTE(B26,",",""))+1</f>
        <v>1</v>
      </c>
      <c r="B26" s="26" t="s">
        <v>201</v>
      </c>
      <c r="C26" s="3" t="s">
        <v>202</v>
      </c>
      <c r="D26" s="3" t="s">
        <v>203</v>
      </c>
      <c r="E26" s="3" t="s">
        <v>177</v>
      </c>
      <c r="F26" s="3"/>
      <c r="G26" s="3" t="s">
        <v>20</v>
      </c>
      <c r="H26" s="3" t="s">
        <v>204</v>
      </c>
      <c r="I26" s="24" t="s">
        <v>206</v>
      </c>
      <c r="J26" s="2" t="s">
        <v>205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IF(NOT(I26=""),A26&amp;","&amp;I26,"")</f>
        <v>1,PN2907ABUFS-ND</v>
      </c>
      <c r="Q26" t="str">
        <f>A26&amp;"x "&amp;C26</f>
        <v>1x PNP transistor</v>
      </c>
      <c r="R26" t="str">
        <f>IF(NOT(J26=""),J26&amp;"|"&amp;A26,"")</f>
        <v>512-PN2907ABU|1</v>
      </c>
      <c r="S26" t="str">
        <f>H26&amp;" "&amp;A26</f>
        <v>PN2907ABU 1</v>
      </c>
    </row>
    <row r="27" spans="1:19" ht="16.5" thickBot="1">
      <c r="A27" s="16">
        <f>LEN(B27)-LEN(SUBSTITUTE(B27,",",""))+1</f>
        <v>1</v>
      </c>
      <c r="B27" s="4" t="s">
        <v>188</v>
      </c>
      <c r="C27" s="3" t="s">
        <v>176</v>
      </c>
      <c r="D27" s="3" t="s">
        <v>175</v>
      </c>
      <c r="E27" s="3" t="s">
        <v>177</v>
      </c>
      <c r="F27" s="3"/>
      <c r="G27" s="3" t="s">
        <v>20</v>
      </c>
      <c r="H27" s="3" t="s">
        <v>178</v>
      </c>
      <c r="I27" s="24" t="s">
        <v>181</v>
      </c>
      <c r="J27" s="2" t="s">
        <v>179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>IF(NOT(I27=""),A27&amp;","&amp;I27,"")</f>
        <v>1,PN2222AFS-ND</v>
      </c>
      <c r="Q27" t="str">
        <f>A27&amp;"x "&amp;C27</f>
        <v>1x NPN transistor</v>
      </c>
      <c r="R27" t="str">
        <f>IF(NOT(J27=""),J27&amp;"|"&amp;A27,"")</f>
        <v>512-PN2222ABU|1</v>
      </c>
      <c r="S27" t="str">
        <f>H27&amp;" "&amp;A27</f>
        <v>PN2222ABU 1</v>
      </c>
    </row>
    <row r="28" spans="1:19" ht="16.5" thickBot="1">
      <c r="A28" s="14"/>
      <c r="B28" s="4"/>
      <c r="C28" s="3"/>
      <c r="D28" s="3"/>
      <c r="E28" s="3"/>
      <c r="F28" s="3"/>
      <c r="G28" s="3"/>
      <c r="K28" s="3"/>
      <c r="L28" s="3"/>
      <c r="M28" s="3"/>
      <c r="N28" s="6"/>
      <c r="O28" s="4"/>
      <c r="P28" s="4"/>
    </row>
    <row r="29" spans="1:19" ht="16.5" thickBot="1">
      <c r="A29" s="16">
        <f>LEN(B29)-LEN(SUBSTITUTE(B29,",",""))+1</f>
        <v>1</v>
      </c>
      <c r="B29" s="4" t="s">
        <v>154</v>
      </c>
      <c r="C29" s="3" t="s">
        <v>38</v>
      </c>
      <c r="D29" s="3" t="s">
        <v>39</v>
      </c>
      <c r="E29" s="3"/>
      <c r="F29" s="3"/>
      <c r="G29" s="3" t="s">
        <v>40</v>
      </c>
      <c r="H29" s="3" t="s">
        <v>148</v>
      </c>
      <c r="I29" s="2" t="s">
        <v>41</v>
      </c>
      <c r="J29" s="2" t="s">
        <v>189</v>
      </c>
      <c r="K29" s="5">
        <v>0.08</v>
      </c>
      <c r="L29" s="5">
        <v>0.11</v>
      </c>
      <c r="M29" s="6">
        <f>K29*A29</f>
        <v>0.08</v>
      </c>
      <c r="N29" s="6">
        <f>L29*A29</f>
        <v>0.11</v>
      </c>
      <c r="O29" s="4"/>
      <c r="P29" s="4" t="str">
        <f>IF(NOT(I29=""),A29&amp;","&amp;I29,"")</f>
        <v>1,10.0KXBK-ND</v>
      </c>
      <c r="Q29" t="str">
        <f>"Resistor - " &amp; A29&amp;"x "&amp;C29</f>
        <v>Resistor - 1x 10k</v>
      </c>
      <c r="R29" t="str">
        <f>IF(NOT(J29=""),J29&amp;"|"&amp;A29,"")</f>
        <v>603-MFR-25FBF52-10K|1</v>
      </c>
      <c r="S29" t="str">
        <f>H29&amp;" "&amp;A29</f>
        <v>MFR-25FBF52-10K 1</v>
      </c>
    </row>
    <row r="30" spans="1:19" ht="16.5" thickBot="1">
      <c r="A30" s="16">
        <f>LEN(B30)-LEN(SUBSTITUTE(B30,",",""))+1</f>
        <v>6</v>
      </c>
      <c r="B30" s="10" t="s">
        <v>225</v>
      </c>
      <c r="C30" s="33">
        <v>680</v>
      </c>
      <c r="D30" s="35" t="s">
        <v>93</v>
      </c>
      <c r="E30" s="11"/>
      <c r="F30" s="11"/>
      <c r="G30" s="11" t="s">
        <v>94</v>
      </c>
      <c r="H30" s="7" t="s">
        <v>145</v>
      </c>
      <c r="I30" s="2" t="s">
        <v>92</v>
      </c>
      <c r="J30" s="2" t="s">
        <v>136</v>
      </c>
      <c r="K30" s="12">
        <v>0.22</v>
      </c>
      <c r="L30" s="12">
        <v>0.15</v>
      </c>
      <c r="M30" s="6">
        <f>K30*A30</f>
        <v>1.32</v>
      </c>
      <c r="N30" s="6">
        <f>L30*A30</f>
        <v>0.89999999999999991</v>
      </c>
      <c r="O30" s="10" t="s">
        <v>73</v>
      </c>
      <c r="P30" s="4" t="str">
        <f>IF(NOT(I30=""),A30&amp;","&amp;I30,"")</f>
        <v>6,A105963CT-ND</v>
      </c>
      <c r="Q30" t="str">
        <f>"Resistor - " &amp; A30&amp;"x "&amp;C30</f>
        <v>Resistor - 6x 680</v>
      </c>
      <c r="R30" t="str">
        <f>IF(NOT(J30=""),J30&amp;"|"&amp;A30,"")</f>
        <v>279-LR1F680R|6</v>
      </c>
      <c r="S30" t="str">
        <f>H30&amp;" "&amp;A30</f>
        <v>1622545-1 6</v>
      </c>
    </row>
    <row r="31" spans="1:19" ht="26.25" thickBot="1">
      <c r="A31" s="16">
        <f>LEN(B31)-LEN(SUBSTITUTE(B31,",",""))+1</f>
        <v>10</v>
      </c>
      <c r="B31" s="4" t="s">
        <v>292</v>
      </c>
      <c r="C31" s="3">
        <v>470</v>
      </c>
      <c r="D31" s="34" t="s">
        <v>45</v>
      </c>
      <c r="E31" s="3"/>
      <c r="F31" s="3"/>
      <c r="G31" s="3" t="s">
        <v>46</v>
      </c>
      <c r="H31" s="7" t="s">
        <v>47</v>
      </c>
      <c r="I31" s="2" t="s">
        <v>48</v>
      </c>
      <c r="J31" s="2" t="s">
        <v>137</v>
      </c>
      <c r="K31" s="5">
        <v>0.11</v>
      </c>
      <c r="L31" s="12">
        <v>0.15</v>
      </c>
      <c r="M31" s="6">
        <f>K31*A31</f>
        <v>1.1000000000000001</v>
      </c>
      <c r="N31" s="6">
        <f>L31*A31</f>
        <v>1.5</v>
      </c>
      <c r="O31" s="4"/>
      <c r="P31" s="4" t="str">
        <f>IF(NOT(I31=""),A31&amp;","&amp;I31,"")</f>
        <v>10,RNF14FTD470RCT-ND</v>
      </c>
      <c r="Q31" t="str">
        <f>"Resistor - " &amp; A31&amp;"x "&amp;C31</f>
        <v>Resistor - 10x 470</v>
      </c>
      <c r="R31" t="str">
        <f>IF(NOT(J31=""),J31&amp;"|"&amp;A31,"")</f>
        <v>279-LR1F470R|10</v>
      </c>
      <c r="S31" t="str">
        <f>H31&amp;" "&amp;A31</f>
        <v>RNF14FTD470R 10</v>
      </c>
    </row>
    <row r="32" spans="1:19" ht="39" thickBot="1">
      <c r="A32" s="16"/>
      <c r="B32" s="31" t="s">
        <v>265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20" ht="51.75" thickBot="1">
      <c r="A33" s="16">
        <f t="shared" ref="A33" si="1">LEN(B33)-LEN(SUBSTITUTE(B33,",",""))+1</f>
        <v>24</v>
      </c>
      <c r="B33" s="4" t="s">
        <v>297</v>
      </c>
      <c r="C33" s="3" t="s">
        <v>42</v>
      </c>
      <c r="D33" s="3" t="s">
        <v>43</v>
      </c>
      <c r="E33" s="3" t="s">
        <v>43</v>
      </c>
      <c r="F33" s="3"/>
      <c r="G33" s="3" t="s">
        <v>40</v>
      </c>
      <c r="H33" s="3" t="s">
        <v>147</v>
      </c>
      <c r="I33" s="2" t="s">
        <v>44</v>
      </c>
      <c r="J33" s="2" t="s">
        <v>190</v>
      </c>
      <c r="K33" s="5">
        <v>0.06</v>
      </c>
      <c r="L33" s="5">
        <v>0.11</v>
      </c>
      <c r="M33" s="6" t="e">
        <f t="shared" ref="M33" si="2">K33*#REF!</f>
        <v>#REF!</v>
      </c>
      <c r="N33" s="6" t="e">
        <f t="shared" ref="N33" si="3">L33*#REF!</f>
        <v>#REF!</v>
      </c>
      <c r="O33" s="4"/>
      <c r="P33" s="4" t="e">
        <f t="shared" ref="P33" si="4">IF(NOT(I33=""),#REF!&amp;","&amp;I33,"")</f>
        <v>#REF!</v>
      </c>
      <c r="Q33" s="4" t="str">
        <f>IF(NOT(I33=""),A33&amp;","&amp;I33,"")</f>
        <v>24,1.00KXBK-ND</v>
      </c>
      <c r="R33" t="e">
        <f>"Resistor - " &amp;#REF!&amp;"x "&amp;D33</f>
        <v>#REF!</v>
      </c>
      <c r="S33" t="e">
        <f t="shared" ref="S33" si="5">IF(NOT(J33=""),J33&amp;"|"&amp;#REF!,"")</f>
        <v>#REF!</v>
      </c>
      <c r="T33" t="e">
        <f t="shared" ref="T33" si="6">H33&amp;" "&amp;#REF!</f>
        <v>#REF!</v>
      </c>
    </row>
    <row r="34" spans="1:20" ht="26.25" thickBot="1">
      <c r="A34" s="16">
        <f t="shared" ref="A34:A35" si="7">LEN(B34)-LEN(SUBSTITUTE(B34,",",""))+1</f>
        <v>12</v>
      </c>
      <c r="B34" s="4" t="s">
        <v>293</v>
      </c>
      <c r="C34" s="3" t="s">
        <v>150</v>
      </c>
      <c r="D34" s="3" t="s">
        <v>151</v>
      </c>
      <c r="E34" s="3" t="s">
        <v>49</v>
      </c>
      <c r="F34" s="3"/>
      <c r="G34" s="3" t="s">
        <v>40</v>
      </c>
      <c r="H34" s="3" t="s">
        <v>152</v>
      </c>
      <c r="I34" s="2" t="s">
        <v>149</v>
      </c>
      <c r="J34" s="2" t="s">
        <v>153</v>
      </c>
      <c r="K34" s="5">
        <v>0.14000000000000001</v>
      </c>
      <c r="L34" s="5">
        <v>0.16</v>
      </c>
      <c r="M34" s="6">
        <f>K34*A34</f>
        <v>1.6800000000000002</v>
      </c>
      <c r="N34" s="6">
        <f>L34*A34</f>
        <v>1.92</v>
      </c>
      <c r="O34" s="4"/>
      <c r="P34" s="4" t="str">
        <f>IF(NOT(I34=""),A34&amp;","&amp;I34,"")</f>
        <v>12,2.49KXBK-ND</v>
      </c>
      <c r="Q34" t="str">
        <f>"Resistor - " &amp; A34&amp;"x "&amp;C34</f>
        <v>Resistor - 12x 1% 2.49k</v>
      </c>
      <c r="R34" t="str">
        <f>IF(NOT(J34=""),J34&amp;"|"&amp;A34,"")</f>
        <v>603-MFR-25FBF52-2K49|12</v>
      </c>
      <c r="S34" t="str">
        <f>H34&amp;" "&amp;A34</f>
        <v>MFR-25FBF52-2K49 12</v>
      </c>
    </row>
    <row r="35" spans="1:20" ht="16.5" thickBot="1">
      <c r="A35" s="16">
        <f t="shared" si="7"/>
        <v>4</v>
      </c>
      <c r="B35" s="4" t="s">
        <v>251</v>
      </c>
      <c r="C35" s="3" t="s">
        <v>84</v>
      </c>
      <c r="D35" s="3" t="s">
        <v>50</v>
      </c>
      <c r="E35" s="3"/>
      <c r="F35" s="3"/>
      <c r="G35" s="3" t="s">
        <v>40</v>
      </c>
      <c r="H35" s="3" t="s">
        <v>51</v>
      </c>
      <c r="I35" s="2" t="s">
        <v>52</v>
      </c>
      <c r="J35" s="2" t="s">
        <v>138</v>
      </c>
      <c r="K35" s="5">
        <v>0.46</v>
      </c>
      <c r="L35" s="5">
        <v>1.1000000000000001</v>
      </c>
      <c r="M35" s="6">
        <f>K35*A35</f>
        <v>1.84</v>
      </c>
      <c r="N35" s="6">
        <f>L35*A35</f>
        <v>4.4000000000000004</v>
      </c>
      <c r="O35" s="4" t="s">
        <v>72</v>
      </c>
      <c r="P35" s="4" t="str">
        <f>IF(NOT(I35=""),A35&amp;","&amp;I35,"")</f>
        <v>4,3.9KADCT-ND</v>
      </c>
      <c r="Q35" t="str">
        <f>"Resistor - " &amp; A35&amp;"x "&amp;C35</f>
        <v>Resistor - 4x 0.1% 3.9k</v>
      </c>
      <c r="R35" t="str">
        <f>IF(NOT(J35=""),J35&amp;"|"&amp;A35,"")</f>
        <v>279-H83K9BDA|4</v>
      </c>
      <c r="S35" t="str">
        <f>H35&amp;" "&amp;A35</f>
        <v>MFP-25BRD52-3K9 4</v>
      </c>
    </row>
    <row r="36" spans="1:20" ht="26.25" thickBot="1">
      <c r="A36" s="16">
        <f t="shared" ref="A36" si="8">LEN(B36)-LEN(SUBSTITUTE(B36,",",""))+1</f>
        <v>16</v>
      </c>
      <c r="B36" s="4" t="s">
        <v>298</v>
      </c>
      <c r="C36" s="3" t="s">
        <v>53</v>
      </c>
      <c r="D36" s="3" t="s">
        <v>54</v>
      </c>
      <c r="E36" s="3"/>
      <c r="F36" s="3"/>
      <c r="G36" s="3" t="s">
        <v>40</v>
      </c>
      <c r="H36" s="3" t="s">
        <v>161</v>
      </c>
      <c r="I36" s="2" t="s">
        <v>55</v>
      </c>
      <c r="J36" s="2" t="s">
        <v>162</v>
      </c>
      <c r="K36" s="5">
        <v>0.1</v>
      </c>
      <c r="L36" s="5">
        <v>0.1</v>
      </c>
      <c r="M36" s="6">
        <f>K36*A36</f>
        <v>1.6</v>
      </c>
      <c r="N36" s="6">
        <f>L36*A36</f>
        <v>1.6</v>
      </c>
      <c r="O36" s="4"/>
      <c r="P36" s="4" t="str">
        <f>IF(NOT(I36=""),A36&amp;","&amp;I36,"")</f>
        <v>16,100KXBK-ND</v>
      </c>
      <c r="Q36" t="str">
        <f>"Resistor - " &amp; A36&amp;"x "&amp;C36</f>
        <v>Resistor - 16x 100k</v>
      </c>
      <c r="R36" t="str">
        <f>IF(NOT(J36=""),J36&amp;"|"&amp;A36,"")</f>
        <v>603-FMF-25FTF52100K|16</v>
      </c>
      <c r="S36" t="str">
        <f>H36&amp;" "&amp;A36</f>
        <v>MFR-25FBF52-100K 16</v>
      </c>
    </row>
    <row r="37" spans="1:20" ht="39" thickBot="1">
      <c r="A37" s="16">
        <f>LEN(B37)-LEN(SUBSTITUTE(B37,",",""))+1</f>
        <v>6</v>
      </c>
      <c r="B37" s="4" t="s">
        <v>224</v>
      </c>
      <c r="C37" s="3" t="s">
        <v>289</v>
      </c>
      <c r="D37" s="3" t="s">
        <v>231</v>
      </c>
      <c r="E37" s="3"/>
      <c r="F37" s="3"/>
      <c r="G37" s="3" t="s">
        <v>232</v>
      </c>
      <c r="H37" s="3" t="s">
        <v>234</v>
      </c>
      <c r="I37" s="2" t="s">
        <v>235</v>
      </c>
      <c r="J37" s="2" t="s">
        <v>233</v>
      </c>
      <c r="K37" s="5">
        <v>0.27</v>
      </c>
      <c r="L37" s="5">
        <v>0.23</v>
      </c>
      <c r="M37" s="6">
        <f>K37*A37</f>
        <v>1.62</v>
      </c>
      <c r="N37" s="6">
        <f>L37*A37</f>
        <v>1.3800000000000001</v>
      </c>
      <c r="O37" s="4"/>
      <c r="P37" s="4" t="str">
        <f>IF(NOT(I37=""),A37&amp;","&amp;I37,"")</f>
        <v>6,PPC150W-1CT-ND</v>
      </c>
      <c r="Q37" t="str">
        <f>"Resistor - " &amp; A37&amp;"x "&amp;C37</f>
        <v>Resistor - 6x 100-200ohm resistor preferably 150R</v>
      </c>
      <c r="R37" t="str">
        <f>IF(NOT(J37=""),J37&amp;"|"&amp;A37,"")</f>
        <v>594-5073NW150R0J|6</v>
      </c>
      <c r="S37" t="str">
        <f>H37&amp;" "&amp;A37</f>
        <v>PR01000101500JR500 6</v>
      </c>
    </row>
    <row r="38" spans="1:20" ht="26.25" thickBot="1">
      <c r="A38" s="16">
        <f>LEN(B38)-LEN(SUBSTITUTE(B38,",",""))+1</f>
        <v>3</v>
      </c>
      <c r="B38" s="4" t="s">
        <v>252</v>
      </c>
      <c r="C38" s="3" t="s">
        <v>163</v>
      </c>
      <c r="D38" s="3" t="s">
        <v>164</v>
      </c>
      <c r="E38" s="3"/>
      <c r="F38" s="3"/>
      <c r="G38" s="3" t="s">
        <v>40</v>
      </c>
      <c r="H38" s="3" t="s">
        <v>165</v>
      </c>
      <c r="I38" s="2" t="s">
        <v>236</v>
      </c>
      <c r="J38" s="2" t="s">
        <v>166</v>
      </c>
      <c r="K38" s="5"/>
      <c r="L38" s="5">
        <v>0.1</v>
      </c>
      <c r="M38" s="6">
        <f>K38*A38</f>
        <v>0</v>
      </c>
      <c r="N38" s="6">
        <f>L38*A38</f>
        <v>0.30000000000000004</v>
      </c>
      <c r="O38" s="4"/>
      <c r="P38" s="4" t="str">
        <f>IF(NOT(I38=""),A38&amp;","&amp;I38,"")</f>
        <v xml:space="preserve">3,7.50KXBK-ND	</v>
      </c>
      <c r="Q38" t="str">
        <f>"Resistor - " &amp; A38&amp;"x "&amp;C38</f>
        <v>Resistor - 3x 7.5k</v>
      </c>
      <c r="R38" t="str">
        <f>IF(NOT(J38=""),J38&amp;"|"&amp;A38,"")</f>
        <v>603-MFR-25FBF52-7K5
|3</v>
      </c>
      <c r="S38" t="str">
        <f>H38&amp;" "&amp;A38</f>
        <v>MFR-25FBF52-7K5 3</v>
      </c>
    </row>
    <row r="39" spans="1:20" ht="16.5" thickBot="1">
      <c r="A39" s="16"/>
      <c r="B39" s="4"/>
      <c r="C39" s="3"/>
      <c r="D39" s="3"/>
      <c r="E39" s="3"/>
      <c r="F39" s="3"/>
      <c r="G39" s="3"/>
      <c r="H39" s="3"/>
      <c r="I39" s="2"/>
      <c r="J39" s="2"/>
      <c r="K39" s="3"/>
      <c r="L39" s="3"/>
      <c r="M39" s="3"/>
      <c r="N39" s="6"/>
      <c r="O39" s="4"/>
      <c r="P39" s="4" t="str">
        <f>IF(NOT(I39=""),A39&amp;","&amp;I39,"")</f>
        <v/>
      </c>
      <c r="R39" t="str">
        <f>IF(NOT(J39=""),J39&amp;"|"&amp;A39,"")</f>
        <v/>
      </c>
      <c r="S39" t="str">
        <f>H39&amp;" "&amp;A39</f>
        <v xml:space="preserve"> </v>
      </c>
    </row>
    <row r="40" spans="1:20" ht="26.25" thickBot="1">
      <c r="A40" s="16">
        <f t="shared" ref="A40:A46" si="9">LEN(B40)-LEN(SUBSTITUTE(B40,",",""))+1</f>
        <v>1</v>
      </c>
      <c r="B40" s="4" t="s">
        <v>56</v>
      </c>
      <c r="C40" s="3" t="s">
        <v>58</v>
      </c>
      <c r="D40" s="3" t="s">
        <v>59</v>
      </c>
      <c r="E40" s="3" t="s">
        <v>60</v>
      </c>
      <c r="F40" s="3"/>
      <c r="G40" s="3" t="s">
        <v>61</v>
      </c>
      <c r="H40" s="3" t="s">
        <v>58</v>
      </c>
      <c r="I40" s="2" t="s">
        <v>58</v>
      </c>
      <c r="J40" s="2" t="s">
        <v>135</v>
      </c>
      <c r="K40" s="5">
        <v>1.68</v>
      </c>
      <c r="L40" s="5">
        <v>1.67</v>
      </c>
      <c r="M40" s="6">
        <f>K40*A40</f>
        <v>1.68</v>
      </c>
      <c r="N40" s="6">
        <f>L40*A40</f>
        <v>1.67</v>
      </c>
      <c r="O40" s="4"/>
      <c r="P40" s="4" t="str">
        <f>IF(NOT(I40=""),A40&amp;","&amp;I40,"")</f>
        <v>1,LM2940T-5.0/NOPB</v>
      </c>
      <c r="Q40" t="str">
        <f>A40&amp;"x "&amp;C40</f>
        <v>1x LM2940T-5.0/NOPB</v>
      </c>
      <c r="R40" t="str">
        <f>IF(NOT(J40=""),J40&amp;"|"&amp;A40,"")</f>
        <v>926-LM2940T-5.0/NOPB|1</v>
      </c>
      <c r="S40" t="str">
        <f>H40&amp;" "&amp;A40</f>
        <v>LM2940T-5.0/NOPB 1</v>
      </c>
    </row>
    <row r="41" spans="1:20" ht="16.5" thickBot="1">
      <c r="A41" s="16">
        <f t="shared" si="9"/>
        <v>1</v>
      </c>
      <c r="B41" s="4" t="s">
        <v>207</v>
      </c>
      <c r="C41" s="3" t="s">
        <v>208</v>
      </c>
      <c r="D41" s="3" t="s">
        <v>209</v>
      </c>
      <c r="E41" s="3" t="s">
        <v>210</v>
      </c>
      <c r="F41" s="3"/>
      <c r="G41" s="3" t="s">
        <v>37</v>
      </c>
      <c r="H41" s="3" t="s">
        <v>208</v>
      </c>
      <c r="I41" s="27" t="s">
        <v>211</v>
      </c>
      <c r="J41" s="2" t="s">
        <v>212</v>
      </c>
      <c r="K41" s="5">
        <v>0.59</v>
      </c>
      <c r="L41" s="5">
        <v>0.56999999999999995</v>
      </c>
      <c r="M41" s="6">
        <v>0.59</v>
      </c>
      <c r="N41" s="6">
        <v>0.56999999999999995</v>
      </c>
      <c r="O41" s="4"/>
      <c r="P41" s="4" t="s">
        <v>213</v>
      </c>
      <c r="Q41" t="s">
        <v>214</v>
      </c>
      <c r="R41" t="s">
        <v>215</v>
      </c>
      <c r="S41" t="s">
        <v>216</v>
      </c>
    </row>
    <row r="42" spans="1:20" ht="26.25" thickBot="1">
      <c r="A42" s="16">
        <f t="shared" si="9"/>
        <v>1</v>
      </c>
      <c r="B42" s="19" t="s">
        <v>196</v>
      </c>
      <c r="C42" s="3" t="s">
        <v>287</v>
      </c>
      <c r="D42" s="3" t="s">
        <v>288</v>
      </c>
      <c r="E42" s="3" t="s">
        <v>250</v>
      </c>
      <c r="F42" s="3"/>
      <c r="G42" s="3" t="s">
        <v>57</v>
      </c>
      <c r="H42" s="3" t="s">
        <v>193</v>
      </c>
      <c r="I42" s="25" t="s">
        <v>194</v>
      </c>
      <c r="J42" s="2" t="s">
        <v>195</v>
      </c>
      <c r="K42" s="6">
        <v>12.79</v>
      </c>
      <c r="L42" s="6">
        <v>19.739999999999998</v>
      </c>
      <c r="M42" s="6">
        <f>K42*A42</f>
        <v>12.79</v>
      </c>
      <c r="N42" s="6">
        <f>L42*A42</f>
        <v>19.739999999999998</v>
      </c>
      <c r="O42" s="4"/>
      <c r="P42" s="4" t="str">
        <f>IF(NOT(I42=""),A42&amp;","&amp;I42,"")</f>
        <v>1,MPXH6115A6U-ND</v>
      </c>
      <c r="Q42" t="str">
        <f>A42&amp;"x "&amp;C42</f>
        <v>1x Baro sensor MPXH6115A6U</v>
      </c>
      <c r="R42" t="str">
        <f>IF(NOT(J42=""),J42&amp;"|"&amp;A42,"")</f>
        <v>841-MPXH6115A6U|1</v>
      </c>
      <c r="S42" t="str">
        <f>H42&amp;" "&amp;A42</f>
        <v>MPXH6115A6U 1</v>
      </c>
    </row>
    <row r="43" spans="1:20" ht="26.25" thickBot="1">
      <c r="A43" s="16">
        <f t="shared" si="9"/>
        <v>1</v>
      </c>
      <c r="B43" s="4" t="s">
        <v>281</v>
      </c>
      <c r="C43" s="3" t="s">
        <v>280</v>
      </c>
      <c r="D43" s="3" t="s">
        <v>67</v>
      </c>
      <c r="E43" s="3" t="s">
        <v>249</v>
      </c>
      <c r="F43" s="3"/>
      <c r="G43" s="3" t="s">
        <v>57</v>
      </c>
      <c r="H43" s="3" t="s">
        <v>121</v>
      </c>
      <c r="I43" s="2" t="s">
        <v>66</v>
      </c>
      <c r="J43" s="2" t="s">
        <v>122</v>
      </c>
      <c r="K43" s="6">
        <v>15.41</v>
      </c>
      <c r="L43" s="6">
        <v>15.37</v>
      </c>
      <c r="M43" s="6">
        <f>K43*A43</f>
        <v>15.41</v>
      </c>
      <c r="N43" s="6">
        <f>L43*A43</f>
        <v>15.37</v>
      </c>
      <c r="O43" s="4"/>
      <c r="P43" s="4" t="str">
        <f>IF(NOT(I43=""),A43&amp;","&amp;I43,"")</f>
        <v>1,MPX4250AP-ND</v>
      </c>
      <c r="Q43" t="str">
        <f>A43&amp;"x "&amp;C43</f>
        <v>1x 7bar or 2.5-Bar MAP sensor</v>
      </c>
      <c r="R43" t="str">
        <f>IF(NOT(J43=""),J43&amp;"|"&amp;A43,"")</f>
        <v>841-MPX4250AP|1</v>
      </c>
      <c r="S43" t="str">
        <f>H43&amp;" "&amp;A43</f>
        <v>MPX4250AP 1</v>
      </c>
    </row>
    <row r="44" spans="1:20" ht="26.25" thickBot="1">
      <c r="A44" s="16">
        <f t="shared" si="9"/>
        <v>3</v>
      </c>
      <c r="B44" s="10" t="s">
        <v>222</v>
      </c>
      <c r="C44" s="11" t="s">
        <v>276</v>
      </c>
      <c r="D44" s="11" t="s">
        <v>88</v>
      </c>
      <c r="E44" s="3" t="s">
        <v>89</v>
      </c>
      <c r="F44" s="11"/>
      <c r="G44" s="11" t="s">
        <v>62</v>
      </c>
      <c r="H44" s="11" t="s">
        <v>87</v>
      </c>
      <c r="I44" s="11" t="s">
        <v>90</v>
      </c>
      <c r="J44" s="11" t="s">
        <v>123</v>
      </c>
      <c r="K44" s="18">
        <v>2.92</v>
      </c>
      <c r="L44" s="18">
        <v>2.92</v>
      </c>
      <c r="M44" s="6">
        <f>K44*A44</f>
        <v>8.76</v>
      </c>
      <c r="N44" s="6">
        <f>L44*A44</f>
        <v>8.76</v>
      </c>
      <c r="O44" s="10"/>
      <c r="P44" s="4" t="str">
        <f>IF(NOT(I44=""),A44&amp;","&amp;I44,"")</f>
        <v>3,TC4424EPA-ND</v>
      </c>
      <c r="Q44" t="str">
        <f>A44&amp;"x "&amp;C44</f>
        <v>3x TC4424EPA or CPA</v>
      </c>
      <c r="R44" t="str">
        <f>IF(NOT(J44=""),J44&amp;"|"&amp;A44,"")</f>
        <v>579-TC4424EPA|3</v>
      </c>
      <c r="S44" t="str">
        <f>H44&amp;" "&amp;A44</f>
        <v>TC4424EPA 3</v>
      </c>
    </row>
    <row r="45" spans="1:20" ht="16.5" thickBot="1">
      <c r="A45" s="16">
        <f t="shared" si="9"/>
        <v>2</v>
      </c>
      <c r="B45" s="10" t="s">
        <v>264</v>
      </c>
      <c r="C45" s="11" t="s">
        <v>263</v>
      </c>
      <c r="D45" s="3" t="s">
        <v>240</v>
      </c>
      <c r="E45" s="3" t="s">
        <v>210</v>
      </c>
      <c r="F45" s="11"/>
      <c r="G45" s="11" t="s">
        <v>144</v>
      </c>
      <c r="H45" s="11" t="s">
        <v>239</v>
      </c>
      <c r="I45" s="11" t="s">
        <v>242</v>
      </c>
      <c r="J45" s="2" t="s">
        <v>241</v>
      </c>
      <c r="K45" s="6">
        <v>2.4</v>
      </c>
      <c r="L45" s="6">
        <v>2.4</v>
      </c>
      <c r="M45" s="6">
        <f>K45*A45</f>
        <v>4.8</v>
      </c>
      <c r="N45" s="6">
        <f>L45*A45</f>
        <v>4.8</v>
      </c>
      <c r="O45" s="4"/>
      <c r="P45" s="4" t="str">
        <f>IF(NOT(I45=""),A45&amp;","&amp;I45,"")</f>
        <v>2,F2718-ND</v>
      </c>
      <c r="Q45" t="str">
        <f>A45&amp;"x "&amp;C45</f>
        <v>2x SP721APP</v>
      </c>
      <c r="R45" t="str">
        <f>IF(NOT(J45=""),J45&amp;"|"&amp;A45,"")</f>
        <v>576-SP720APP|2</v>
      </c>
      <c r="S45" t="str">
        <f>H45&amp;" "&amp;A45</f>
        <v>SP720APP 2</v>
      </c>
    </row>
    <row r="46" spans="1:20" ht="16.5" thickBot="1">
      <c r="A46" s="16">
        <f t="shared" si="9"/>
        <v>2</v>
      </c>
      <c r="B46" s="10" t="s">
        <v>230</v>
      </c>
      <c r="C46" s="11" t="s">
        <v>227</v>
      </c>
      <c r="D46" s="3" t="s">
        <v>226</v>
      </c>
      <c r="E46" s="3" t="s">
        <v>191</v>
      </c>
      <c r="F46" s="11"/>
      <c r="G46" s="11" t="s">
        <v>37</v>
      </c>
      <c r="H46" s="11" t="s">
        <v>227</v>
      </c>
      <c r="I46" s="11" t="s">
        <v>228</v>
      </c>
      <c r="J46" s="2" t="s">
        <v>229</v>
      </c>
      <c r="K46" s="6">
        <v>1.41</v>
      </c>
      <c r="L46" s="6">
        <v>1.54</v>
      </c>
      <c r="M46" s="6">
        <f>K46*A46</f>
        <v>2.82</v>
      </c>
      <c r="N46" s="6">
        <f>L46*A46</f>
        <v>3.08</v>
      </c>
      <c r="O46" s="4"/>
      <c r="P46" s="4" t="str">
        <f>IF(NOT(I46=""),A46&amp;","&amp;I46,"")</f>
        <v>2,497-14323-1-ND</v>
      </c>
      <c r="Q46" t="str">
        <f>A46&amp;"x "&amp;C46</f>
        <v>2x VNLD5090TR-E</v>
      </c>
      <c r="R46" t="str">
        <f>IF(NOT(J46=""),J46&amp;"|"&amp;A46,"")</f>
        <v>511-VNLD5090TR-E|2</v>
      </c>
      <c r="S46" t="str">
        <f>H46&amp;" "&amp;A46</f>
        <v>VNLD5090TR-E 2</v>
      </c>
    </row>
    <row r="47" spans="1:20" ht="16.5" thickBot="1">
      <c r="A47" s="14"/>
      <c r="B47" s="4"/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>IF(NOT(I47=""),A47&amp;","&amp;I47,"")</f>
        <v/>
      </c>
      <c r="R47" t="str">
        <f>IF(NOT(J47=""),J47&amp;"|"&amp;A47,"")</f>
        <v/>
      </c>
    </row>
    <row r="48" spans="1:20" ht="16.5" thickBot="1">
      <c r="A48" s="14"/>
      <c r="B48" s="4" t="s">
        <v>272</v>
      </c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6">
        <v>1</v>
      </c>
      <c r="B49" s="10" t="s">
        <v>277</v>
      </c>
      <c r="C49" s="11"/>
      <c r="D49" s="3" t="s">
        <v>306</v>
      </c>
      <c r="E49" s="3"/>
      <c r="F49" s="11"/>
      <c r="G49" s="10"/>
      <c r="H49" s="30"/>
      <c r="I49" s="11"/>
      <c r="J49" s="3"/>
      <c r="K49" s="1"/>
      <c r="L49" s="1"/>
      <c r="M49" s="9"/>
      <c r="N49" s="6"/>
      <c r="O49" s="9"/>
      <c r="P49" s="4"/>
    </row>
    <row r="50" spans="1:19" ht="16.5" customHeight="1" thickBot="1">
      <c r="A50" s="16">
        <v>13</v>
      </c>
      <c r="B50" s="10" t="s">
        <v>271</v>
      </c>
      <c r="C50" s="11" t="s">
        <v>243</v>
      </c>
      <c r="D50" s="3" t="s">
        <v>244</v>
      </c>
      <c r="E50" s="3"/>
      <c r="F50" s="11"/>
      <c r="G50" s="11" t="s">
        <v>245</v>
      </c>
      <c r="H50" s="11" t="s">
        <v>246</v>
      </c>
      <c r="I50" s="11" t="s">
        <v>247</v>
      </c>
      <c r="J50" s="2" t="s">
        <v>248</v>
      </c>
      <c r="K50" s="6">
        <v>0.55000000000000004</v>
      </c>
      <c r="L50" s="6">
        <v>0.67300000000000004</v>
      </c>
      <c r="M50" s="6">
        <f>K50*A50</f>
        <v>7.15</v>
      </c>
      <c r="N50" s="6">
        <f>L50*A50</f>
        <v>8.7490000000000006</v>
      </c>
      <c r="O50" s="4"/>
      <c r="P50" s="4" t="str">
        <f>IF(NOT(I50=""),A50&amp;","&amp;I50,"")</f>
        <v>13,53-77-9ACG-ND</v>
      </c>
      <c r="Q50" t="str">
        <f>A50&amp;"x "&amp;C50</f>
        <v>13x Thermal pad</v>
      </c>
      <c r="R50" t="str">
        <f>IF(NOT(J50=""),J50&amp;"|"&amp;A50,"")</f>
        <v>532-53-77-9ACG|13</v>
      </c>
      <c r="S50" t="str">
        <f>H50&amp;" "&amp;A50</f>
        <v>53-77-9ACG 13</v>
      </c>
    </row>
    <row r="51" spans="1:19" ht="26.25" thickBot="1">
      <c r="A51" s="16">
        <v>2</v>
      </c>
      <c r="B51" s="10" t="s">
        <v>283</v>
      </c>
      <c r="C51" s="11" t="s">
        <v>258</v>
      </c>
      <c r="D51" s="3" t="s">
        <v>275</v>
      </c>
      <c r="E51" s="3"/>
      <c r="F51" s="11"/>
      <c r="G51" s="11" t="s">
        <v>174</v>
      </c>
      <c r="H51" s="11" t="s">
        <v>260</v>
      </c>
      <c r="I51" s="11" t="s">
        <v>261</v>
      </c>
      <c r="J51" s="2" t="s">
        <v>262</v>
      </c>
      <c r="K51" s="6">
        <v>0.33</v>
      </c>
      <c r="L51" s="6">
        <v>0.38200000000000001</v>
      </c>
      <c r="M51" s="6">
        <f>K51*A51</f>
        <v>0.66</v>
      </c>
      <c r="N51" s="6">
        <f>L51*A51</f>
        <v>0.76400000000000001</v>
      </c>
      <c r="O51" s="4"/>
      <c r="P51" s="4" t="str">
        <f>IF(NOT(I51=""),A51&amp;","&amp;I51,"")</f>
        <v>2,WM3702-ND</v>
      </c>
      <c r="Q51" t="str">
        <f>A51&amp;"x "&amp;C51</f>
        <v>2x 6-POS connector</v>
      </c>
      <c r="R51" t="str">
        <f>IF(NOT(J51=""),J51&amp;"|"&amp;A51,"")</f>
        <v>538-39-01-2060|2</v>
      </c>
      <c r="S51" t="str">
        <f>H51&amp;" "&amp;A51</f>
        <v>39-01-2060 2</v>
      </c>
    </row>
    <row r="52" spans="1:19" ht="16.5" thickBot="1">
      <c r="A52" s="32" t="s">
        <v>274</v>
      </c>
      <c r="B52" s="10" t="s">
        <v>197</v>
      </c>
      <c r="C52" s="11" t="s">
        <v>198</v>
      </c>
      <c r="D52" s="3" t="s">
        <v>270</v>
      </c>
      <c r="E52" s="3"/>
      <c r="F52" s="11"/>
      <c r="G52" s="11"/>
      <c r="H52" s="11"/>
      <c r="I52" s="11"/>
      <c r="J52" s="2"/>
      <c r="K52" s="6"/>
      <c r="L52" s="6"/>
      <c r="M52" s="6"/>
      <c r="N52" s="6"/>
      <c r="O52" s="4"/>
      <c r="P52" s="4"/>
    </row>
    <row r="53" spans="1:19" ht="16.5" thickBot="1">
      <c r="A53" s="14"/>
      <c r="B53" s="10" t="s">
        <v>273</v>
      </c>
      <c r="C53" s="11"/>
      <c r="D53" s="3"/>
      <c r="E53" s="3"/>
      <c r="F53" s="11"/>
      <c r="G53" s="11"/>
      <c r="H53" s="11"/>
      <c r="I53" s="11"/>
      <c r="J53" s="2"/>
      <c r="K53" s="6"/>
      <c r="L53" s="6"/>
      <c r="M53" s="6"/>
      <c r="N53" s="6"/>
      <c r="O53" s="4"/>
      <c r="P53" s="4"/>
    </row>
    <row r="54" spans="1:19" ht="16.5" thickBot="1">
      <c r="A54" s="14"/>
      <c r="B54" s="4" t="s">
        <v>254</v>
      </c>
      <c r="C54" s="3"/>
      <c r="D54" s="3"/>
      <c r="E54" s="3"/>
      <c r="F54" s="3"/>
      <c r="G54" s="4"/>
      <c r="H54" s="8"/>
      <c r="I54" s="3"/>
      <c r="J54" s="3"/>
      <c r="K54" s="1"/>
      <c r="L54" s="1"/>
      <c r="M54" s="9"/>
      <c r="N54" s="6"/>
      <c r="O54" s="9"/>
      <c r="P54" s="4" t="s">
        <v>253</v>
      </c>
      <c r="R54" t="s">
        <v>253</v>
      </c>
    </row>
    <row r="55" spans="1:19" ht="16.5" customHeight="1" thickBot="1">
      <c r="A55" s="16">
        <v>1</v>
      </c>
      <c r="B55" s="10" t="s">
        <v>282</v>
      </c>
      <c r="C55" s="11" t="s">
        <v>255</v>
      </c>
      <c r="D55" s="29" t="s">
        <v>256</v>
      </c>
      <c r="E55" s="3"/>
      <c r="F55" s="11"/>
      <c r="G55" s="11" t="s">
        <v>257</v>
      </c>
      <c r="H55" s="11"/>
      <c r="I55" s="11"/>
      <c r="J55" s="2"/>
      <c r="K55" s="6"/>
      <c r="L55" s="6"/>
      <c r="M55" s="6"/>
      <c r="N55" s="6"/>
      <c r="O55" s="4"/>
      <c r="P55" s="4"/>
    </row>
    <row r="56" spans="1:19" ht="16.5" thickBot="1">
      <c r="A56" s="16">
        <v>1</v>
      </c>
      <c r="B56" s="10" t="s">
        <v>269</v>
      </c>
      <c r="C56" s="11" t="s">
        <v>258</v>
      </c>
      <c r="D56" s="3" t="s">
        <v>259</v>
      </c>
      <c r="E56" s="3"/>
      <c r="F56" s="11"/>
      <c r="G56" s="11" t="s">
        <v>174</v>
      </c>
      <c r="H56" s="11" t="s">
        <v>260</v>
      </c>
      <c r="I56" s="11" t="s">
        <v>261</v>
      </c>
      <c r="J56" s="2" t="s">
        <v>262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8" spans="1:19">
      <c r="B58" t="s">
        <v>192</v>
      </c>
    </row>
    <row r="59" spans="1:19">
      <c r="B59" t="s">
        <v>268</v>
      </c>
    </row>
    <row r="60" spans="1:19">
      <c r="B60" t="s">
        <v>199</v>
      </c>
    </row>
    <row r="61" spans="1:19">
      <c r="B61" t="s">
        <v>295</v>
      </c>
    </row>
    <row r="62" spans="1:19">
      <c r="B62" t="s">
        <v>296</v>
      </c>
    </row>
    <row r="63" spans="1:19">
      <c r="B63" t="s">
        <v>299</v>
      </c>
    </row>
    <row r="64" spans="1:19">
      <c r="B64" t="s">
        <v>300</v>
      </c>
    </row>
    <row r="66" spans="2:4">
      <c r="B66" s="36" t="s">
        <v>303</v>
      </c>
      <c r="C66" s="36"/>
      <c r="D66" s="36"/>
    </row>
    <row r="67" spans="2:4">
      <c r="B67" s="36" t="s">
        <v>304</v>
      </c>
      <c r="C67" s="36"/>
      <c r="D67" s="36"/>
    </row>
    <row r="68" spans="2:4">
      <c r="B68" s="36" t="s">
        <v>301</v>
      </c>
      <c r="C68" s="36"/>
      <c r="D68" s="36"/>
    </row>
    <row r="69" spans="2:4">
      <c r="B69" s="36" t="s">
        <v>305</v>
      </c>
      <c r="C69" s="36"/>
      <c r="D69" s="36"/>
    </row>
    <row r="70" spans="2:4">
      <c r="B70" s="36" t="s">
        <v>302</v>
      </c>
      <c r="C70" s="36"/>
      <c r="D70" s="36"/>
    </row>
    <row r="71" spans="2:4">
      <c r="B71" s="36"/>
      <c r="C71" s="36"/>
      <c r="D71" s="36"/>
    </row>
    <row r="72" spans="2:4">
      <c r="B72" s="36"/>
      <c r="C72" s="36"/>
      <c r="D72" s="36"/>
    </row>
    <row r="73" spans="2:4">
      <c r="B73" s="36"/>
      <c r="C73" s="36"/>
      <c r="D73" s="36"/>
    </row>
  </sheetData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29" r:id="rId4" xr:uid="{00000000-0004-0000-0000-000003000000}"/>
    <hyperlink ref="I34" r:id="rId5" display="985-1047-1-ND" xr:uid="{00000000-0004-0000-0000-000004000000}"/>
    <hyperlink ref="I35" r:id="rId6" xr:uid="{00000000-0004-0000-0000-000005000000}"/>
    <hyperlink ref="I43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6" r:id="rId11" xr:uid="{00000000-0004-0000-0000-00000A000000}"/>
    <hyperlink ref="D55" r:id="rId12" xr:uid="{92C2AFA5-B4B0-4316-A270-A10AE65A780F}"/>
  </hyperlinks>
  <pageMargins left="0.25" right="0.25" top="0.75" bottom="0.75" header="0.3" footer="0.3"/>
  <pageSetup paperSize="9" scale="21" orientation="portrait" r:id="rId1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ZipX</cp:lastModifiedBy>
  <cp:lastPrinted>2020-01-11T14:22:13Z</cp:lastPrinted>
  <dcterms:created xsi:type="dcterms:W3CDTF">2014-08-24T22:56:25Z</dcterms:created>
  <dcterms:modified xsi:type="dcterms:W3CDTF">2021-02-28T13:03:10Z</dcterms:modified>
</cp:coreProperties>
</file>