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johnfrucci/Downloads/"/>
    </mc:Choice>
  </mc:AlternateContent>
  <xr:revisionPtr revIDLastSave="0" documentId="13_ncr:1_{8020383C-E6EA-5644-9D16-667F87F8ADBA}" xr6:coauthVersionLast="36" xr6:coauthVersionMax="36" xr10:uidLastSave="{00000000-0000-0000-0000-000000000000}"/>
  <bookViews>
    <workbookView xWindow="0" yWindow="460" windowWidth="28800" windowHeight="16640" activeTab="2" xr2:uid="{00000000-000D-0000-FFFF-FFFF00000000}"/>
  </bookViews>
  <sheets>
    <sheet name="Sheet1" sheetId="1" r:id="rId1"/>
    <sheet name="Final DCF" sheetId="2" r:id="rId2"/>
    <sheet name="References" sheetId="3" r:id="rId3"/>
    <sheet name="Working sheet" sheetId="4" r:id="rId4"/>
    <sheet name="Comparables" sheetId="5" r:id="rId5"/>
    <sheet name="Assumptions" sheetId="6" r:id="rId6"/>
  </sheets>
  <calcPr calcId="181029"/>
  <extLst>
    <ext uri="GoogleSheetsCustomDataVersion1">
      <go:sheetsCustomData xmlns:go="http://customooxmlschemas.google.com/" r:id="rId10" roundtripDataSignature="AMtx7miHvTDXImF6z6lNnn/TA6JeKAyvaQ=="/>
    </ext>
  </extLst>
</workbook>
</file>

<file path=xl/calcChain.xml><?xml version="1.0" encoding="utf-8"?>
<calcChain xmlns="http://schemas.openxmlformats.org/spreadsheetml/2006/main">
  <c r="B9" i="4" l="1"/>
  <c r="B19" i="2"/>
  <c r="G16" i="2"/>
  <c r="F16" i="2"/>
  <c r="E16" i="2"/>
  <c r="D16" i="2"/>
  <c r="C16" i="2"/>
  <c r="B13" i="2"/>
  <c r="B10" i="2"/>
  <c r="C3" i="2"/>
  <c r="C6" i="2" s="1"/>
  <c r="D29" i="1"/>
  <c r="G16" i="1"/>
  <c r="F16" i="1"/>
  <c r="E16" i="1"/>
  <c r="D16" i="1"/>
  <c r="C16" i="1"/>
  <c r="B10" i="1"/>
  <c r="B13" i="1" s="1"/>
  <c r="B19" i="1" s="1"/>
  <c r="C3" i="1"/>
  <c r="C17" i="1" s="1"/>
  <c r="C8" i="2" l="1"/>
  <c r="C10" i="2"/>
  <c r="D3" i="1"/>
  <c r="C6" i="1"/>
  <c r="C17" i="2"/>
  <c r="D3" i="2"/>
  <c r="C8" i="1" l="1"/>
  <c r="C10" i="1"/>
  <c r="D6" i="1"/>
  <c r="E3" i="1"/>
  <c r="D17" i="1"/>
  <c r="D17" i="2"/>
  <c r="D6" i="2"/>
  <c r="E3" i="2"/>
  <c r="C12" i="2"/>
  <c r="C13" i="2"/>
  <c r="C18" i="2"/>
  <c r="C15" i="2"/>
  <c r="E6" i="2" l="1"/>
  <c r="F3" i="2"/>
  <c r="E17" i="2"/>
  <c r="E17" i="1"/>
  <c r="E6" i="1"/>
  <c r="F3" i="1"/>
  <c r="D8" i="2"/>
  <c r="D8" i="1"/>
  <c r="D10" i="1"/>
  <c r="C19" i="2"/>
  <c r="C13" i="1"/>
  <c r="C19" i="1" s="1"/>
  <c r="C12" i="1"/>
  <c r="C15" i="1"/>
  <c r="C18" i="1"/>
  <c r="F6" i="1" l="1"/>
  <c r="G3" i="1"/>
  <c r="F17" i="1"/>
  <c r="D15" i="2"/>
  <c r="D18" i="2"/>
  <c r="D10" i="2"/>
  <c r="D12" i="1"/>
  <c r="D13" i="1"/>
  <c r="F17" i="2"/>
  <c r="F6" i="2"/>
  <c r="G3" i="2"/>
  <c r="D18" i="1"/>
  <c r="D15" i="1"/>
  <c r="E10" i="1"/>
  <c r="E8" i="1"/>
  <c r="E8" i="2"/>
  <c r="E10" i="2" s="1"/>
  <c r="E13" i="2" l="1"/>
  <c r="E12" i="2"/>
  <c r="F8" i="2"/>
  <c r="F10" i="2"/>
  <c r="F10" i="1"/>
  <c r="F8" i="1"/>
  <c r="E12" i="1"/>
  <c r="E13" i="1"/>
  <c r="D12" i="2"/>
  <c r="D13" i="2" s="1"/>
  <c r="D19" i="2" s="1"/>
  <c r="E18" i="2"/>
  <c r="E15" i="2"/>
  <c r="G17" i="1"/>
  <c r="G6" i="1"/>
  <c r="D19" i="1"/>
  <c r="E15" i="1"/>
  <c r="E18" i="1"/>
  <c r="G6" i="2"/>
  <c r="G17" i="2"/>
  <c r="E19" i="1" l="1"/>
  <c r="F12" i="2"/>
  <c r="F13" i="2" s="1"/>
  <c r="F19" i="2" s="1"/>
  <c r="F15" i="2"/>
  <c r="F18" i="2"/>
  <c r="G22" i="2"/>
  <c r="C26" i="2" s="1"/>
  <c r="G8" i="2"/>
  <c r="G10" i="2"/>
  <c r="G22" i="1"/>
  <c r="C26" i="1" s="1"/>
  <c r="G8" i="1"/>
  <c r="F18" i="1"/>
  <c r="F15" i="1"/>
  <c r="F13" i="1"/>
  <c r="F19" i="1" s="1"/>
  <c r="F12" i="1"/>
  <c r="E19" i="2"/>
  <c r="G15" i="1" l="1"/>
  <c r="G18" i="1"/>
  <c r="G12" i="2"/>
  <c r="G13" i="2"/>
  <c r="G10" i="1"/>
  <c r="G18" i="2"/>
  <c r="G15" i="2"/>
  <c r="G12" i="1" l="1"/>
  <c r="G13" i="1" s="1"/>
  <c r="G19" i="1" s="1"/>
  <c r="C25" i="1" s="1" a="1"/>
  <c r="C25" i="1" s="1"/>
  <c r="C27" i="1" s="1"/>
  <c r="C29" i="1" s="1"/>
  <c r="G19" i="2"/>
  <c r="C25" i="2" s="1" a="1"/>
  <c r="C25" i="2" s="1"/>
  <c r="C27" i="2" s="1"/>
  <c r="C29" i="2" s="1"/>
  <c r="C31" i="2" s="1"/>
</calcChain>
</file>

<file path=xl/sharedStrings.xml><?xml version="1.0" encoding="utf-8"?>
<sst xmlns="http://schemas.openxmlformats.org/spreadsheetml/2006/main" count="107" uniqueCount="71">
  <si>
    <t>http://analysisreport.morningstar.com/stock/research/c-report?&amp;t=XNAS:DNKN&amp;region=usa&amp;culture=zh-TW&amp;productcode=QS&amp;cur=&amp;urlCookie=8997523520&amp;e=eyJhbGciOiJSU0EtT0FFUCIsImVuYyI6IkExMjhHQ00ifQ.eY-s57E4rNn2aO0mdtQy4usd4MgSf5udSvrSfPlx1CR8UvQL-J2fAl-VM8li_sYc2QXO6QycfEv8yVzZ2N7bvNHC1yYrw-7azD4-Pf7enaNTK3hrGGLRpuQvnb2fsYaVrl-rfNY9qF3MT8zv4yY_C5NnYALL7i3LU5WCtOqboUw.iwvYb9QzHz9tiTU6.b1EtzaNCVJLTwN7nrWWU9ZQn7_OGtfjIvpEdxG7NfHa1yz5DACf2DqQpY81QZyqOxd0tKNnorEdis7OdtDYff3cciQOYIv1UMV7KsWI5niMGxHHw1nh4ozFv3nYYdqLDS71TH6mxu-rpQGcH18aD8HBBdTvFussfYiSI7U88YebdZhlGyZVxBAiYvgZteGXZN1xQKJTWc1Z2pQPdzn9-KaIDqVz2XsG87r6LOGk.SkvwYrJFtA4f2pft6D_Jxg</t>
  </si>
  <si>
    <t>TTM</t>
  </si>
  <si>
    <t>ACTUAL</t>
  </si>
  <si>
    <t>Year 1</t>
  </si>
  <si>
    <t>Year 2</t>
  </si>
  <si>
    <t>Year 3</t>
  </si>
  <si>
    <t>Year 4</t>
  </si>
  <si>
    <t>Year 5</t>
  </si>
  <si>
    <t xml:space="preserve">Revenue </t>
  </si>
  <si>
    <t>% Growth</t>
  </si>
  <si>
    <t>EBITDA 35.4% of sales</t>
  </si>
  <si>
    <t>less Depreciation</t>
  </si>
  <si>
    <t>Change in operating assets and liabilties</t>
  </si>
  <si>
    <t>less Amortization</t>
  </si>
  <si>
    <t>Accounts notes and other recievables, net</t>
  </si>
  <si>
    <t xml:space="preserve">EBIT  </t>
  </si>
  <si>
    <t>Prepaid income taxes, net</t>
  </si>
  <si>
    <t xml:space="preserve">Prepaid expenses and other current assets </t>
  </si>
  <si>
    <t>Accounts Payable</t>
  </si>
  <si>
    <t>Other current liabilities</t>
  </si>
  <si>
    <t>Deferred Revenue</t>
  </si>
  <si>
    <t>Other, net</t>
  </si>
  <si>
    <t>Total change</t>
  </si>
  <si>
    <t>less Taxes 24.2%</t>
  </si>
  <si>
    <t>Net Income</t>
  </si>
  <si>
    <t>add Depreciation</t>
  </si>
  <si>
    <t>add Amortization</t>
  </si>
  <si>
    <t>Change in W/C</t>
  </si>
  <si>
    <t>less Capital Expenses</t>
  </si>
  <si>
    <t>Pre Debt Cash Flow</t>
  </si>
  <si>
    <t>Exit Multiple</t>
  </si>
  <si>
    <t>Terminal Value</t>
  </si>
  <si>
    <t>Comparables</t>
  </si>
  <si>
    <t>PV of Annual CF</t>
  </si>
  <si>
    <t>Dunkin Donuts</t>
  </si>
  <si>
    <t>Starbucks</t>
  </si>
  <si>
    <t>Resturant Brand International</t>
  </si>
  <si>
    <t>McDonalds</t>
  </si>
  <si>
    <t>Sales $M</t>
  </si>
  <si>
    <t>PV of Terminal Value</t>
  </si>
  <si>
    <t>Enterprise Value</t>
  </si>
  <si>
    <t>EBITDA $M</t>
  </si>
  <si>
    <t>Gross Profit Margin %</t>
  </si>
  <si>
    <t>Less: Cash and Cash equivalents</t>
  </si>
  <si>
    <t>No of shares outstanding</t>
  </si>
  <si>
    <t>EV/EBITDA</t>
  </si>
  <si>
    <t>Value of stock as per DCF</t>
  </si>
  <si>
    <t>P/E (trailing)</t>
  </si>
  <si>
    <t xml:space="preserve"> Market Price as of /4/14/20</t>
  </si>
  <si>
    <t>Debt/EBITDA</t>
  </si>
  <si>
    <t>Market Cap $M</t>
  </si>
  <si>
    <t>Assumptions</t>
  </si>
  <si>
    <t>Enterprise Value $M</t>
  </si>
  <si>
    <t>Discount Rate</t>
  </si>
  <si>
    <t>Debt $M</t>
  </si>
  <si>
    <t>Exit EBITDA Multiple</t>
  </si>
  <si>
    <t>Cash $M</t>
  </si>
  <si>
    <t>Tax Rate</t>
  </si>
  <si>
    <t>Working capital Rate</t>
  </si>
  <si>
    <t>P/E Into Share Prices</t>
  </si>
  <si>
    <t>Enterprise Value into Share Price</t>
  </si>
  <si>
    <t>EPS</t>
  </si>
  <si>
    <t>Shares Outstanding</t>
  </si>
  <si>
    <t>84 million</t>
  </si>
  <si>
    <t>P/E</t>
  </si>
  <si>
    <t>stock price</t>
  </si>
  <si>
    <t>Calculated from EV</t>
  </si>
  <si>
    <t>Current stock price</t>
  </si>
  <si>
    <t>Conclusion: Overvalued</t>
  </si>
  <si>
    <t>Conclusion: Undervalued</t>
  </si>
  <si>
    <t xml:space="preserve">Based on an external report (link below)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</si>
</sst>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"/>
    <numFmt numFmtId="165" formatCode="0.0%"/>
    <numFmt numFmtId="166" formatCode="&quot;$&quot;#,##0.00"/>
  </numFmts>
  <fonts count="20" x14ac:knownFonts="1">
    <font>
      <sz val="10"/>
      <color rgb="FF000000"/>
      <name val="Arial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0"/>
      <color rgb="FF0000FF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</font>
    <font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i/>
      <sz val="10"/>
      <color theme="1"/>
      <name val="Arial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left"/>
    </xf>
    <xf numFmtId="9" fontId="1" fillId="0" borderId="0" xfId="0" applyNumberFormat="1" applyFont="1" applyAlignment="1"/>
    <xf numFmtId="0" fontId="1" fillId="0" borderId="0" xfId="0" applyFont="1" applyAlignment="1">
      <alignment horizontal="right"/>
    </xf>
    <xf numFmtId="9" fontId="1" fillId="0" borderId="0" xfId="0" applyNumberFormat="1" applyFont="1" applyAlignment="1"/>
    <xf numFmtId="0" fontId="4" fillId="0" borderId="0" xfId="0" applyFont="1" applyAlignment="1"/>
    <xf numFmtId="2" fontId="4" fillId="0" borderId="0" xfId="0" applyNumberFormat="1" applyFont="1" applyAlignment="1"/>
    <xf numFmtId="2" fontId="4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4" fillId="0" borderId="1" xfId="0" applyFont="1" applyBorder="1" applyAlignment="1"/>
    <xf numFmtId="0" fontId="5" fillId="0" borderId="0" xfId="0" applyFont="1" applyAlignment="1"/>
    <xf numFmtId="2" fontId="6" fillId="0" borderId="0" xfId="0" applyNumberFormat="1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1" fillId="0" borderId="1" xfId="0" applyFont="1" applyBorder="1" applyAlignment="1"/>
    <xf numFmtId="0" fontId="4" fillId="0" borderId="0" xfId="0" applyFont="1"/>
    <xf numFmtId="2" fontId="4" fillId="0" borderId="0" xfId="0" applyNumberFormat="1" applyFont="1"/>
    <xf numFmtId="0" fontId="4" fillId="0" borderId="1" xfId="0" applyFont="1" applyBorder="1"/>
    <xf numFmtId="2" fontId="8" fillId="0" borderId="0" xfId="0" applyNumberFormat="1" applyFont="1" applyAlignment="1"/>
    <xf numFmtId="0" fontId="9" fillId="0" borderId="0" xfId="0" applyFont="1" applyAlignment="1"/>
    <xf numFmtId="0" fontId="4" fillId="0" borderId="0" xfId="0" applyFont="1" applyAlignment="1"/>
    <xf numFmtId="0" fontId="10" fillId="0" borderId="0" xfId="0" applyFont="1" applyAlignment="1"/>
    <xf numFmtId="8" fontId="1" fillId="0" borderId="0" xfId="0" applyNumberFormat="1" applyFont="1" applyAlignment="1"/>
    <xf numFmtId="0" fontId="12" fillId="0" borderId="0" xfId="0" applyFont="1" applyAlignment="1"/>
    <xf numFmtId="8" fontId="13" fillId="0" borderId="0" xfId="0" applyNumberFormat="1" applyFont="1" applyAlignment="1"/>
    <xf numFmtId="8" fontId="4" fillId="0" borderId="2" xfId="0" applyNumberFormat="1" applyFont="1" applyBorder="1" applyAlignment="1"/>
    <xf numFmtId="0" fontId="1" fillId="0" borderId="0" xfId="0" applyFont="1" applyAlignment="1"/>
    <xf numFmtId="8" fontId="1" fillId="0" borderId="0" xfId="0" applyNumberFormat="1" applyFont="1" applyAlignment="1"/>
    <xf numFmtId="0" fontId="10" fillId="0" borderId="0" xfId="0" applyFont="1" applyAlignment="1">
      <alignment horizontal="right"/>
    </xf>
    <xf numFmtId="3" fontId="1" fillId="0" borderId="0" xfId="0" applyNumberFormat="1" applyFont="1" applyAlignment="1"/>
    <xf numFmtId="3" fontId="4" fillId="0" borderId="0" xfId="0" applyNumberFormat="1" applyFont="1" applyAlignment="1"/>
    <xf numFmtId="0" fontId="14" fillId="0" borderId="0" xfId="0" applyFont="1" applyAlignment="1"/>
    <xf numFmtId="0" fontId="4" fillId="0" borderId="0" xfId="0" applyFont="1" applyAlignment="1"/>
    <xf numFmtId="0" fontId="15" fillId="0" borderId="0" xfId="0" applyFont="1" applyAlignment="1"/>
    <xf numFmtId="165" fontId="1" fillId="0" borderId="0" xfId="0" applyNumberFormat="1" applyFont="1" applyAlignment="1"/>
    <xf numFmtId="165" fontId="16" fillId="0" borderId="0" xfId="0" applyNumberFormat="1" applyFont="1" applyAlignment="1"/>
    <xf numFmtId="0" fontId="16" fillId="0" borderId="0" xfId="0" applyFont="1" applyAlignment="1"/>
    <xf numFmtId="10" fontId="1" fillId="0" borderId="0" xfId="0" applyNumberFormat="1" applyFont="1" applyAlignment="1"/>
    <xf numFmtId="0" fontId="17" fillId="0" borderId="0" xfId="0" applyFont="1" applyAlignment="1"/>
    <xf numFmtId="0" fontId="18" fillId="0" borderId="0" xfId="0" applyFont="1" applyAlignment="1"/>
    <xf numFmtId="0" fontId="10" fillId="0" borderId="0" xfId="0" applyFont="1" applyAlignment="1">
      <alignment horizontal="right"/>
    </xf>
    <xf numFmtId="0" fontId="19" fillId="0" borderId="0" xfId="0" applyFont="1" applyAlignment="1"/>
    <xf numFmtId="0" fontId="10" fillId="0" borderId="0" xfId="0" applyFont="1" applyAlignment="1"/>
    <xf numFmtId="0" fontId="10" fillId="0" borderId="3" xfId="0" applyFont="1" applyBorder="1" applyAlignment="1">
      <alignment horizontal="right"/>
    </xf>
    <xf numFmtId="166" fontId="10" fillId="0" borderId="0" xfId="0" applyNumberFormat="1" applyFont="1" applyAlignment="1"/>
    <xf numFmtId="166" fontId="10" fillId="0" borderId="1" xfId="0" applyNumberFormat="1" applyFont="1" applyBorder="1" applyAlignment="1"/>
    <xf numFmtId="166" fontId="10" fillId="0" borderId="4" xfId="0" applyNumberFormat="1" applyFont="1" applyBorder="1" applyAlignment="1"/>
    <xf numFmtId="0" fontId="19" fillId="0" borderId="0" xfId="0" applyFont="1" applyAlignment="1"/>
    <xf numFmtId="0" fontId="0" fillId="0" borderId="0" xfId="0" applyFont="1" applyAlignment="1"/>
    <xf numFmtId="0" fontId="11" fillId="0" borderId="5" xfId="0" applyFont="1" applyBorder="1" applyAlignment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/>
    <xf numFmtId="164" fontId="10" fillId="0" borderId="9" xfId="0" applyNumberFormat="1" applyFont="1" applyBorder="1" applyAlignment="1"/>
    <xf numFmtId="164" fontId="10" fillId="0" borderId="10" xfId="0" applyNumberFormat="1" applyFont="1" applyBorder="1" applyAlignment="1"/>
    <xf numFmtId="9" fontId="10" fillId="0" borderId="9" xfId="0" applyNumberFormat="1" applyFont="1" applyBorder="1" applyAlignment="1">
      <alignment horizontal="right"/>
    </xf>
    <xf numFmtId="9" fontId="10" fillId="0" borderId="10" xfId="0" applyNumberFormat="1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1" xfId="0" applyFont="1" applyBorder="1" applyAlignment="1"/>
    <xf numFmtId="164" fontId="10" fillId="0" borderId="12" xfId="0" applyNumberFormat="1" applyFont="1" applyBorder="1" applyAlignment="1"/>
    <xf numFmtId="164" fontId="10" fillId="0" borderId="1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nalysisreport.morningstar.com/stock/research/c-report?&amp;t=XNAS:DNKN&amp;region=usa&amp;culture=zh-TW&amp;productcode=QS&amp;cur=&amp;urlCookie=8997523520&amp;e=eyJhbGciOiJSU0EtT0FFUCIsImVuYyI6IkExMjhHQ00ifQ.eY-s57E4rNn2aO0mdtQy4usd4MgSf5udSvrSfPlx1CR8UvQL-J2fAl-VM8li_sYc2QXO6QycfEv8yVzZ2N7bvNHC1yYrw-7azD4-Pf7enaNTK3hrGGLRpuQvnb2fsYaVrl-rfNY9qF3MT8zv4yY_C5NnYALL7i3LU5WCtOqboUw.iwvYb9QzHz9tiTU6.b1EtzaNCVJLTwN7nrWWU9ZQn7_OGtfjIvpEdxG7NfHa1yz5DACf2DqQpY81QZyqOxd0tKNnorEdis7OdtDYff3cciQOYIv1UMV7KsWI5niMGxHHw1nh4ozFv3nYYdqLDS71TH6mxu-rpQGcH18aD8HBBdTvFussfYiSI7U88YebdZhlGyZVxBAiYvgZteGXZN1xQKJTWc1Z2pQPdzn9-KaIDqVz2XsG87r6LOGk.SkvwYrJFtA4f2pft6D_J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workbookViewId="0"/>
  </sheetViews>
  <sheetFormatPr baseColWidth="10" defaultColWidth="14.5" defaultRowHeight="15" customHeight="1" x14ac:dyDescent="0.15"/>
  <cols>
    <col min="1" max="1" width="32.6640625" customWidth="1"/>
    <col min="2" max="2" width="17.6640625" customWidth="1"/>
    <col min="3" max="3" width="18.33203125" customWidth="1"/>
    <col min="4" max="4" width="18.1640625" customWidth="1"/>
    <col min="5" max="5" width="17.83203125" customWidth="1"/>
    <col min="6" max="6" width="16.1640625" customWidth="1"/>
    <col min="7" max="7" width="18.1640625" customWidth="1"/>
    <col min="8" max="26" width="8" customWidth="1"/>
  </cols>
  <sheetData>
    <row r="1" spans="1:9" ht="12.75" customHeight="1" x14ac:dyDescent="0.2">
      <c r="A1" s="1"/>
      <c r="B1" s="2" t="s">
        <v>1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</row>
    <row r="2" spans="1:9" ht="12.75" customHeight="1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ht="12.75" customHeight="1" x14ac:dyDescent="0.2">
      <c r="A3" s="3" t="s">
        <v>8</v>
      </c>
      <c r="B3" s="4">
        <v>1370227</v>
      </c>
      <c r="C3" s="4">
        <f t="shared" ref="C3:D3" si="0">B3*B4+B3</f>
        <v>1310074.0347</v>
      </c>
      <c r="D3" s="4">
        <f t="shared" si="0"/>
        <v>1252561.78457667</v>
      </c>
      <c r="E3" s="4">
        <f>(D3*D4)+D3</f>
        <v>1307549.2469195859</v>
      </c>
      <c r="F3" s="4">
        <f t="shared" ref="F3:G3" si="1">E3*E4+E3</f>
        <v>1364950.6588593556</v>
      </c>
      <c r="G3" s="4">
        <f t="shared" si="1"/>
        <v>1424871.9927832813</v>
      </c>
    </row>
    <row r="4" spans="1:9" ht="12.75" customHeight="1" x14ac:dyDescent="0.2">
      <c r="A4" s="6" t="s">
        <v>9</v>
      </c>
      <c r="B4" s="7">
        <v>-4.3900000000000002E-2</v>
      </c>
      <c r="C4" s="7">
        <v>-4.3900000000000002E-2</v>
      </c>
      <c r="D4" s="7">
        <v>4.3900000000000002E-2</v>
      </c>
      <c r="E4" s="7">
        <v>4.3900000000000002E-2</v>
      </c>
      <c r="F4" s="7">
        <v>4.3900000000000002E-2</v>
      </c>
      <c r="G4" s="7">
        <v>4.3900000000000002E-2</v>
      </c>
    </row>
    <row r="5" spans="1:9" ht="12.75" customHeight="1" x14ac:dyDescent="0.2">
      <c r="A5" s="8"/>
      <c r="B5" s="9"/>
      <c r="C5" s="9"/>
      <c r="E5" s="9"/>
      <c r="F5" s="9"/>
      <c r="G5" s="9"/>
    </row>
    <row r="6" spans="1:9" ht="12.75" customHeight="1" x14ac:dyDescent="0.2">
      <c r="A6" s="10" t="s">
        <v>10</v>
      </c>
      <c r="B6" s="11">
        <v>485107</v>
      </c>
      <c r="C6" s="12">
        <f t="shared" ref="C6:G6" si="2">C3*35.4%</f>
        <v>463766.20828379993</v>
      </c>
      <c r="D6" s="11">
        <f t="shared" si="2"/>
        <v>443406.87174014119</v>
      </c>
      <c r="E6" s="12">
        <f t="shared" si="2"/>
        <v>462872.43340953335</v>
      </c>
      <c r="F6" s="12">
        <f t="shared" si="2"/>
        <v>483192.53323621186</v>
      </c>
      <c r="G6" s="12">
        <f t="shared" si="2"/>
        <v>504404.68544528156</v>
      </c>
    </row>
    <row r="7" spans="1:9" ht="12.75" customHeight="1" x14ac:dyDescent="0.2">
      <c r="A7" s="1"/>
      <c r="B7" s="1"/>
      <c r="C7" s="13"/>
      <c r="D7" s="1"/>
      <c r="E7" s="1"/>
      <c r="F7" s="1"/>
      <c r="G7" s="1"/>
    </row>
    <row r="8" spans="1:9" ht="12.75" customHeight="1" x14ac:dyDescent="0.2">
      <c r="A8" s="1" t="s">
        <v>11</v>
      </c>
      <c r="B8" s="3">
        <v>42378</v>
      </c>
      <c r="C8" s="14">
        <f>B8/B6*C6</f>
        <v>40513.7101189034</v>
      </c>
      <c r="D8" s="1">
        <f>B8/B6*D6</f>
        <v>38735.158244683545</v>
      </c>
      <c r="E8" s="1">
        <f>B8/B6*E6</f>
        <v>40435.631691625153</v>
      </c>
      <c r="F8" s="1">
        <f>B8/B6*F6</f>
        <v>42210.755922887496</v>
      </c>
      <c r="G8" s="1">
        <f>B8/B6*G6</f>
        <v>44063.80810790226</v>
      </c>
    </row>
    <row r="9" spans="1:9" ht="12.75" customHeight="1" x14ac:dyDescent="0.2">
      <c r="A9" s="1" t="s">
        <v>13</v>
      </c>
      <c r="B9" s="3">
        <v>0</v>
      </c>
      <c r="C9" s="17">
        <v>0</v>
      </c>
      <c r="D9" s="19">
        <v>0</v>
      </c>
      <c r="E9" s="19">
        <v>0</v>
      </c>
      <c r="F9" s="19">
        <v>0</v>
      </c>
      <c r="G9" s="19">
        <v>0</v>
      </c>
    </row>
    <row r="10" spans="1:9" ht="12.75" customHeight="1" x14ac:dyDescent="0.2">
      <c r="A10" s="21" t="s">
        <v>15</v>
      </c>
      <c r="B10" s="22">
        <f>B6-B8</f>
        <v>442729</v>
      </c>
      <c r="C10" s="12">
        <f t="shared" ref="C10:G10" si="3">C6-C8-C9</f>
        <v>423252.4981648965</v>
      </c>
      <c r="D10" s="12">
        <f t="shared" si="3"/>
        <v>404671.71349545766</v>
      </c>
      <c r="E10" s="12">
        <f t="shared" si="3"/>
        <v>422436.80171790818</v>
      </c>
      <c r="F10" s="12">
        <f t="shared" si="3"/>
        <v>440981.77731332439</v>
      </c>
      <c r="G10" s="12">
        <f t="shared" si="3"/>
        <v>460340.87733737932</v>
      </c>
    </row>
    <row r="11" spans="1:9" ht="12.75" customHeight="1" x14ac:dyDescent="0.2">
      <c r="A11" s="1"/>
      <c r="B11" s="1"/>
      <c r="C11" s="13"/>
      <c r="D11" s="13"/>
      <c r="E11" s="13"/>
      <c r="F11" s="13"/>
      <c r="G11" s="13"/>
    </row>
    <row r="12" spans="1:9" ht="12.75" customHeight="1" x14ac:dyDescent="0.2">
      <c r="A12" s="3" t="s">
        <v>23</v>
      </c>
      <c r="B12" s="3">
        <v>77238</v>
      </c>
      <c r="C12" s="24">
        <f t="shared" ref="C12:G12" si="4">C10*0.242</f>
        <v>102427.10455590495</v>
      </c>
      <c r="D12" s="24">
        <f t="shared" si="4"/>
        <v>97930.554665900752</v>
      </c>
      <c r="E12" s="24">
        <f t="shared" si="4"/>
        <v>102229.70601573378</v>
      </c>
      <c r="F12" s="24">
        <f t="shared" si="4"/>
        <v>106717.59010982449</v>
      </c>
      <c r="G12" s="24">
        <f t="shared" si="4"/>
        <v>111402.4923156458</v>
      </c>
      <c r="I12" s="25"/>
    </row>
    <row r="13" spans="1:9" ht="12.75" customHeight="1" x14ac:dyDescent="0.2">
      <c r="A13" s="1" t="s">
        <v>24</v>
      </c>
      <c r="B13" s="22">
        <f t="shared" ref="B13:G13" si="5">B10-B12</f>
        <v>365491</v>
      </c>
      <c r="C13" s="12">
        <f t="shared" si="5"/>
        <v>320825.39360899152</v>
      </c>
      <c r="D13" s="12">
        <f t="shared" si="5"/>
        <v>306741.15882955689</v>
      </c>
      <c r="E13" s="12">
        <f t="shared" si="5"/>
        <v>320207.09570217441</v>
      </c>
      <c r="F13" s="12">
        <f t="shared" si="5"/>
        <v>334264.1872034999</v>
      </c>
      <c r="G13" s="12">
        <f t="shared" si="5"/>
        <v>348938.38502173353</v>
      </c>
    </row>
    <row r="14" spans="1:9" ht="12.75" customHeight="1" x14ac:dyDescent="0.2">
      <c r="A14" s="1"/>
      <c r="B14" s="1"/>
      <c r="C14" s="13"/>
      <c r="D14" s="13"/>
      <c r="E14" s="13"/>
      <c r="F14" s="13"/>
      <c r="G14" s="13"/>
    </row>
    <row r="15" spans="1:9" ht="12.75" customHeight="1" x14ac:dyDescent="0.2">
      <c r="A15" s="1" t="s">
        <v>25</v>
      </c>
      <c r="B15" s="3">
        <v>42378</v>
      </c>
      <c r="C15" s="13">
        <f t="shared" ref="C15:G15" si="6">C8</f>
        <v>40513.7101189034</v>
      </c>
      <c r="D15" s="13">
        <f t="shared" si="6"/>
        <v>38735.158244683545</v>
      </c>
      <c r="E15" s="13">
        <f t="shared" si="6"/>
        <v>40435.631691625153</v>
      </c>
      <c r="F15" s="13">
        <f t="shared" si="6"/>
        <v>42210.755922887496</v>
      </c>
      <c r="G15" s="13">
        <f t="shared" si="6"/>
        <v>44063.80810790226</v>
      </c>
    </row>
    <row r="16" spans="1:9" ht="12.75" customHeight="1" x14ac:dyDescent="0.2">
      <c r="A16" s="1" t="s">
        <v>26</v>
      </c>
      <c r="B16" s="3">
        <v>0</v>
      </c>
      <c r="C16" s="13">
        <f t="shared" ref="C16:G16" si="7">C9</f>
        <v>0</v>
      </c>
      <c r="D16" s="13">
        <f t="shared" si="7"/>
        <v>0</v>
      </c>
      <c r="E16" s="13">
        <f t="shared" si="7"/>
        <v>0</v>
      </c>
      <c r="F16" s="13">
        <f t="shared" si="7"/>
        <v>0</v>
      </c>
      <c r="G16" s="13">
        <f t="shared" si="7"/>
        <v>0</v>
      </c>
    </row>
    <row r="17" spans="1:8" ht="12.75" customHeight="1" x14ac:dyDescent="0.2">
      <c r="A17" s="1" t="s">
        <v>27</v>
      </c>
      <c r="B17" s="3">
        <v>-1504</v>
      </c>
      <c r="C17" s="13">
        <f>-(C3-B3)*C36</f>
        <v>14262.26807263001</v>
      </c>
      <c r="D17" s="13">
        <f>-(D3-C3)*$C$36</f>
        <v>13636.154504241526</v>
      </c>
      <c r="E17" s="13">
        <f>-(E3-D3)*C36</f>
        <v>-13037.527321505342</v>
      </c>
      <c r="F17" s="13">
        <f t="shared" ref="F17:G17" si="8">-(F3-E3)*$C$36</f>
        <v>-13609.874770919409</v>
      </c>
      <c r="G17" s="13">
        <f t="shared" si="8"/>
        <v>-14207.348273362772</v>
      </c>
    </row>
    <row r="18" spans="1:8" ht="12.75" customHeight="1" x14ac:dyDescent="0.2">
      <c r="A18" s="1" t="s">
        <v>28</v>
      </c>
      <c r="B18" s="3">
        <v>-36762</v>
      </c>
      <c r="C18" s="24">
        <f t="shared" ref="C18:G18" si="9">-C8</f>
        <v>-40513.7101189034</v>
      </c>
      <c r="D18" s="24">
        <f t="shared" si="9"/>
        <v>-38735.158244683545</v>
      </c>
      <c r="E18" s="24">
        <f t="shared" si="9"/>
        <v>-40435.631691625153</v>
      </c>
      <c r="F18" s="24">
        <f t="shared" si="9"/>
        <v>-42210.755922887496</v>
      </c>
      <c r="G18" s="24">
        <f t="shared" si="9"/>
        <v>-44063.80810790226</v>
      </c>
      <c r="H18" s="25"/>
    </row>
    <row r="19" spans="1:8" ht="12.75" customHeight="1" x14ac:dyDescent="0.2">
      <c r="A19" s="26" t="s">
        <v>29</v>
      </c>
      <c r="B19" s="12">
        <f>SUM(B13,B15:B18)</f>
        <v>369603</v>
      </c>
      <c r="C19" s="12">
        <f t="shared" ref="C19:G19" si="10">SUM(C13:C18)</f>
        <v>335087.66168162157</v>
      </c>
      <c r="D19" s="12">
        <f t="shared" si="10"/>
        <v>320377.31333379843</v>
      </c>
      <c r="E19" s="12">
        <f t="shared" si="10"/>
        <v>307169.56838066905</v>
      </c>
      <c r="F19" s="12">
        <f t="shared" si="10"/>
        <v>320654.31243258051</v>
      </c>
      <c r="G19" s="12">
        <f t="shared" si="10"/>
        <v>334731.03674837074</v>
      </c>
    </row>
    <row r="20" spans="1:8" ht="12.75" customHeight="1" x14ac:dyDescent="0.2">
      <c r="A20" s="1"/>
      <c r="B20" s="1"/>
      <c r="C20" s="1"/>
      <c r="D20" s="1"/>
      <c r="E20" s="1"/>
      <c r="F20" s="1"/>
      <c r="G20" s="1"/>
    </row>
    <row r="21" spans="1:8" ht="12.75" customHeight="1" x14ac:dyDescent="0.2">
      <c r="A21" s="1"/>
      <c r="B21" s="1"/>
      <c r="C21" s="1"/>
      <c r="D21" s="1"/>
      <c r="E21" s="1" t="s">
        <v>30</v>
      </c>
      <c r="F21" s="1"/>
      <c r="G21" s="3">
        <v>10.35</v>
      </c>
    </row>
    <row r="22" spans="1:8" ht="12.75" customHeight="1" x14ac:dyDescent="0.2">
      <c r="A22" s="1"/>
      <c r="B22" s="1"/>
      <c r="C22" s="1"/>
      <c r="D22" s="1"/>
      <c r="E22" s="26" t="s">
        <v>31</v>
      </c>
      <c r="F22" s="1"/>
      <c r="G22" s="26">
        <f>+G6*G21</f>
        <v>5220588.4943586644</v>
      </c>
    </row>
    <row r="23" spans="1:8" ht="12.75" customHeight="1" x14ac:dyDescent="0.2">
      <c r="A23" s="1"/>
      <c r="B23" s="1"/>
      <c r="C23" s="1"/>
      <c r="D23" s="1"/>
      <c r="E23" s="1"/>
      <c r="F23" s="1"/>
      <c r="G23" s="1"/>
    </row>
    <row r="24" spans="1:8" ht="12.75" customHeight="1" x14ac:dyDescent="0.2">
      <c r="A24" s="1"/>
      <c r="B24" s="1"/>
      <c r="C24" s="1"/>
      <c r="D24" s="1"/>
      <c r="E24" s="1"/>
      <c r="F24" s="1"/>
      <c r="G24" s="1"/>
    </row>
    <row r="25" spans="1:8" ht="12.75" customHeight="1" x14ac:dyDescent="0.2">
      <c r="A25" s="1" t="s">
        <v>33</v>
      </c>
      <c r="B25" s="1"/>
      <c r="C25" s="28">
        <f t="array" ref="C25">NPV(C33,C19:G19)</f>
        <v>1306001.4038695458</v>
      </c>
      <c r="D25" s="29" t="s">
        <v>29</v>
      </c>
      <c r="E25" s="1"/>
      <c r="F25" s="1"/>
      <c r="G25" s="1"/>
    </row>
    <row r="26" spans="1:8" ht="13.5" customHeight="1" x14ac:dyDescent="0.2">
      <c r="A26" s="1" t="s">
        <v>39</v>
      </c>
      <c r="B26" s="1"/>
      <c r="C26" s="30">
        <f>-PV(C33,5,0,G22)</f>
        <v>3619579.3782207393</v>
      </c>
      <c r="D26" s="1"/>
      <c r="E26" s="1"/>
      <c r="F26" s="1"/>
      <c r="G26" s="1"/>
    </row>
    <row r="27" spans="1:8" ht="14.25" customHeight="1" x14ac:dyDescent="0.2">
      <c r="A27" s="26" t="s">
        <v>40</v>
      </c>
      <c r="B27" s="26"/>
      <c r="C27" s="31">
        <f>+C25+C26</f>
        <v>4925580.7820902849</v>
      </c>
      <c r="D27" s="1"/>
      <c r="E27" s="1"/>
      <c r="F27" s="1"/>
      <c r="G27" s="1"/>
    </row>
    <row r="28" spans="1:8" ht="13.5" customHeight="1" x14ac:dyDescent="0.2">
      <c r="A28" s="3" t="s">
        <v>44</v>
      </c>
      <c r="B28" s="1"/>
      <c r="C28" s="35">
        <v>82587373</v>
      </c>
      <c r="D28" s="1"/>
      <c r="E28" s="1"/>
      <c r="F28" s="1"/>
      <c r="G28" s="1"/>
    </row>
    <row r="29" spans="1:8" ht="12.75" customHeight="1" x14ac:dyDescent="0.2">
      <c r="A29" s="37" t="s">
        <v>46</v>
      </c>
      <c r="B29" s="1"/>
      <c r="C29" s="1">
        <f>(C27/C28)*1000</f>
        <v>59.640845848072743</v>
      </c>
      <c r="D29" s="1">
        <f>D27/C28</f>
        <v>0</v>
      </c>
      <c r="E29" s="1"/>
      <c r="F29" s="1"/>
      <c r="G29" s="1"/>
    </row>
    <row r="30" spans="1:8" ht="12.75" customHeight="1" x14ac:dyDescent="0.2">
      <c r="A30" s="37" t="s">
        <v>48</v>
      </c>
      <c r="B30" s="1"/>
      <c r="C30" s="3">
        <v>56.74</v>
      </c>
      <c r="D30" s="1"/>
      <c r="E30" s="1"/>
      <c r="F30" s="1"/>
      <c r="G30" s="1"/>
    </row>
    <row r="31" spans="1:8" ht="12.75" customHeight="1" x14ac:dyDescent="0.2">
      <c r="A31" s="39"/>
      <c r="B31" s="1"/>
      <c r="C31" s="1"/>
      <c r="D31" s="1"/>
      <c r="E31" s="1"/>
      <c r="F31" s="1"/>
      <c r="G31" s="1"/>
    </row>
    <row r="32" spans="1:8" ht="12.75" customHeight="1" x14ac:dyDescent="0.2">
      <c r="A32" s="39" t="s">
        <v>51</v>
      </c>
      <c r="B32" s="1"/>
      <c r="C32" s="40"/>
      <c r="D32" s="29"/>
      <c r="E32" s="1"/>
      <c r="F32" s="1"/>
      <c r="G32" s="1"/>
    </row>
    <row r="33" spans="1:7" ht="12.75" customHeight="1" x14ac:dyDescent="0.2">
      <c r="A33" s="1" t="s">
        <v>53</v>
      </c>
      <c r="B33" s="1"/>
      <c r="C33" s="41">
        <v>7.5999999999999998E-2</v>
      </c>
      <c r="D33" s="1"/>
      <c r="E33" s="1"/>
      <c r="F33" s="1"/>
      <c r="G33" s="1"/>
    </row>
    <row r="34" spans="1:7" ht="12.75" customHeight="1" x14ac:dyDescent="0.2">
      <c r="A34" s="1" t="s">
        <v>55</v>
      </c>
      <c r="B34" s="1"/>
      <c r="C34" s="42">
        <v>10.35</v>
      </c>
      <c r="D34" s="1"/>
      <c r="E34" s="1"/>
      <c r="F34" s="1"/>
      <c r="G34" s="1"/>
    </row>
    <row r="35" spans="1:7" ht="12.75" customHeight="1" x14ac:dyDescent="0.2">
      <c r="A35" s="1" t="s">
        <v>57</v>
      </c>
      <c r="B35" s="1"/>
      <c r="C35" s="7">
        <v>0.24199999999999999</v>
      </c>
      <c r="D35" s="1"/>
      <c r="E35" s="1"/>
      <c r="F35" s="1"/>
      <c r="G35" s="1"/>
    </row>
    <row r="36" spans="1:7" ht="12.75" customHeight="1" x14ac:dyDescent="0.2">
      <c r="A36" s="1" t="s">
        <v>58</v>
      </c>
      <c r="C36" s="43">
        <v>0.23710000000000001</v>
      </c>
    </row>
    <row r="37" spans="1:7" ht="12.75" customHeight="1" x14ac:dyDescent="0.15"/>
    <row r="38" spans="1:7" ht="12.75" customHeight="1" x14ac:dyDescent="0.15"/>
    <row r="39" spans="1:7" ht="12.75" customHeight="1" x14ac:dyDescent="0.2">
      <c r="A39" s="44"/>
      <c r="B39" s="44"/>
      <c r="C39" s="44"/>
      <c r="D39" s="44"/>
    </row>
    <row r="40" spans="1:7" ht="12.75" customHeight="1" x14ac:dyDescent="0.2">
      <c r="A40" s="16"/>
      <c r="B40" s="44"/>
      <c r="C40" s="44"/>
    </row>
    <row r="41" spans="1:7" ht="12.75" customHeight="1" x14ac:dyDescent="0.2">
      <c r="A41" s="44"/>
      <c r="B41" s="44"/>
      <c r="C41" s="44"/>
      <c r="E41" s="44"/>
    </row>
    <row r="42" spans="1:7" ht="12.75" customHeight="1" x14ac:dyDescent="0.2">
      <c r="A42" s="44"/>
      <c r="B42" s="44"/>
      <c r="C42" s="44"/>
      <c r="E42" s="44"/>
    </row>
    <row r="43" spans="1:7" ht="12.75" customHeight="1" x14ac:dyDescent="0.2">
      <c r="A43" s="44"/>
      <c r="B43" s="44"/>
      <c r="C43" s="44"/>
    </row>
    <row r="44" spans="1:7" ht="12.75" customHeight="1" x14ac:dyDescent="0.2">
      <c r="A44" s="44"/>
      <c r="B44" s="44"/>
      <c r="C44" s="44"/>
    </row>
    <row r="45" spans="1:7" ht="12.75" customHeight="1" x14ac:dyDescent="0.2">
      <c r="A45" s="44"/>
    </row>
    <row r="46" spans="1:7" ht="12.75" customHeight="1" x14ac:dyDescent="0.2">
      <c r="A46" s="16"/>
    </row>
    <row r="47" spans="1:7" ht="12.75" customHeight="1" x14ac:dyDescent="0.2">
      <c r="A47" s="44"/>
      <c r="B47" s="44"/>
      <c r="C47" s="44"/>
    </row>
    <row r="48" spans="1:7" ht="12.75" customHeight="1" x14ac:dyDescent="0.2">
      <c r="A48" s="44"/>
      <c r="B48" s="44"/>
      <c r="C48" s="44"/>
    </row>
    <row r="49" spans="1:13" ht="12.75" customHeight="1" x14ac:dyDescent="0.2">
      <c r="A49" s="44"/>
      <c r="B49" s="44"/>
      <c r="C49" s="44"/>
      <c r="M49" s="45"/>
    </row>
    <row r="50" spans="1:13" ht="12.75" customHeight="1" x14ac:dyDescent="0.2">
      <c r="A50" s="44"/>
      <c r="B50" s="44"/>
      <c r="C50" s="44"/>
    </row>
    <row r="51" spans="1:13" ht="12.75" customHeight="1" x14ac:dyDescent="0.15"/>
    <row r="52" spans="1:13" ht="12.75" customHeight="1" x14ac:dyDescent="0.15"/>
    <row r="53" spans="1:13" ht="12.75" customHeight="1" x14ac:dyDescent="0.15"/>
    <row r="54" spans="1:13" ht="12.75" customHeight="1" x14ac:dyDescent="0.15"/>
    <row r="55" spans="1:13" ht="12.75" customHeight="1" x14ac:dyDescent="0.15"/>
    <row r="56" spans="1:13" ht="12.75" customHeight="1" x14ac:dyDescent="0.15"/>
    <row r="57" spans="1:13" ht="12.75" customHeight="1" x14ac:dyDescent="0.15"/>
    <row r="58" spans="1:13" ht="12.75" customHeight="1" x14ac:dyDescent="0.15"/>
    <row r="59" spans="1:13" ht="12.75" customHeight="1" x14ac:dyDescent="0.15"/>
    <row r="60" spans="1:13" ht="12.75" customHeight="1" x14ac:dyDescent="0.15"/>
    <row r="61" spans="1:13" ht="12.75" customHeight="1" x14ac:dyDescent="0.15"/>
    <row r="62" spans="1:13" ht="12.75" customHeight="1" x14ac:dyDescent="0.15"/>
    <row r="63" spans="1:13" ht="12.75" customHeight="1" x14ac:dyDescent="0.15"/>
    <row r="64" spans="1:13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6"/>
  <sheetViews>
    <sheetView workbookViewId="0"/>
  </sheetViews>
  <sheetFormatPr baseColWidth="10" defaultColWidth="14.5" defaultRowHeight="15" customHeight="1" x14ac:dyDescent="0.15"/>
  <cols>
    <col min="1" max="1" width="32.6640625" customWidth="1"/>
    <col min="2" max="2" width="17.6640625" customWidth="1"/>
    <col min="3" max="3" width="18.33203125" customWidth="1"/>
    <col min="4" max="4" width="18.1640625" customWidth="1"/>
    <col min="5" max="5" width="17.83203125" customWidth="1"/>
    <col min="6" max="6" width="16.1640625" customWidth="1"/>
    <col min="7" max="7" width="18.1640625" customWidth="1"/>
    <col min="8" max="26" width="8" customWidth="1"/>
  </cols>
  <sheetData>
    <row r="1" spans="1:9" ht="12.75" customHeight="1" x14ac:dyDescent="0.2">
      <c r="A1" s="1"/>
      <c r="B1" s="2" t="s">
        <v>1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</row>
    <row r="2" spans="1:9" ht="12.75" customHeight="1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ht="12.75" customHeight="1" x14ac:dyDescent="0.2">
      <c r="A3" s="3" t="s">
        <v>8</v>
      </c>
      <c r="B3" s="4">
        <v>1370227</v>
      </c>
      <c r="C3" s="4">
        <f t="shared" ref="C3:D3" si="0">B3*B4+B3</f>
        <v>1310074.0347</v>
      </c>
      <c r="D3" s="4">
        <f t="shared" si="0"/>
        <v>1257671.0733119999</v>
      </c>
      <c r="E3" s="4">
        <f>(D3*D4)+D3</f>
        <v>1320554.6269775999</v>
      </c>
      <c r="F3" s="4">
        <f t="shared" ref="F3:G3" si="1">E3*E4+E3</f>
        <v>1399787.9045962559</v>
      </c>
      <c r="G3" s="4">
        <f t="shared" si="1"/>
        <v>1483775.1788720312</v>
      </c>
    </row>
    <row r="4" spans="1:9" ht="12.75" customHeight="1" x14ac:dyDescent="0.2">
      <c r="A4" s="6" t="s">
        <v>9</v>
      </c>
      <c r="B4" s="7">
        <v>-4.3900000000000002E-2</v>
      </c>
      <c r="C4" s="7">
        <v>-0.04</v>
      </c>
      <c r="D4" s="7">
        <v>0.05</v>
      </c>
      <c r="E4" s="7">
        <v>0.06</v>
      </c>
      <c r="F4" s="7">
        <v>0.06</v>
      </c>
      <c r="G4" s="7">
        <v>0.06</v>
      </c>
    </row>
    <row r="5" spans="1:9" ht="12.75" customHeight="1" x14ac:dyDescent="0.2">
      <c r="A5" s="8"/>
      <c r="B5" s="9"/>
      <c r="C5" s="9"/>
      <c r="E5" s="9"/>
      <c r="F5" s="9"/>
      <c r="G5" s="9"/>
    </row>
    <row r="6" spans="1:9" ht="12.75" customHeight="1" x14ac:dyDescent="0.2">
      <c r="A6" s="10" t="s">
        <v>10</v>
      </c>
      <c r="B6" s="11">
        <v>485107</v>
      </c>
      <c r="C6" s="12">
        <f t="shared" ref="C6:G6" si="2">C3*35.4%</f>
        <v>463766.20828379993</v>
      </c>
      <c r="D6" s="11">
        <f t="shared" si="2"/>
        <v>445215.55995244795</v>
      </c>
      <c r="E6" s="12">
        <f t="shared" si="2"/>
        <v>467476.33795007033</v>
      </c>
      <c r="F6" s="12">
        <f t="shared" si="2"/>
        <v>495524.91822707455</v>
      </c>
      <c r="G6" s="12">
        <f t="shared" si="2"/>
        <v>525256.41332069901</v>
      </c>
    </row>
    <row r="7" spans="1:9" ht="12.75" customHeight="1" x14ac:dyDescent="0.2">
      <c r="A7" s="1"/>
      <c r="B7" s="1"/>
      <c r="C7" s="13"/>
      <c r="D7" s="1"/>
      <c r="E7" s="1"/>
      <c r="F7" s="1"/>
      <c r="G7" s="1"/>
    </row>
    <row r="8" spans="1:9" ht="12.75" customHeight="1" x14ac:dyDescent="0.2">
      <c r="A8" s="1" t="s">
        <v>11</v>
      </c>
      <c r="B8" s="3">
        <v>42378</v>
      </c>
      <c r="C8" s="14">
        <f>B8/B6*C6</f>
        <v>40513.7101189034</v>
      </c>
      <c r="D8" s="1">
        <f>B8/B6*D6</f>
        <v>38893.161714147267</v>
      </c>
      <c r="E8" s="1">
        <f>B8/B6*E6</f>
        <v>40837.819799854631</v>
      </c>
      <c r="F8" s="1">
        <f>B8/B6*F6</f>
        <v>43288.088987845906</v>
      </c>
      <c r="G8" s="1">
        <f>B8/B6*G6</f>
        <v>45885.37432711666</v>
      </c>
    </row>
    <row r="9" spans="1:9" ht="12.75" customHeight="1" x14ac:dyDescent="0.2">
      <c r="A9" s="1" t="s">
        <v>13</v>
      </c>
      <c r="B9" s="3">
        <v>0</v>
      </c>
      <c r="C9" s="17">
        <v>0</v>
      </c>
      <c r="D9" s="19">
        <v>0</v>
      </c>
      <c r="E9" s="19">
        <v>0</v>
      </c>
      <c r="F9" s="19">
        <v>0</v>
      </c>
      <c r="G9" s="19">
        <v>0</v>
      </c>
    </row>
    <row r="10" spans="1:9" ht="12.75" customHeight="1" x14ac:dyDescent="0.2">
      <c r="A10" s="21" t="s">
        <v>15</v>
      </c>
      <c r="B10" s="22">
        <f>B6-B8</f>
        <v>442729</v>
      </c>
      <c r="C10" s="12">
        <f t="shared" ref="C10:G10" si="3">C6-C8-C9</f>
        <v>423252.4981648965</v>
      </c>
      <c r="D10" s="12">
        <f t="shared" si="3"/>
        <v>406322.3982383007</v>
      </c>
      <c r="E10" s="12">
        <f t="shared" si="3"/>
        <v>426638.51815021568</v>
      </c>
      <c r="F10" s="12">
        <f t="shared" si="3"/>
        <v>452236.82923922862</v>
      </c>
      <c r="G10" s="12">
        <f t="shared" si="3"/>
        <v>479371.03899358236</v>
      </c>
    </row>
    <row r="11" spans="1:9" ht="12.75" customHeight="1" x14ac:dyDescent="0.2">
      <c r="A11" s="1"/>
      <c r="B11" s="1"/>
      <c r="C11" s="13"/>
      <c r="D11" s="13"/>
      <c r="E11" s="13"/>
      <c r="F11" s="13"/>
      <c r="G11" s="13"/>
    </row>
    <row r="12" spans="1:9" ht="12.75" customHeight="1" x14ac:dyDescent="0.2">
      <c r="A12" s="3" t="s">
        <v>23</v>
      </c>
      <c r="B12" s="3">
        <v>77238</v>
      </c>
      <c r="C12" s="24">
        <f t="shared" ref="C12:G12" si="4">C10*0.242</f>
        <v>102427.10455590495</v>
      </c>
      <c r="D12" s="24">
        <f t="shared" si="4"/>
        <v>98330.020373668769</v>
      </c>
      <c r="E12" s="24">
        <f t="shared" si="4"/>
        <v>103246.5213923522</v>
      </c>
      <c r="F12" s="24">
        <f t="shared" si="4"/>
        <v>109441.31267589332</v>
      </c>
      <c r="G12" s="24">
        <f t="shared" si="4"/>
        <v>116007.79143644693</v>
      </c>
      <c r="I12" s="25"/>
    </row>
    <row r="13" spans="1:9" ht="12.75" customHeight="1" x14ac:dyDescent="0.2">
      <c r="A13" s="1" t="s">
        <v>24</v>
      </c>
      <c r="B13" s="22">
        <f t="shared" ref="B13:G13" si="5">B10-B12</f>
        <v>365491</v>
      </c>
      <c r="C13" s="12">
        <f t="shared" si="5"/>
        <v>320825.39360899152</v>
      </c>
      <c r="D13" s="12">
        <f t="shared" si="5"/>
        <v>307992.37786463194</v>
      </c>
      <c r="E13" s="12">
        <f t="shared" si="5"/>
        <v>323391.9967578635</v>
      </c>
      <c r="F13" s="12">
        <f t="shared" si="5"/>
        <v>342795.51656333532</v>
      </c>
      <c r="G13" s="12">
        <f t="shared" si="5"/>
        <v>363363.24755713542</v>
      </c>
    </row>
    <row r="14" spans="1:9" ht="12.75" customHeight="1" x14ac:dyDescent="0.2">
      <c r="A14" s="1"/>
      <c r="B14" s="1"/>
      <c r="C14" s="13"/>
      <c r="D14" s="13"/>
      <c r="E14" s="13"/>
      <c r="F14" s="13"/>
      <c r="G14" s="13"/>
    </row>
    <row r="15" spans="1:9" ht="12.75" customHeight="1" x14ac:dyDescent="0.2">
      <c r="A15" s="1" t="s">
        <v>25</v>
      </c>
      <c r="B15" s="3">
        <v>42378</v>
      </c>
      <c r="C15" s="13">
        <f t="shared" ref="C15:G15" si="6">C8</f>
        <v>40513.7101189034</v>
      </c>
      <c r="D15" s="13">
        <f t="shared" si="6"/>
        <v>38893.161714147267</v>
      </c>
      <c r="E15" s="13">
        <f t="shared" si="6"/>
        <v>40837.819799854631</v>
      </c>
      <c r="F15" s="13">
        <f t="shared" si="6"/>
        <v>43288.088987845906</v>
      </c>
      <c r="G15" s="13">
        <f t="shared" si="6"/>
        <v>45885.37432711666</v>
      </c>
    </row>
    <row r="16" spans="1:9" ht="12.75" customHeight="1" x14ac:dyDescent="0.2">
      <c r="A16" s="1" t="s">
        <v>26</v>
      </c>
      <c r="B16" s="3">
        <v>0</v>
      </c>
      <c r="C16" s="13">
        <f t="shared" ref="C16:G16" si="7">C9</f>
        <v>0</v>
      </c>
      <c r="D16" s="13">
        <f t="shared" si="7"/>
        <v>0</v>
      </c>
      <c r="E16" s="13">
        <f t="shared" si="7"/>
        <v>0</v>
      </c>
      <c r="F16" s="13">
        <f t="shared" si="7"/>
        <v>0</v>
      </c>
      <c r="G16" s="13">
        <f t="shared" si="7"/>
        <v>0</v>
      </c>
    </row>
    <row r="17" spans="1:8" ht="12.75" customHeight="1" x14ac:dyDescent="0.2">
      <c r="A17" s="1" t="s">
        <v>27</v>
      </c>
      <c r="B17" s="3">
        <v>-1504</v>
      </c>
      <c r="C17" s="13">
        <f>-(C3-B3)*B38</f>
        <v>14262.26807263001</v>
      </c>
      <c r="D17" s="13">
        <f>-(D3-C3)*$B$38</f>
        <v>12424.742145094813</v>
      </c>
      <c r="E17" s="13">
        <f>-(E3-D3)*B38</f>
        <v>-14909.690574113765</v>
      </c>
      <c r="F17" s="13">
        <f t="shared" ref="F17:G17" si="8">-(F3-E3)*$B$38</f>
        <v>-18786.210123383324</v>
      </c>
      <c r="G17" s="13">
        <f t="shared" si="8"/>
        <v>-19913.382730786325</v>
      </c>
    </row>
    <row r="18" spans="1:8" ht="12.75" customHeight="1" x14ac:dyDescent="0.2">
      <c r="A18" s="1" t="s">
        <v>28</v>
      </c>
      <c r="B18" s="3">
        <v>-36762</v>
      </c>
      <c r="C18" s="24">
        <f t="shared" ref="C18:G18" si="9">-C8</f>
        <v>-40513.7101189034</v>
      </c>
      <c r="D18" s="24">
        <f t="shared" si="9"/>
        <v>-38893.161714147267</v>
      </c>
      <c r="E18" s="24">
        <f t="shared" si="9"/>
        <v>-40837.819799854631</v>
      </c>
      <c r="F18" s="24">
        <f t="shared" si="9"/>
        <v>-43288.088987845906</v>
      </c>
      <c r="G18" s="24">
        <f t="shared" si="9"/>
        <v>-45885.37432711666</v>
      </c>
      <c r="H18" s="25"/>
    </row>
    <row r="19" spans="1:8" ht="12.75" customHeight="1" x14ac:dyDescent="0.2">
      <c r="A19" s="26" t="s">
        <v>29</v>
      </c>
      <c r="B19" s="12">
        <f>SUM(B13,B15:B18)</f>
        <v>369603</v>
      </c>
      <c r="C19" s="12">
        <f t="shared" ref="C19:G19" si="10">SUM(C13:C18)</f>
        <v>335087.66168162157</v>
      </c>
      <c r="D19" s="12">
        <f t="shared" si="10"/>
        <v>320417.12000972673</v>
      </c>
      <c r="E19" s="12">
        <f t="shared" si="10"/>
        <v>308482.30618374975</v>
      </c>
      <c r="F19" s="12">
        <f t="shared" si="10"/>
        <v>324009.30643995199</v>
      </c>
      <c r="G19" s="12">
        <f t="shared" si="10"/>
        <v>343449.86482634908</v>
      </c>
    </row>
    <row r="20" spans="1:8" ht="12.75" customHeight="1" x14ac:dyDescent="0.2">
      <c r="A20" s="1"/>
      <c r="B20" s="1"/>
      <c r="C20" s="1"/>
      <c r="D20" s="1"/>
      <c r="E20" s="1"/>
      <c r="F20" s="1"/>
      <c r="G20" s="1"/>
    </row>
    <row r="21" spans="1:8" ht="12.75" customHeight="1" x14ac:dyDescent="0.2">
      <c r="A21" s="1"/>
      <c r="B21" s="1"/>
      <c r="C21" s="1"/>
      <c r="D21" s="1"/>
      <c r="E21" s="1" t="s">
        <v>30</v>
      </c>
      <c r="F21" s="1"/>
      <c r="G21" s="3">
        <v>10.35</v>
      </c>
    </row>
    <row r="22" spans="1:8" ht="12.75" customHeight="1" x14ac:dyDescent="0.2">
      <c r="A22" s="1"/>
      <c r="B22" s="1"/>
      <c r="C22" s="1"/>
      <c r="D22" s="1"/>
      <c r="E22" s="26" t="s">
        <v>31</v>
      </c>
      <c r="F22" s="1"/>
      <c r="G22" s="26">
        <f>+G6*G21</f>
        <v>5436403.8778692344</v>
      </c>
    </row>
    <row r="23" spans="1:8" ht="12.75" customHeight="1" x14ac:dyDescent="0.2">
      <c r="A23" s="1"/>
      <c r="B23" s="1"/>
      <c r="C23" s="1"/>
      <c r="D23" s="1"/>
      <c r="E23" s="1"/>
      <c r="F23" s="1"/>
      <c r="G23" s="1"/>
    </row>
    <row r="24" spans="1:8" ht="12.75" customHeight="1" x14ac:dyDescent="0.2">
      <c r="A24" s="1"/>
      <c r="B24" s="1"/>
      <c r="C24" s="1"/>
      <c r="D24" s="1"/>
      <c r="E24" s="1"/>
      <c r="F24" s="1"/>
      <c r="G24" s="1"/>
    </row>
    <row r="25" spans="1:8" ht="12.75" customHeight="1" x14ac:dyDescent="0.2">
      <c r="A25" s="1" t="s">
        <v>33</v>
      </c>
      <c r="B25" s="1"/>
      <c r="C25" s="28">
        <f t="array" ref="C25">NPV(B35,C19:G19)</f>
        <v>1315637.446083216</v>
      </c>
      <c r="D25" s="29" t="s">
        <v>29</v>
      </c>
      <c r="E25" s="1"/>
      <c r="F25" s="1"/>
      <c r="G25" s="1"/>
    </row>
    <row r="26" spans="1:8" ht="13.5" customHeight="1" x14ac:dyDescent="0.2">
      <c r="A26" s="1" t="s">
        <v>39</v>
      </c>
      <c r="B26" s="1"/>
      <c r="C26" s="30">
        <f>-PV(B35,5,0,G22)</f>
        <v>3769210.1933102212</v>
      </c>
      <c r="D26" s="1"/>
      <c r="E26" s="1"/>
      <c r="F26" s="1"/>
      <c r="G26" s="1"/>
    </row>
    <row r="27" spans="1:8" ht="14.25" customHeight="1" x14ac:dyDescent="0.2">
      <c r="A27" s="26" t="s">
        <v>40</v>
      </c>
      <c r="B27" s="26"/>
      <c r="C27" s="31">
        <f>+C25+C26</f>
        <v>5084847.6393934377</v>
      </c>
      <c r="D27" s="1"/>
      <c r="E27" s="1"/>
      <c r="F27" s="1"/>
      <c r="G27" s="1"/>
    </row>
    <row r="28" spans="1:8" ht="14.25" customHeight="1" x14ac:dyDescent="0.2">
      <c r="A28" s="32" t="s">
        <v>43</v>
      </c>
      <c r="B28" s="26"/>
      <c r="C28" s="33">
        <v>621152</v>
      </c>
      <c r="D28" s="1"/>
      <c r="E28" s="1"/>
      <c r="F28" s="1"/>
      <c r="G28" s="1"/>
    </row>
    <row r="29" spans="1:8" ht="13.5" customHeight="1" x14ac:dyDescent="0.2">
      <c r="A29" s="3"/>
      <c r="B29" s="1"/>
      <c r="C29" s="36">
        <f>C27-C28</f>
        <v>4463695.6393934377</v>
      </c>
      <c r="D29" s="1"/>
      <c r="E29" s="1"/>
      <c r="F29" s="1"/>
      <c r="G29" s="1"/>
    </row>
    <row r="30" spans="1:8" ht="13.5" customHeight="1" x14ac:dyDescent="0.2">
      <c r="A30" s="3" t="s">
        <v>44</v>
      </c>
      <c r="B30" s="1"/>
      <c r="C30" s="35">
        <v>82587373</v>
      </c>
      <c r="D30" s="1"/>
      <c r="E30" s="1"/>
      <c r="F30" s="1"/>
      <c r="G30" s="1"/>
    </row>
    <row r="31" spans="1:8" ht="12.75" customHeight="1" x14ac:dyDescent="0.2">
      <c r="A31" s="37" t="s">
        <v>46</v>
      </c>
      <c r="B31" s="1"/>
      <c r="C31" s="21">
        <f>(C29/C30)*1000</f>
        <v>54.048161083818918</v>
      </c>
      <c r="D31" s="1"/>
      <c r="E31" s="1"/>
      <c r="F31" s="1"/>
      <c r="G31" s="1"/>
    </row>
    <row r="32" spans="1:8" ht="12.75" customHeight="1" x14ac:dyDescent="0.2">
      <c r="A32" s="37" t="s">
        <v>48</v>
      </c>
      <c r="B32" s="1"/>
      <c r="C32" s="38">
        <v>56.74</v>
      </c>
      <c r="D32" s="1"/>
      <c r="E32" s="1"/>
      <c r="F32" s="1"/>
      <c r="G32" s="1"/>
    </row>
    <row r="33" spans="1:7" ht="12.75" customHeight="1" x14ac:dyDescent="0.2">
      <c r="A33" s="39"/>
      <c r="B33" s="1"/>
      <c r="C33" s="1"/>
      <c r="D33" s="1"/>
      <c r="E33" s="1"/>
      <c r="F33" s="1"/>
      <c r="G33" s="1"/>
    </row>
    <row r="34" spans="1:7" ht="12.75" customHeight="1" x14ac:dyDescent="0.2">
      <c r="A34" s="39" t="s">
        <v>51</v>
      </c>
      <c r="B34" s="1"/>
      <c r="C34" s="40"/>
      <c r="D34" s="29"/>
      <c r="E34" s="1"/>
      <c r="F34" s="1"/>
      <c r="G34" s="1"/>
    </row>
    <row r="35" spans="1:7" ht="12.75" customHeight="1" x14ac:dyDescent="0.2">
      <c r="A35" s="1" t="s">
        <v>53</v>
      </c>
      <c r="B35" s="41">
        <v>7.5999999999999998E-2</v>
      </c>
      <c r="D35" s="1"/>
      <c r="E35" s="1"/>
      <c r="F35" s="1"/>
      <c r="G35" s="1"/>
    </row>
    <row r="36" spans="1:7" ht="12.75" customHeight="1" x14ac:dyDescent="0.2">
      <c r="A36" s="1" t="s">
        <v>55</v>
      </c>
      <c r="B36" s="42">
        <v>10.35</v>
      </c>
      <c r="D36" s="1"/>
      <c r="E36" s="1"/>
      <c r="F36" s="1"/>
      <c r="G36" s="1"/>
    </row>
    <row r="37" spans="1:7" ht="12.75" customHeight="1" x14ac:dyDescent="0.2">
      <c r="A37" s="1" t="s">
        <v>57</v>
      </c>
      <c r="B37" s="7">
        <v>0.24199999999999999</v>
      </c>
      <c r="D37" s="1"/>
      <c r="E37" s="1"/>
      <c r="F37" s="1"/>
      <c r="G37" s="1"/>
    </row>
    <row r="38" spans="1:7" ht="12.75" customHeight="1" x14ac:dyDescent="0.2">
      <c r="A38" s="1" t="s">
        <v>58</v>
      </c>
      <c r="B38" s="43">
        <v>0.23710000000000001</v>
      </c>
    </row>
    <row r="39" spans="1:7" ht="12.75" customHeight="1" x14ac:dyDescent="0.15"/>
    <row r="40" spans="1:7" ht="12.75" customHeight="1" x14ac:dyDescent="0.15"/>
    <row r="41" spans="1:7" ht="12.75" customHeight="1" x14ac:dyDescent="0.2">
      <c r="A41" s="44"/>
      <c r="B41" s="44"/>
      <c r="C41" s="44"/>
      <c r="D41" s="44"/>
    </row>
    <row r="42" spans="1:7" ht="12.75" customHeight="1" x14ac:dyDescent="0.2">
      <c r="A42" s="16"/>
      <c r="B42" s="44"/>
      <c r="C42" s="44"/>
    </row>
    <row r="43" spans="1:7" ht="12.75" customHeight="1" x14ac:dyDescent="0.2">
      <c r="A43" s="44"/>
      <c r="B43" s="44"/>
      <c r="C43" s="44"/>
      <c r="E43" s="44"/>
    </row>
    <row r="44" spans="1:7" ht="12.75" customHeight="1" x14ac:dyDescent="0.2">
      <c r="A44" s="44"/>
      <c r="B44" s="44"/>
      <c r="C44" s="44"/>
      <c r="E44" s="44"/>
    </row>
    <row r="45" spans="1:7" ht="12.75" customHeight="1" x14ac:dyDescent="0.2">
      <c r="A45" s="44"/>
      <c r="B45" s="44"/>
      <c r="C45" s="44"/>
    </row>
    <row r="46" spans="1:7" ht="12.75" customHeight="1" x14ac:dyDescent="0.2">
      <c r="A46" s="44"/>
      <c r="B46" s="44"/>
      <c r="C46" s="44"/>
    </row>
    <row r="47" spans="1:7" ht="12.75" customHeight="1" x14ac:dyDescent="0.2">
      <c r="A47" s="44"/>
    </row>
    <row r="48" spans="1:7" ht="12.75" customHeight="1" x14ac:dyDescent="0.2">
      <c r="A48" s="16"/>
    </row>
    <row r="49" spans="1:13" ht="12.75" customHeight="1" x14ac:dyDescent="0.2">
      <c r="A49" s="44"/>
      <c r="B49" s="44"/>
      <c r="C49" s="44"/>
    </row>
    <row r="50" spans="1:13" ht="12.75" customHeight="1" x14ac:dyDescent="0.2">
      <c r="A50" s="44"/>
      <c r="B50" s="44"/>
      <c r="C50" s="44"/>
    </row>
    <row r="51" spans="1:13" ht="12.75" customHeight="1" x14ac:dyDescent="0.2">
      <c r="A51" s="44"/>
      <c r="B51" s="44"/>
      <c r="C51" s="44"/>
      <c r="M51" s="45"/>
    </row>
    <row r="52" spans="1:13" ht="12.75" customHeight="1" x14ac:dyDescent="0.2">
      <c r="A52" s="44"/>
      <c r="B52" s="44"/>
      <c r="C52" s="44"/>
    </row>
    <row r="53" spans="1:13" ht="12.75" customHeight="1" x14ac:dyDescent="0.15"/>
    <row r="54" spans="1:13" ht="12.75" customHeight="1" x14ac:dyDescent="0.15"/>
    <row r="55" spans="1:13" ht="12.75" customHeight="1" x14ac:dyDescent="0.15"/>
    <row r="56" spans="1:13" ht="12.75" customHeight="1" x14ac:dyDescent="0.15"/>
    <row r="57" spans="1:13" ht="12.75" customHeight="1" x14ac:dyDescent="0.15"/>
    <row r="58" spans="1:13" ht="12.75" customHeight="1" x14ac:dyDescent="0.15"/>
    <row r="59" spans="1:13" ht="12.75" customHeight="1" x14ac:dyDescent="0.15"/>
    <row r="60" spans="1:13" ht="12.75" customHeight="1" x14ac:dyDescent="0.15"/>
    <row r="61" spans="1:13" ht="12.75" customHeight="1" x14ac:dyDescent="0.15"/>
    <row r="62" spans="1:13" ht="12.75" customHeight="1" x14ac:dyDescent="0.15"/>
    <row r="63" spans="1:13" ht="12.75" customHeight="1" x14ac:dyDescent="0.15"/>
    <row r="64" spans="1:13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  <row r="1005" ht="12.75" customHeight="1" x14ac:dyDescent="0.15"/>
    <row r="1006" ht="12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tabSelected="1" workbookViewId="0"/>
  </sheetViews>
  <sheetFormatPr baseColWidth="10" defaultColWidth="14.5" defaultRowHeight="15" customHeight="1" x14ac:dyDescent="0.15"/>
  <sheetData>
    <row r="1" spans="1:1" ht="15" customHeight="1" x14ac:dyDescent="0.15">
      <c r="A1" s="5" t="s">
        <v>0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4.5" defaultRowHeight="15" customHeight="1" x14ac:dyDescent="0.15"/>
  <cols>
    <col min="1" max="1" width="45.33203125" customWidth="1"/>
    <col min="2" max="2" width="15.83203125" customWidth="1"/>
    <col min="3" max="3" width="12" customWidth="1"/>
    <col min="4" max="4" width="11.5" customWidth="1"/>
    <col min="5" max="26" width="8" customWidth="1"/>
  </cols>
  <sheetData>
    <row r="1" spans="1:4" ht="12.75" customHeight="1" x14ac:dyDescent="0.2">
      <c r="A1" s="15" t="s">
        <v>12</v>
      </c>
      <c r="B1" s="15">
        <v>2019</v>
      </c>
      <c r="C1" s="16"/>
      <c r="D1" s="18"/>
    </row>
    <row r="2" spans="1:4" ht="12.75" customHeight="1" x14ac:dyDescent="0.2">
      <c r="A2" s="20" t="s">
        <v>14</v>
      </c>
      <c r="B2" s="20">
        <v>4392</v>
      </c>
    </row>
    <row r="3" spans="1:4" ht="12.75" customHeight="1" x14ac:dyDescent="0.2">
      <c r="A3" s="20" t="s">
        <v>16</v>
      </c>
      <c r="B3" s="20">
        <v>10408</v>
      </c>
    </row>
    <row r="4" spans="1:4" ht="12.75" customHeight="1" x14ac:dyDescent="0.2">
      <c r="A4" s="20" t="s">
        <v>17</v>
      </c>
      <c r="B4" s="20">
        <v>-5677</v>
      </c>
    </row>
    <row r="5" spans="1:4" ht="12.75" customHeight="1" x14ac:dyDescent="0.2">
      <c r="A5" s="20" t="s">
        <v>18</v>
      </c>
      <c r="B5" s="20">
        <v>7735</v>
      </c>
    </row>
    <row r="6" spans="1:4" ht="12.75" customHeight="1" x14ac:dyDescent="0.2">
      <c r="A6" s="20" t="s">
        <v>19</v>
      </c>
      <c r="B6" s="20">
        <v>-3407</v>
      </c>
    </row>
    <row r="7" spans="1:4" ht="12.75" customHeight="1" x14ac:dyDescent="0.2">
      <c r="A7" s="20" t="s">
        <v>20</v>
      </c>
      <c r="B7" s="20">
        <v>-5743</v>
      </c>
    </row>
    <row r="8" spans="1:4" ht="12.75" customHeight="1" x14ac:dyDescent="0.2">
      <c r="A8" s="20" t="s">
        <v>21</v>
      </c>
      <c r="B8" s="20">
        <v>-9212</v>
      </c>
    </row>
    <row r="9" spans="1:4" ht="12.75" customHeight="1" x14ac:dyDescent="0.2">
      <c r="A9" s="15" t="s">
        <v>22</v>
      </c>
      <c r="B9" s="23">
        <f>SUM(B2:B8)</f>
        <v>-1504</v>
      </c>
    </row>
    <row r="10" spans="1:4" ht="12.75" customHeight="1" x14ac:dyDescent="0.15"/>
    <row r="11" spans="1:4" ht="12.75" customHeight="1" x14ac:dyDescent="0.15"/>
    <row r="12" spans="1:4" ht="12.75" customHeight="1" x14ac:dyDescent="0.15"/>
    <row r="13" spans="1:4" ht="12.75" customHeight="1" x14ac:dyDescent="0.15"/>
    <row r="14" spans="1:4" ht="12.75" customHeight="1" x14ac:dyDescent="0.15"/>
    <row r="15" spans="1:4" ht="12.75" customHeight="1" x14ac:dyDescent="0.15"/>
    <row r="16" spans="1:4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1"/>
  <sheetViews>
    <sheetView showGridLines="0" workbookViewId="0">
      <selection activeCell="I18" sqref="I18"/>
    </sheetView>
  </sheetViews>
  <sheetFormatPr baseColWidth="10" defaultColWidth="14.5" defaultRowHeight="15" customHeight="1" x14ac:dyDescent="0.15"/>
  <cols>
    <col min="2" max="2" width="23" customWidth="1"/>
    <col min="5" max="5" width="26.1640625" customWidth="1"/>
    <col min="6" max="6" width="28.5" customWidth="1"/>
  </cols>
  <sheetData>
    <row r="1" spans="1:8" ht="16" x14ac:dyDescent="0.2">
      <c r="A1" s="27"/>
      <c r="B1" s="27"/>
      <c r="C1" s="27"/>
      <c r="D1" s="27"/>
      <c r="E1" s="27"/>
      <c r="F1" s="27"/>
      <c r="G1" s="27"/>
      <c r="H1" s="27"/>
    </row>
    <row r="2" spans="1:8" ht="15" customHeight="1" x14ac:dyDescent="0.25">
      <c r="A2" s="27"/>
      <c r="B2" s="55" t="s">
        <v>32</v>
      </c>
      <c r="C2" s="56" t="s">
        <v>34</v>
      </c>
      <c r="D2" s="56" t="s">
        <v>35</v>
      </c>
      <c r="E2" s="56" t="s">
        <v>36</v>
      </c>
      <c r="F2" s="57" t="s">
        <v>37</v>
      </c>
      <c r="G2" s="27"/>
      <c r="H2" s="27"/>
    </row>
    <row r="3" spans="1:8" ht="16" x14ac:dyDescent="0.2">
      <c r="A3" s="27"/>
      <c r="B3" s="58" t="s">
        <v>38</v>
      </c>
      <c r="C3" s="59">
        <v>1370</v>
      </c>
      <c r="D3" s="59">
        <v>26509</v>
      </c>
      <c r="E3" s="59">
        <v>5603</v>
      </c>
      <c r="F3" s="60">
        <v>21076</v>
      </c>
      <c r="G3" s="27"/>
      <c r="H3" s="27"/>
    </row>
    <row r="4" spans="1:8" ht="16" x14ac:dyDescent="0.2">
      <c r="A4" s="27"/>
      <c r="B4" s="58" t="s">
        <v>41</v>
      </c>
      <c r="C4" s="59">
        <v>498</v>
      </c>
      <c r="D4" s="59">
        <v>6460</v>
      </c>
      <c r="E4" s="59">
        <v>2304</v>
      </c>
      <c r="F4" s="60">
        <v>10688</v>
      </c>
      <c r="G4" s="27"/>
      <c r="H4" s="27"/>
    </row>
    <row r="5" spans="1:8" ht="16" x14ac:dyDescent="0.2">
      <c r="A5" s="27"/>
      <c r="B5" s="58" t="s">
        <v>42</v>
      </c>
      <c r="C5" s="61">
        <v>0.89</v>
      </c>
      <c r="D5" s="61">
        <v>0.68</v>
      </c>
      <c r="E5" s="61">
        <v>0.57999999999999996</v>
      </c>
      <c r="F5" s="62">
        <v>0.53</v>
      </c>
      <c r="G5" s="27"/>
      <c r="H5" s="27"/>
    </row>
    <row r="6" spans="1:8" ht="16" x14ac:dyDescent="0.2">
      <c r="A6" s="27"/>
      <c r="B6" s="58" t="s">
        <v>45</v>
      </c>
      <c r="C6" s="63">
        <v>15.27</v>
      </c>
      <c r="D6" s="63">
        <v>16.190000000000001</v>
      </c>
      <c r="E6" s="63">
        <v>11.11</v>
      </c>
      <c r="F6" s="64">
        <v>17.25</v>
      </c>
      <c r="G6" s="27"/>
      <c r="H6" s="27"/>
    </row>
    <row r="7" spans="1:8" ht="16" x14ac:dyDescent="0.2">
      <c r="A7" s="27"/>
      <c r="B7" s="58" t="s">
        <v>47</v>
      </c>
      <c r="C7" s="63">
        <v>17.8</v>
      </c>
      <c r="D7" s="63">
        <v>25</v>
      </c>
      <c r="E7" s="63">
        <v>18.100000000000001</v>
      </c>
      <c r="F7" s="64">
        <v>23.4</v>
      </c>
      <c r="G7" s="27"/>
      <c r="H7" s="27"/>
    </row>
    <row r="8" spans="1:8" ht="16" x14ac:dyDescent="0.2">
      <c r="A8" s="27"/>
      <c r="B8" s="58" t="s">
        <v>49</v>
      </c>
      <c r="C8" s="63">
        <v>6.1</v>
      </c>
      <c r="D8" s="63">
        <v>3.2</v>
      </c>
      <c r="E8" s="63">
        <v>5.3</v>
      </c>
      <c r="F8" s="64">
        <v>3.2</v>
      </c>
      <c r="G8" s="27"/>
      <c r="H8" s="27"/>
    </row>
    <row r="9" spans="1:8" ht="16" x14ac:dyDescent="0.2">
      <c r="A9" s="27"/>
      <c r="B9" s="58" t="s">
        <v>50</v>
      </c>
      <c r="C9" s="59">
        <v>4620</v>
      </c>
      <c r="D9" s="59">
        <v>87088</v>
      </c>
      <c r="E9" s="59">
        <v>29908</v>
      </c>
      <c r="F9" s="60">
        <v>137740</v>
      </c>
      <c r="G9" s="27"/>
      <c r="H9" s="27"/>
    </row>
    <row r="10" spans="1:8" ht="16" x14ac:dyDescent="0.2">
      <c r="A10" s="27"/>
      <c r="B10" s="58" t="s">
        <v>52</v>
      </c>
      <c r="C10" s="59">
        <v>7585</v>
      </c>
      <c r="D10" s="59">
        <v>104611</v>
      </c>
      <c r="E10" s="59">
        <v>25587</v>
      </c>
      <c r="F10" s="60">
        <v>184390</v>
      </c>
      <c r="G10" s="27"/>
      <c r="H10" s="27"/>
    </row>
    <row r="11" spans="1:8" ht="16" x14ac:dyDescent="0.2">
      <c r="A11" s="27"/>
      <c r="B11" s="58" t="s">
        <v>54</v>
      </c>
      <c r="C11" s="59">
        <v>3017</v>
      </c>
      <c r="D11" s="59">
        <v>20629</v>
      </c>
      <c r="E11" s="59">
        <v>12296</v>
      </c>
      <c r="F11" s="60">
        <v>34100</v>
      </c>
      <c r="G11" s="27"/>
      <c r="H11" s="27"/>
    </row>
    <row r="12" spans="1:8" ht="16" x14ac:dyDescent="0.2">
      <c r="A12" s="27"/>
      <c r="B12" s="65" t="s">
        <v>56</v>
      </c>
      <c r="C12" s="66">
        <v>707</v>
      </c>
      <c r="D12" s="66">
        <v>2757</v>
      </c>
      <c r="E12" s="66">
        <v>1533</v>
      </c>
      <c r="F12" s="67">
        <v>899</v>
      </c>
      <c r="G12" s="27"/>
      <c r="H12" s="27"/>
    </row>
    <row r="13" spans="1:8" ht="16" x14ac:dyDescent="0.2">
      <c r="A13" s="27"/>
      <c r="B13" s="27"/>
      <c r="C13" s="27"/>
      <c r="D13" s="27"/>
      <c r="E13" s="27"/>
      <c r="F13" s="27"/>
      <c r="G13" s="27"/>
      <c r="H13" s="27"/>
    </row>
    <row r="14" spans="1:8" x14ac:dyDescent="0.2">
      <c r="A14" s="27"/>
      <c r="B14" s="27"/>
      <c r="C14" s="27"/>
      <c r="D14" s="27"/>
      <c r="E14" s="27"/>
      <c r="F14" s="27"/>
      <c r="G14" s="27"/>
      <c r="H14" s="27"/>
    </row>
    <row r="15" spans="1:8" x14ac:dyDescent="0.2">
      <c r="A15" s="27"/>
      <c r="B15" s="27"/>
      <c r="C15" s="27"/>
      <c r="D15" s="27"/>
      <c r="E15" s="27"/>
      <c r="F15" s="27"/>
      <c r="G15" s="27"/>
      <c r="H15" s="27"/>
    </row>
    <row r="16" spans="1:8" x14ac:dyDescent="0.2">
      <c r="A16" s="27"/>
      <c r="B16" s="27"/>
      <c r="C16" s="27"/>
      <c r="D16" s="27"/>
      <c r="E16" s="27"/>
      <c r="F16" s="27"/>
      <c r="G16" s="27"/>
      <c r="H16" s="27"/>
    </row>
    <row r="17" spans="1:8" x14ac:dyDescent="0.2">
      <c r="A17" s="46"/>
      <c r="B17" s="27"/>
      <c r="C17" s="27"/>
      <c r="D17" s="27"/>
      <c r="E17" s="27"/>
      <c r="F17" s="27"/>
      <c r="G17" s="27"/>
      <c r="H17" s="27"/>
    </row>
    <row r="18" spans="1:8" x14ac:dyDescent="0.2">
      <c r="A18" s="46"/>
      <c r="B18" s="27"/>
      <c r="C18" s="27"/>
      <c r="D18" s="27"/>
      <c r="E18" s="27"/>
      <c r="F18" s="27"/>
      <c r="G18" s="27"/>
      <c r="H18" s="27"/>
    </row>
    <row r="19" spans="1:8" x14ac:dyDescent="0.2">
      <c r="A19" s="27"/>
      <c r="B19" s="27"/>
      <c r="C19" s="27"/>
      <c r="D19" s="27"/>
      <c r="E19" s="27"/>
      <c r="F19" s="27"/>
      <c r="G19" s="27"/>
      <c r="H19" s="27"/>
    </row>
    <row r="20" spans="1:8" x14ac:dyDescent="0.2">
      <c r="A20" s="27"/>
      <c r="B20" s="47" t="s">
        <v>59</v>
      </c>
      <c r="C20" s="27"/>
      <c r="D20" s="27"/>
      <c r="E20" s="53" t="s">
        <v>60</v>
      </c>
      <c r="F20" s="54"/>
      <c r="G20" s="27"/>
      <c r="H20" s="27"/>
    </row>
    <row r="21" spans="1:8" x14ac:dyDescent="0.2">
      <c r="A21" s="27"/>
      <c r="B21" s="34">
        <v>2.89</v>
      </c>
      <c r="C21" s="48" t="s">
        <v>61</v>
      </c>
      <c r="D21" s="27"/>
      <c r="E21" s="48" t="s">
        <v>62</v>
      </c>
      <c r="F21" s="48" t="s">
        <v>63</v>
      </c>
      <c r="G21" s="27"/>
      <c r="H21" s="27"/>
    </row>
    <row r="22" spans="1:8" x14ac:dyDescent="0.2">
      <c r="A22" s="27"/>
      <c r="B22" s="49">
        <v>17.8</v>
      </c>
      <c r="C22" s="48" t="s">
        <v>64</v>
      </c>
      <c r="D22" s="27"/>
      <c r="E22" s="27"/>
      <c r="F22" s="27"/>
      <c r="G22" s="27"/>
      <c r="H22" s="27"/>
    </row>
    <row r="23" spans="1:8" x14ac:dyDescent="0.2">
      <c r="A23" s="27"/>
      <c r="B23" s="50">
        <v>51.44</v>
      </c>
      <c r="C23" s="48" t="s">
        <v>65</v>
      </c>
      <c r="D23" s="27"/>
      <c r="E23" s="51">
        <v>62.8</v>
      </c>
      <c r="F23" s="48" t="s">
        <v>66</v>
      </c>
      <c r="G23" s="27"/>
      <c r="H23" s="27"/>
    </row>
    <row r="24" spans="1:8" x14ac:dyDescent="0.2">
      <c r="A24" s="27"/>
      <c r="B24" s="50">
        <v>56.56</v>
      </c>
      <c r="C24" s="48" t="s">
        <v>67</v>
      </c>
      <c r="D24" s="27"/>
      <c r="E24" s="52">
        <v>56.56</v>
      </c>
      <c r="F24" s="48" t="s">
        <v>67</v>
      </c>
      <c r="G24" s="27"/>
      <c r="H24" s="27"/>
    </row>
    <row r="25" spans="1:8" x14ac:dyDescent="0.2">
      <c r="A25" s="27"/>
      <c r="B25" s="48" t="s">
        <v>68</v>
      </c>
      <c r="C25" s="27"/>
      <c r="D25" s="27"/>
      <c r="E25" s="48" t="s">
        <v>69</v>
      </c>
      <c r="F25" s="27"/>
      <c r="G25" s="27"/>
      <c r="H25" s="27"/>
    </row>
    <row r="26" spans="1:8" x14ac:dyDescent="0.2">
      <c r="A26" s="27"/>
      <c r="B26" s="27"/>
      <c r="C26" s="27"/>
      <c r="D26" s="27"/>
      <c r="E26" s="27"/>
      <c r="F26" s="27"/>
      <c r="G26" s="27"/>
      <c r="H26" s="27"/>
    </row>
    <row r="27" spans="1:8" x14ac:dyDescent="0.2">
      <c r="A27" s="27"/>
      <c r="B27" s="27"/>
      <c r="C27" s="27"/>
      <c r="D27" s="27"/>
      <c r="E27" s="27"/>
      <c r="F27" s="27"/>
      <c r="G27" s="27"/>
      <c r="H27" s="27"/>
    </row>
    <row r="28" spans="1:8" x14ac:dyDescent="0.2">
      <c r="A28" s="27"/>
      <c r="B28" s="27"/>
      <c r="C28" s="27"/>
      <c r="D28" s="27"/>
      <c r="E28" s="27"/>
      <c r="F28" s="27"/>
      <c r="G28" s="27"/>
      <c r="H28" s="27"/>
    </row>
    <row r="29" spans="1:8" x14ac:dyDescent="0.2">
      <c r="A29" s="27"/>
      <c r="B29" s="27"/>
      <c r="C29" s="27"/>
      <c r="D29" s="27"/>
      <c r="E29" s="27"/>
      <c r="F29" s="27"/>
      <c r="G29" s="27"/>
      <c r="H29" s="27"/>
    </row>
    <row r="30" spans="1:8" x14ac:dyDescent="0.2">
      <c r="A30" s="27"/>
      <c r="B30" s="27"/>
      <c r="C30" s="27"/>
      <c r="D30" s="27"/>
      <c r="E30" s="27"/>
      <c r="F30" s="27"/>
      <c r="G30" s="27"/>
      <c r="H30" s="27"/>
    </row>
    <row r="31" spans="1:8" x14ac:dyDescent="0.2">
      <c r="A31" s="27"/>
      <c r="B31" s="27"/>
      <c r="C31" s="27"/>
      <c r="D31" s="27"/>
      <c r="E31" s="27"/>
      <c r="F31" s="27"/>
      <c r="G31" s="27"/>
      <c r="H31" s="27"/>
    </row>
  </sheetData>
  <mergeCells count="1">
    <mergeCell ref="E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baseColWidth="10" defaultColWidth="14.5" defaultRowHeight="15" customHeight="1" x14ac:dyDescent="0.15"/>
  <cols>
    <col min="1" max="1" width="86.33203125" customWidth="1"/>
    <col min="2" max="26" width="8" customWidth="1"/>
  </cols>
  <sheetData>
    <row r="1" spans="1:1" ht="12.75" customHeight="1" x14ac:dyDescent="0.2">
      <c r="A1" s="44" t="s">
        <v>70</v>
      </c>
    </row>
    <row r="2" spans="1:1" ht="12.75" customHeight="1" x14ac:dyDescent="0.15"/>
    <row r="3" spans="1:1" ht="12.75" customHeight="1" x14ac:dyDescent="0.15"/>
    <row r="4" spans="1:1" ht="12.75" customHeight="1" x14ac:dyDescent="0.15"/>
    <row r="5" spans="1:1" ht="12.75" customHeight="1" x14ac:dyDescent="0.15"/>
    <row r="6" spans="1:1" ht="12.75" customHeight="1" x14ac:dyDescent="0.15"/>
    <row r="7" spans="1:1" ht="12.75" customHeight="1" x14ac:dyDescent="0.15"/>
    <row r="8" spans="1:1" ht="12.75" customHeight="1" x14ac:dyDescent="0.15"/>
    <row r="9" spans="1:1" ht="12.75" customHeight="1" x14ac:dyDescent="0.15"/>
    <row r="10" spans="1:1" ht="12.75" customHeight="1" x14ac:dyDescent="0.15"/>
    <row r="11" spans="1:1" ht="12.75" customHeight="1" x14ac:dyDescent="0.15"/>
    <row r="12" spans="1:1" ht="12.75" customHeight="1" x14ac:dyDescent="0.15"/>
    <row r="13" spans="1:1" ht="12.75" customHeight="1" x14ac:dyDescent="0.15"/>
    <row r="14" spans="1:1" ht="12.75" customHeight="1" x14ac:dyDescent="0.15"/>
    <row r="15" spans="1:1" ht="12.75" customHeight="1" x14ac:dyDescent="0.15"/>
    <row r="16" spans="1: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Final DCF</vt:lpstr>
      <vt:lpstr>References</vt:lpstr>
      <vt:lpstr>Working sheet</vt:lpstr>
      <vt:lpstr>Comparables</vt:lpstr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Dunbar</dc:creator>
  <cp:lastModifiedBy>Microsoft Office User</cp:lastModifiedBy>
  <dcterms:created xsi:type="dcterms:W3CDTF">2008-09-12T15:24:56Z</dcterms:created>
  <dcterms:modified xsi:type="dcterms:W3CDTF">2020-04-15T18:51:04Z</dcterms:modified>
</cp:coreProperties>
</file>