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ckson Kimball\Desktop\HCI Website\"/>
    </mc:Choice>
  </mc:AlternateContent>
  <bookViews>
    <workbookView xWindow="0" yWindow="0" windowWidth="24000" windowHeight="103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1" i="1" l="1"/>
  <c r="I51" i="1"/>
  <c r="H51" i="1"/>
  <c r="H50" i="1"/>
  <c r="H49" i="1"/>
  <c r="J45" i="1"/>
  <c r="I45" i="1"/>
  <c r="H45" i="1"/>
  <c r="J48" i="1"/>
  <c r="H48" i="1"/>
  <c r="H47" i="1"/>
  <c r="J46" i="1"/>
  <c r="I43" i="1"/>
  <c r="H43" i="1"/>
  <c r="J42" i="1"/>
  <c r="H42" i="1"/>
  <c r="I41" i="1"/>
  <c r="H41" i="1"/>
  <c r="J40" i="1"/>
  <c r="H40" i="1"/>
  <c r="I39" i="1"/>
  <c r="I38" i="1"/>
  <c r="H36" i="1"/>
  <c r="J34" i="1"/>
  <c r="H34" i="1"/>
  <c r="I33" i="1"/>
  <c r="H33" i="1"/>
  <c r="H30" i="1"/>
  <c r="I29" i="1"/>
  <c r="H29" i="1"/>
  <c r="J28" i="1"/>
  <c r="I28" i="1"/>
  <c r="H28" i="1"/>
  <c r="H27" i="1"/>
  <c r="J26" i="1"/>
  <c r="H26" i="1"/>
  <c r="I25" i="1"/>
  <c r="I23" i="1"/>
  <c r="H23" i="1"/>
  <c r="H22" i="1"/>
  <c r="H21" i="1"/>
  <c r="J20" i="1"/>
  <c r="H20" i="1"/>
  <c r="J19" i="1"/>
  <c r="H19" i="1"/>
  <c r="J17" i="1"/>
  <c r="H17" i="1"/>
  <c r="J16" i="1"/>
  <c r="H16" i="1"/>
  <c r="H14" i="1"/>
  <c r="I13" i="1"/>
  <c r="H13" i="1"/>
  <c r="J12" i="1"/>
  <c r="I12" i="1"/>
  <c r="H12" i="1"/>
  <c r="J35" i="1"/>
  <c r="I35" i="1"/>
  <c r="H35" i="1"/>
  <c r="I10" i="1"/>
  <c r="H10" i="1"/>
  <c r="H9" i="1"/>
  <c r="H8" i="1"/>
  <c r="H7" i="1"/>
  <c r="J4" i="1"/>
  <c r="H4" i="1"/>
  <c r="H3" i="1"/>
  <c r="I2" i="1"/>
  <c r="H2" i="1"/>
  <c r="J9" i="1"/>
  <c r="J6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</calcChain>
</file>

<file path=xl/sharedStrings.xml><?xml version="1.0" encoding="utf-8"?>
<sst xmlns="http://schemas.openxmlformats.org/spreadsheetml/2006/main" count="197" uniqueCount="91">
  <si>
    <t>Country</t>
  </si>
  <si>
    <t>Refugees and Invidiuals in Refugee-like Conditions</t>
  </si>
  <si>
    <t>Number one Assylum Provider</t>
  </si>
  <si>
    <t>Number two Assylum Provider</t>
  </si>
  <si>
    <t>Number three Assylum Provider</t>
  </si>
  <si>
    <t>Refugees Accepted by number one</t>
  </si>
  <si>
    <t>Refugees Accepted by number two</t>
  </si>
  <si>
    <t>Refugees Accepted by number three</t>
  </si>
  <si>
    <t>Algeria x</t>
  </si>
  <si>
    <t>Angola x</t>
  </si>
  <si>
    <t>Benin x</t>
  </si>
  <si>
    <t>Botswana x</t>
  </si>
  <si>
    <t>Burkina Faso x</t>
  </si>
  <si>
    <t>Burundi x</t>
  </si>
  <si>
    <t>Cameroon x</t>
  </si>
  <si>
    <t>Central African Republic x</t>
  </si>
  <si>
    <t>Chad x</t>
  </si>
  <si>
    <t>Cote d'Ivoire x</t>
  </si>
  <si>
    <t>Democratic Republic of the Congo x</t>
  </si>
  <si>
    <t>Dijbouti x</t>
  </si>
  <si>
    <t>Egypt x</t>
  </si>
  <si>
    <t>Equatorial Guinea x</t>
  </si>
  <si>
    <t>Eritrea x</t>
  </si>
  <si>
    <t>Ethiopia x</t>
  </si>
  <si>
    <t>Gabon x</t>
  </si>
  <si>
    <t>Gambia x</t>
  </si>
  <si>
    <t>Ghana x</t>
  </si>
  <si>
    <t>Guinea x</t>
  </si>
  <si>
    <t>Guinea-Bissau x</t>
  </si>
  <si>
    <t>Kenya x</t>
  </si>
  <si>
    <t>Lesotho x</t>
  </si>
  <si>
    <t>Liberia x</t>
  </si>
  <si>
    <t>Libya x</t>
  </si>
  <si>
    <t>Madagascar x</t>
  </si>
  <si>
    <t>Malawi x</t>
  </si>
  <si>
    <t>Mauritania x</t>
  </si>
  <si>
    <t>Morocco x</t>
  </si>
  <si>
    <t>Mozambique x</t>
  </si>
  <si>
    <t>Namibia x</t>
  </si>
  <si>
    <t>Niger x</t>
  </si>
  <si>
    <t>Nigeria x</t>
  </si>
  <si>
    <t>Republic of the Congo x</t>
  </si>
  <si>
    <t>Rwanda x</t>
  </si>
  <si>
    <t>Sao Tome and Principe x</t>
  </si>
  <si>
    <t>Senegal x</t>
  </si>
  <si>
    <t>Sierra Leone x</t>
  </si>
  <si>
    <t>Somalia x</t>
  </si>
  <si>
    <t>South Africa x</t>
  </si>
  <si>
    <t>South Sudan x</t>
  </si>
  <si>
    <t>Sudan x</t>
  </si>
  <si>
    <t>Swaziland x</t>
  </si>
  <si>
    <t>Tanzania x</t>
  </si>
  <si>
    <t>Togo x</t>
  </si>
  <si>
    <t>Tunisia x</t>
  </si>
  <si>
    <t>Uganda x</t>
  </si>
  <si>
    <t>Western Sahara x</t>
  </si>
  <si>
    <t>Zambia x</t>
  </si>
  <si>
    <t>Zimbabwe x</t>
  </si>
  <si>
    <t>Total Population (in thousands)</t>
  </si>
  <si>
    <t>unavailable</t>
  </si>
  <si>
    <t>Ratio Refugee to Population</t>
  </si>
  <si>
    <t>Germany</t>
  </si>
  <si>
    <t>France</t>
  </si>
  <si>
    <t>Netherlands</t>
  </si>
  <si>
    <t>South Africa</t>
  </si>
  <si>
    <t xml:space="preserve">Germay </t>
  </si>
  <si>
    <t>Italy</t>
  </si>
  <si>
    <t>United States of America</t>
  </si>
  <si>
    <t>Kenya</t>
  </si>
  <si>
    <t>Uganda</t>
  </si>
  <si>
    <t>Mozambique</t>
  </si>
  <si>
    <t>Ghana</t>
  </si>
  <si>
    <t>Switzerland</t>
  </si>
  <si>
    <t>Cameroon</t>
  </si>
  <si>
    <t>Chad</t>
  </si>
  <si>
    <t>Egypt</t>
  </si>
  <si>
    <t>Ethiopia</t>
  </si>
  <si>
    <t>Malawi</t>
  </si>
  <si>
    <t>Canada</t>
  </si>
  <si>
    <t>Turkey</t>
  </si>
  <si>
    <t>Burundi</t>
  </si>
  <si>
    <t>Belgium</t>
  </si>
  <si>
    <t>Sweden</t>
  </si>
  <si>
    <t>Yemen</t>
  </si>
  <si>
    <t>Cote d'Ivoire</t>
  </si>
  <si>
    <t>Malta</t>
  </si>
  <si>
    <t>United Kingdom</t>
  </si>
  <si>
    <t>Ireland</t>
  </si>
  <si>
    <t>Hungar</t>
  </si>
  <si>
    <t>Brazil</t>
  </si>
  <si>
    <t>Republic of Korea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</si>
</sst>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topLeftCell="C1" workbookViewId="0">
      <selection activeCell="E52" sqref="E52"/>
    </sheetView>
  </sheetViews>
  <sheetFormatPr defaultRowHeight="15" x14ac:dyDescent="0.25"/>
  <cols>
    <col min="1" max="1" width="33" bestFit="1" customWidth="1"/>
    <col min="2" max="2" width="29.28515625" bestFit="1" customWidth="1"/>
    <col min="3" max="3" width="47.28515625" bestFit="1" customWidth="1"/>
    <col min="4" max="4" width="26.42578125" bestFit="1" customWidth="1"/>
    <col min="5" max="6" width="28.5703125" bestFit="1" customWidth="1"/>
    <col min="7" max="7" width="30.140625" bestFit="1" customWidth="1"/>
    <col min="8" max="9" width="32.5703125" bestFit="1" customWidth="1"/>
    <col min="10" max="10" width="34.140625" bestFit="1" customWidth="1"/>
  </cols>
  <sheetData>
    <row r="1" spans="1:10" x14ac:dyDescent="0.25">
      <c r="A1" t="s">
        <v>0</v>
      </c>
      <c r="B1" t="s">
        <v>58</v>
      </c>
      <c r="C1" t="s">
        <v>1</v>
      </c>
      <c r="D1" t="s">
        <v>60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8</v>
      </c>
      <c r="B2">
        <v>40606</v>
      </c>
      <c r="C2" s="1">
        <v>94232</v>
      </c>
      <c r="D2" t="str">
        <f>ROUNDUP((B2*1000)/C2,0) &amp; ":" &amp; C2/C2</f>
        <v>431:1</v>
      </c>
      <c r="E2" t="s">
        <v>61</v>
      </c>
      <c r="F2" t="s">
        <v>62</v>
      </c>
      <c r="G2" t="s">
        <v>63</v>
      </c>
      <c r="H2">
        <f>1850+329+210</f>
        <v>2389</v>
      </c>
      <c r="I2">
        <f>723+163</f>
        <v>886</v>
      </c>
      <c r="J2">
        <v>536</v>
      </c>
    </row>
    <row r="3" spans="1:10" x14ac:dyDescent="0.25">
      <c r="A3" t="s">
        <v>9</v>
      </c>
      <c r="B3">
        <v>28813</v>
      </c>
      <c r="C3" s="1">
        <v>15555</v>
      </c>
      <c r="D3" t="str">
        <f t="shared" ref="D3:D51" si="0">ROUNDUP((B3*1000)/C3,0) &amp; ":" &amp; C3/C3</f>
        <v>1853:1</v>
      </c>
      <c r="E3" t="s">
        <v>62</v>
      </c>
      <c r="F3" t="s">
        <v>61</v>
      </c>
      <c r="G3" t="s">
        <v>64</v>
      </c>
      <c r="H3">
        <f>77+65+16</f>
        <v>158</v>
      </c>
      <c r="I3">
        <v>51</v>
      </c>
      <c r="J3">
        <v>45</v>
      </c>
    </row>
    <row r="4" spans="1:10" x14ac:dyDescent="0.25">
      <c r="A4" t="s">
        <v>10</v>
      </c>
      <c r="B4">
        <v>10872</v>
      </c>
      <c r="C4">
        <v>809</v>
      </c>
      <c r="D4" t="str">
        <f t="shared" si="0"/>
        <v>13439:1</v>
      </c>
      <c r="E4" t="s">
        <v>65</v>
      </c>
      <c r="F4" t="s">
        <v>66</v>
      </c>
      <c r="G4" t="s">
        <v>64</v>
      </c>
      <c r="H4">
        <f>136+29</f>
        <v>165</v>
      </c>
      <c r="I4">
        <v>56</v>
      </c>
      <c r="J4">
        <f>39+9</f>
        <v>48</v>
      </c>
    </row>
    <row r="5" spans="1:10" x14ac:dyDescent="0.25">
      <c r="A5" t="s">
        <v>11</v>
      </c>
      <c r="B5">
        <v>2250</v>
      </c>
      <c r="C5" s="1">
        <v>2093</v>
      </c>
      <c r="D5" t="str">
        <f t="shared" si="0"/>
        <v>1076:1</v>
      </c>
      <c r="E5" t="s">
        <v>64</v>
      </c>
      <c r="H5">
        <v>8</v>
      </c>
    </row>
    <row r="6" spans="1:10" x14ac:dyDescent="0.25">
      <c r="A6" t="s">
        <v>12</v>
      </c>
      <c r="B6">
        <v>18646</v>
      </c>
      <c r="C6" s="1">
        <v>32552</v>
      </c>
      <c r="D6" t="str">
        <f t="shared" si="0"/>
        <v>573:1</v>
      </c>
      <c r="E6" t="s">
        <v>66</v>
      </c>
      <c r="F6" t="s">
        <v>67</v>
      </c>
      <c r="G6" t="s">
        <v>61</v>
      </c>
      <c r="H6">
        <v>163</v>
      </c>
      <c r="I6">
        <v>130</v>
      </c>
      <c r="J6">
        <f>93+52</f>
        <v>145</v>
      </c>
    </row>
    <row r="7" spans="1:10" x14ac:dyDescent="0.25">
      <c r="A7" t="s">
        <v>13</v>
      </c>
      <c r="B7">
        <v>10524</v>
      </c>
      <c r="C7" s="1">
        <v>57469</v>
      </c>
      <c r="D7" t="str">
        <f t="shared" si="0"/>
        <v>184:1</v>
      </c>
      <c r="E7" t="s">
        <v>68</v>
      </c>
      <c r="F7" t="s">
        <v>69</v>
      </c>
      <c r="G7" t="s">
        <v>70</v>
      </c>
      <c r="H7">
        <f>3080+16</f>
        <v>3096</v>
      </c>
      <c r="I7">
        <v>1244</v>
      </c>
      <c r="J7">
        <v>1231</v>
      </c>
    </row>
    <row r="8" spans="1:10" x14ac:dyDescent="0.25">
      <c r="A8" t="s">
        <v>14</v>
      </c>
      <c r="B8">
        <v>23439</v>
      </c>
      <c r="C8" s="1">
        <v>375415</v>
      </c>
      <c r="D8" t="str">
        <f t="shared" si="0"/>
        <v>63:1</v>
      </c>
      <c r="E8" t="s">
        <v>64</v>
      </c>
      <c r="F8" t="s">
        <v>61</v>
      </c>
      <c r="G8" t="s">
        <v>66</v>
      </c>
      <c r="H8">
        <f>354+293+5</f>
        <v>652</v>
      </c>
      <c r="I8">
        <v>437</v>
      </c>
      <c r="J8">
        <v>341</v>
      </c>
    </row>
    <row r="9" spans="1:10" x14ac:dyDescent="0.25">
      <c r="A9" t="s">
        <v>15</v>
      </c>
      <c r="B9">
        <v>4595</v>
      </c>
      <c r="C9" s="1">
        <v>12115</v>
      </c>
      <c r="D9" t="str">
        <f t="shared" si="0"/>
        <v>380:1</v>
      </c>
      <c r="E9" t="s">
        <v>73</v>
      </c>
      <c r="F9" t="s">
        <v>74</v>
      </c>
      <c r="G9" t="s">
        <v>62</v>
      </c>
      <c r="H9">
        <f>3497+234</f>
        <v>3731</v>
      </c>
      <c r="I9">
        <v>913</v>
      </c>
      <c r="J9">
        <f>740+20</f>
        <v>760</v>
      </c>
    </row>
    <row r="10" spans="1:10" x14ac:dyDescent="0.25">
      <c r="A10" t="s">
        <v>16</v>
      </c>
      <c r="B10">
        <v>14453</v>
      </c>
      <c r="C10" s="1">
        <v>391251</v>
      </c>
      <c r="D10" t="str">
        <f t="shared" si="0"/>
        <v>37:1</v>
      </c>
      <c r="E10" t="s">
        <v>73</v>
      </c>
      <c r="F10" t="s">
        <v>61</v>
      </c>
      <c r="G10" t="s">
        <v>78</v>
      </c>
      <c r="H10">
        <f>151+116</f>
        <v>267</v>
      </c>
      <c r="I10">
        <f>96+43</f>
        <v>139</v>
      </c>
      <c r="J10">
        <v>96</v>
      </c>
    </row>
    <row r="11" spans="1:10" x14ac:dyDescent="0.25">
      <c r="A11" t="s">
        <v>17</v>
      </c>
      <c r="B11">
        <v>23696</v>
      </c>
      <c r="C11" s="1">
        <v>1399</v>
      </c>
      <c r="D11" t="str">
        <f t="shared" si="0"/>
        <v>16938:1</v>
      </c>
      <c r="E11" t="s">
        <v>66</v>
      </c>
      <c r="F11" t="s">
        <v>71</v>
      </c>
      <c r="G11" t="s">
        <v>72</v>
      </c>
      <c r="H11">
        <v>1178</v>
      </c>
      <c r="I11">
        <v>858</v>
      </c>
      <c r="J11">
        <v>314</v>
      </c>
    </row>
    <row r="12" spans="1:10" x14ac:dyDescent="0.25">
      <c r="A12" t="s">
        <v>18</v>
      </c>
      <c r="B12">
        <v>78736</v>
      </c>
      <c r="C12" s="1">
        <v>451956</v>
      </c>
      <c r="D12" t="str">
        <f t="shared" si="0"/>
        <v>175:1</v>
      </c>
      <c r="E12" t="s">
        <v>69</v>
      </c>
      <c r="F12" t="s">
        <v>64</v>
      </c>
      <c r="G12" t="s">
        <v>80</v>
      </c>
      <c r="H12">
        <f>12283</f>
        <v>12283</v>
      </c>
      <c r="I12">
        <f>7416+1200+1130</f>
        <v>9746</v>
      </c>
      <c r="J12">
        <f>5718+307</f>
        <v>6025</v>
      </c>
    </row>
    <row r="13" spans="1:10" x14ac:dyDescent="0.25">
      <c r="A13" t="s">
        <v>19</v>
      </c>
      <c r="B13">
        <v>942</v>
      </c>
      <c r="C13" s="1">
        <v>17683</v>
      </c>
      <c r="D13" t="str">
        <f t="shared" si="0"/>
        <v>54:1</v>
      </c>
      <c r="E13" t="s">
        <v>78</v>
      </c>
      <c r="F13" t="s">
        <v>81</v>
      </c>
      <c r="G13" t="s">
        <v>62</v>
      </c>
      <c r="H13">
        <f>105</f>
        <v>105</v>
      </c>
      <c r="I13">
        <f>54+17+3</f>
        <v>74</v>
      </c>
      <c r="J13">
        <v>27</v>
      </c>
    </row>
    <row r="14" spans="1:10" x14ac:dyDescent="0.25">
      <c r="A14" t="s">
        <v>20</v>
      </c>
      <c r="B14">
        <v>95689</v>
      </c>
      <c r="C14" s="1">
        <v>213530</v>
      </c>
      <c r="D14" t="str">
        <f t="shared" si="0"/>
        <v>449:1</v>
      </c>
      <c r="E14" t="s">
        <v>61</v>
      </c>
      <c r="F14" t="s">
        <v>67</v>
      </c>
      <c r="G14" t="s">
        <v>66</v>
      </c>
      <c r="H14">
        <f>861+169+116</f>
        <v>1146</v>
      </c>
      <c r="I14">
        <v>295</v>
      </c>
      <c r="J14">
        <v>275</v>
      </c>
    </row>
    <row r="15" spans="1:10" x14ac:dyDescent="0.25">
      <c r="A15" t="s">
        <v>21</v>
      </c>
      <c r="B15">
        <v>1221</v>
      </c>
      <c r="C15" t="s">
        <v>59</v>
      </c>
      <c r="D15" t="e">
        <f t="shared" si="0"/>
        <v>#VALUE!</v>
      </c>
      <c r="E15" t="s">
        <v>82</v>
      </c>
      <c r="H15">
        <v>1</v>
      </c>
    </row>
    <row r="16" spans="1:10" x14ac:dyDescent="0.25">
      <c r="A16" t="s">
        <v>22</v>
      </c>
      <c r="B16">
        <v>5281</v>
      </c>
      <c r="C16" s="1">
        <v>2342</v>
      </c>
      <c r="D16" t="str">
        <f t="shared" si="0"/>
        <v>2255:1</v>
      </c>
      <c r="E16" t="s">
        <v>61</v>
      </c>
      <c r="F16" t="s">
        <v>72</v>
      </c>
      <c r="G16" t="s">
        <v>82</v>
      </c>
      <c r="H16">
        <f>21804+583+221</f>
        <v>22608</v>
      </c>
      <c r="I16">
        <v>7215</v>
      </c>
      <c r="J16">
        <f>5776+784+60</f>
        <v>6620</v>
      </c>
    </row>
    <row r="17" spans="1:10" x14ac:dyDescent="0.25">
      <c r="A17" t="s">
        <v>23</v>
      </c>
      <c r="B17">
        <v>102403</v>
      </c>
      <c r="C17" s="1">
        <v>791631</v>
      </c>
      <c r="D17" t="str">
        <f t="shared" si="0"/>
        <v>130:1</v>
      </c>
      <c r="E17" t="s">
        <v>64</v>
      </c>
      <c r="F17" t="s">
        <v>83</v>
      </c>
      <c r="G17" t="s">
        <v>75</v>
      </c>
      <c r="H17">
        <f>9006+3470+323</f>
        <v>12799</v>
      </c>
      <c r="I17">
        <v>4131</v>
      </c>
      <c r="J17">
        <f>893+112</f>
        <v>1005</v>
      </c>
    </row>
    <row r="18" spans="1:10" x14ac:dyDescent="0.25">
      <c r="A18" t="s">
        <v>24</v>
      </c>
      <c r="B18">
        <v>1980</v>
      </c>
      <c r="C18">
        <v>931</v>
      </c>
      <c r="D18" t="str">
        <f t="shared" si="0"/>
        <v>2127:1</v>
      </c>
      <c r="E18" t="s">
        <v>62</v>
      </c>
      <c r="F18" t="s">
        <v>64</v>
      </c>
      <c r="G18" t="s">
        <v>61</v>
      </c>
      <c r="H18">
        <v>15</v>
      </c>
      <c r="I18">
        <v>9</v>
      </c>
      <c r="J18">
        <v>3</v>
      </c>
    </row>
    <row r="19" spans="1:10" x14ac:dyDescent="0.25">
      <c r="A19" t="s">
        <v>25</v>
      </c>
      <c r="B19">
        <v>2039</v>
      </c>
      <c r="C19" s="1">
        <v>7940</v>
      </c>
      <c r="D19" t="str">
        <f t="shared" si="0"/>
        <v>257:1</v>
      </c>
      <c r="E19" t="s">
        <v>66</v>
      </c>
      <c r="F19" t="s">
        <v>72</v>
      </c>
      <c r="G19" t="s">
        <v>61</v>
      </c>
      <c r="H19">
        <f>2815</f>
        <v>2815</v>
      </c>
      <c r="I19">
        <v>1145</v>
      </c>
      <c r="J19">
        <f>542+266</f>
        <v>808</v>
      </c>
    </row>
    <row r="20" spans="1:10" x14ac:dyDescent="0.25">
      <c r="A20" t="s">
        <v>26</v>
      </c>
      <c r="B20">
        <v>28207</v>
      </c>
      <c r="C20" s="1">
        <v>11865</v>
      </c>
      <c r="D20" t="str">
        <f t="shared" si="0"/>
        <v>2378:1</v>
      </c>
      <c r="E20" t="s">
        <v>64</v>
      </c>
      <c r="F20" t="s">
        <v>66</v>
      </c>
      <c r="G20" t="s">
        <v>61</v>
      </c>
      <c r="H20">
        <f>1322+369</f>
        <v>1691</v>
      </c>
      <c r="I20">
        <v>1299</v>
      </c>
      <c r="J20">
        <f>559+41</f>
        <v>600</v>
      </c>
    </row>
    <row r="21" spans="1:10" x14ac:dyDescent="0.25">
      <c r="A21" t="s">
        <v>27</v>
      </c>
      <c r="B21">
        <v>12396</v>
      </c>
      <c r="C21" s="1">
        <v>5068</v>
      </c>
      <c r="D21" t="str">
        <f t="shared" si="0"/>
        <v>2446:1</v>
      </c>
      <c r="E21" t="s">
        <v>62</v>
      </c>
      <c r="F21" t="s">
        <v>72</v>
      </c>
      <c r="G21" t="s">
        <v>66</v>
      </c>
      <c r="H21">
        <f>502+434+70</f>
        <v>1006</v>
      </c>
      <c r="I21">
        <v>763</v>
      </c>
      <c r="J21">
        <v>741</v>
      </c>
    </row>
    <row r="22" spans="1:10" x14ac:dyDescent="0.25">
      <c r="A22" t="s">
        <v>28</v>
      </c>
      <c r="B22">
        <v>1816</v>
      </c>
      <c r="C22" s="1">
        <v>9263</v>
      </c>
      <c r="D22" t="str">
        <f t="shared" si="0"/>
        <v>197:1</v>
      </c>
      <c r="E22" t="s">
        <v>61</v>
      </c>
      <c r="F22" t="s">
        <v>66</v>
      </c>
      <c r="G22" t="s">
        <v>72</v>
      </c>
      <c r="H22">
        <f>295+75</f>
        <v>370</v>
      </c>
      <c r="I22">
        <v>204</v>
      </c>
      <c r="J22">
        <v>94</v>
      </c>
    </row>
    <row r="23" spans="1:10" x14ac:dyDescent="0.25">
      <c r="A23" t="s">
        <v>29</v>
      </c>
      <c r="B23">
        <v>48462</v>
      </c>
      <c r="C23" s="1">
        <v>451099</v>
      </c>
      <c r="D23" t="str">
        <f t="shared" si="0"/>
        <v>108:1</v>
      </c>
      <c r="E23" t="s">
        <v>64</v>
      </c>
      <c r="F23" t="s">
        <v>61</v>
      </c>
      <c r="G23" t="s">
        <v>67</v>
      </c>
      <c r="H23">
        <f>337+118</f>
        <v>455</v>
      </c>
      <c r="I23">
        <f>72+63</f>
        <v>135</v>
      </c>
      <c r="J23">
        <v>82</v>
      </c>
    </row>
    <row r="24" spans="1:10" x14ac:dyDescent="0.25">
      <c r="A24" t="s">
        <v>30</v>
      </c>
      <c r="B24">
        <v>2204</v>
      </c>
      <c r="C24">
        <v>45</v>
      </c>
      <c r="D24" t="str">
        <f t="shared" si="0"/>
        <v>48978:1</v>
      </c>
      <c r="E24" t="s">
        <v>64</v>
      </c>
      <c r="H24">
        <v>397</v>
      </c>
    </row>
    <row r="25" spans="1:10" x14ac:dyDescent="0.25">
      <c r="A25" t="s">
        <v>31</v>
      </c>
      <c r="B25">
        <v>4614</v>
      </c>
      <c r="C25" s="1">
        <v>18990</v>
      </c>
      <c r="D25" t="str">
        <f t="shared" si="0"/>
        <v>243:1</v>
      </c>
      <c r="E25" t="s">
        <v>84</v>
      </c>
      <c r="F25" t="s">
        <v>67</v>
      </c>
      <c r="G25" t="s">
        <v>66</v>
      </c>
      <c r="H25">
        <v>232</v>
      </c>
      <c r="I25">
        <f>73+39</f>
        <v>112</v>
      </c>
      <c r="J25">
        <v>53</v>
      </c>
    </row>
    <row r="26" spans="1:10" x14ac:dyDescent="0.25">
      <c r="A26" t="s">
        <v>32</v>
      </c>
      <c r="B26">
        <v>6293</v>
      </c>
      <c r="C26" s="1">
        <v>9310</v>
      </c>
      <c r="D26" t="str">
        <f t="shared" si="0"/>
        <v>676:1</v>
      </c>
      <c r="E26" t="s">
        <v>61</v>
      </c>
      <c r="F26" t="s">
        <v>85</v>
      </c>
      <c r="G26" t="s">
        <v>86</v>
      </c>
      <c r="H26">
        <f>799+103+38</f>
        <v>940</v>
      </c>
      <c r="I26">
        <v>666</v>
      </c>
      <c r="J26">
        <f>146+145</f>
        <v>291</v>
      </c>
    </row>
    <row r="27" spans="1:10" x14ac:dyDescent="0.25">
      <c r="A27" t="s">
        <v>33</v>
      </c>
      <c r="B27">
        <v>24895</v>
      </c>
      <c r="C27">
        <v>28</v>
      </c>
      <c r="D27" t="str">
        <f t="shared" si="0"/>
        <v>889108:1</v>
      </c>
      <c r="E27" t="s">
        <v>62</v>
      </c>
      <c r="H27">
        <f>11+8</f>
        <v>19</v>
      </c>
    </row>
    <row r="28" spans="1:10" x14ac:dyDescent="0.25">
      <c r="A28" t="s">
        <v>34</v>
      </c>
      <c r="B28">
        <v>18092</v>
      </c>
      <c r="C28" s="1">
        <v>9392</v>
      </c>
      <c r="D28" t="str">
        <f t="shared" si="0"/>
        <v>1927:1</v>
      </c>
      <c r="E28" t="s">
        <v>64</v>
      </c>
      <c r="F28" t="s">
        <v>86</v>
      </c>
      <c r="G28" t="s">
        <v>87</v>
      </c>
      <c r="H28">
        <f>1765+189</f>
        <v>1954</v>
      </c>
      <c r="I28">
        <f>23+11</f>
        <v>34</v>
      </c>
      <c r="J28">
        <f>14+13+2+1</f>
        <v>30</v>
      </c>
    </row>
    <row r="29" spans="1:10" x14ac:dyDescent="0.25">
      <c r="A29" t="s">
        <v>35</v>
      </c>
      <c r="B29">
        <v>4301</v>
      </c>
      <c r="C29" s="1">
        <v>74148</v>
      </c>
      <c r="D29" t="str">
        <f t="shared" si="0"/>
        <v>59:1</v>
      </c>
      <c r="E29" t="s">
        <v>62</v>
      </c>
      <c r="F29" t="s">
        <v>67</v>
      </c>
      <c r="G29" t="s">
        <v>61</v>
      </c>
      <c r="H29">
        <f>195+133+83</f>
        <v>411</v>
      </c>
      <c r="I29">
        <f>64+43</f>
        <v>107</v>
      </c>
      <c r="J29">
        <v>75</v>
      </c>
    </row>
    <row r="30" spans="1:10" x14ac:dyDescent="0.25">
      <c r="A30" t="s">
        <v>36</v>
      </c>
      <c r="B30">
        <v>35277</v>
      </c>
      <c r="C30" s="1">
        <v>4771</v>
      </c>
      <c r="D30" t="str">
        <f t="shared" si="0"/>
        <v>7395:1</v>
      </c>
      <c r="E30" t="s">
        <v>61</v>
      </c>
      <c r="F30" t="s">
        <v>88</v>
      </c>
      <c r="G30" t="s">
        <v>63</v>
      </c>
      <c r="H30">
        <f>1647+288+150</f>
        <v>2085</v>
      </c>
      <c r="I30">
        <v>791</v>
      </c>
      <c r="J30">
        <v>761</v>
      </c>
    </row>
    <row r="31" spans="1:10" x14ac:dyDescent="0.25">
      <c r="A31" t="s">
        <v>37</v>
      </c>
      <c r="B31">
        <v>28829</v>
      </c>
      <c r="C31" s="1">
        <v>4671</v>
      </c>
      <c r="D31" t="str">
        <f t="shared" si="0"/>
        <v>6172:1</v>
      </c>
      <c r="E31" t="s">
        <v>77</v>
      </c>
      <c r="F31" t="s">
        <v>64</v>
      </c>
      <c r="G31" t="s">
        <v>89</v>
      </c>
      <c r="H31">
        <v>6618</v>
      </c>
      <c r="I31">
        <v>746</v>
      </c>
      <c r="J31">
        <v>16</v>
      </c>
    </row>
    <row r="32" spans="1:10" x14ac:dyDescent="0.25">
      <c r="A32" t="s">
        <v>38</v>
      </c>
      <c r="B32">
        <v>2480</v>
      </c>
      <c r="C32" s="1">
        <v>1757</v>
      </c>
      <c r="D32" t="str">
        <f t="shared" si="0"/>
        <v>1412:1</v>
      </c>
      <c r="E32" t="s">
        <v>86</v>
      </c>
      <c r="H32">
        <v>8</v>
      </c>
    </row>
    <row r="33" spans="1:10" x14ac:dyDescent="0.25">
      <c r="A33" t="s">
        <v>39</v>
      </c>
      <c r="B33">
        <v>20673</v>
      </c>
      <c r="C33" s="1">
        <v>166093</v>
      </c>
      <c r="D33" t="str">
        <f t="shared" si="0"/>
        <v>125:1</v>
      </c>
      <c r="E33" t="s">
        <v>61</v>
      </c>
      <c r="F33" t="s">
        <v>64</v>
      </c>
      <c r="G33" t="s">
        <v>66</v>
      </c>
      <c r="H33">
        <f>92+46+31</f>
        <v>169</v>
      </c>
      <c r="I33">
        <f>45+14</f>
        <v>59</v>
      </c>
      <c r="J33">
        <v>43</v>
      </c>
    </row>
    <row r="34" spans="1:10" x14ac:dyDescent="0.25">
      <c r="A34" t="s">
        <v>40</v>
      </c>
      <c r="B34">
        <v>185990</v>
      </c>
      <c r="C34" s="1">
        <v>1367</v>
      </c>
      <c r="D34" t="str">
        <f t="shared" si="0"/>
        <v>136058:1</v>
      </c>
      <c r="E34" t="s">
        <v>64</v>
      </c>
      <c r="F34" t="s">
        <v>66</v>
      </c>
      <c r="G34" t="s">
        <v>61</v>
      </c>
      <c r="H34">
        <f>5025+2422</f>
        <v>7447</v>
      </c>
      <c r="I34">
        <v>4593</v>
      </c>
      <c r="J34">
        <f>1914+373</f>
        <v>2287</v>
      </c>
    </row>
    <row r="35" spans="1:10" x14ac:dyDescent="0.25">
      <c r="A35" t="s">
        <v>41</v>
      </c>
      <c r="B35">
        <v>5126</v>
      </c>
      <c r="C35" s="1">
        <v>46457</v>
      </c>
      <c r="D35" t="str">
        <f t="shared" si="0"/>
        <v>111:1</v>
      </c>
      <c r="E35" t="s">
        <v>64</v>
      </c>
      <c r="F35" t="s">
        <v>79</v>
      </c>
      <c r="G35" t="s">
        <v>67</v>
      </c>
      <c r="H35">
        <f>196+169+168</f>
        <v>533</v>
      </c>
      <c r="I35">
        <f>147+50</f>
        <v>197</v>
      </c>
      <c r="J35">
        <f>147</f>
        <v>147</v>
      </c>
    </row>
    <row r="36" spans="1:10" x14ac:dyDescent="0.25">
      <c r="A36" t="s">
        <v>42</v>
      </c>
      <c r="B36">
        <v>11918</v>
      </c>
      <c r="C36" s="1">
        <v>156065</v>
      </c>
      <c r="D36" t="str">
        <f t="shared" si="0"/>
        <v>77:1</v>
      </c>
      <c r="E36" t="s">
        <v>77</v>
      </c>
      <c r="F36" t="s">
        <v>69</v>
      </c>
      <c r="G36" t="s">
        <v>70</v>
      </c>
      <c r="H36">
        <f>298+107</f>
        <v>405</v>
      </c>
      <c r="I36">
        <v>309</v>
      </c>
      <c r="J36">
        <v>261</v>
      </c>
    </row>
    <row r="37" spans="1:10" x14ac:dyDescent="0.25">
      <c r="A37" t="s">
        <v>43</v>
      </c>
      <c r="B37">
        <v>200</v>
      </c>
      <c r="C37" t="s">
        <v>59</v>
      </c>
      <c r="D37" t="e">
        <f t="shared" si="0"/>
        <v>#VALUE!</v>
      </c>
    </row>
    <row r="38" spans="1:10" x14ac:dyDescent="0.25">
      <c r="A38" t="s">
        <v>44</v>
      </c>
      <c r="B38">
        <v>15412</v>
      </c>
      <c r="C38" s="1">
        <v>14584</v>
      </c>
      <c r="D38" t="str">
        <f t="shared" si="0"/>
        <v>1057:1</v>
      </c>
      <c r="E38" t="s">
        <v>66</v>
      </c>
      <c r="F38" t="s">
        <v>64</v>
      </c>
      <c r="G38" t="s">
        <v>72</v>
      </c>
      <c r="H38">
        <v>1725</v>
      </c>
      <c r="I38">
        <f>352+126</f>
        <v>478</v>
      </c>
      <c r="J38">
        <v>329</v>
      </c>
    </row>
    <row r="39" spans="1:10" x14ac:dyDescent="0.25">
      <c r="A39" t="s">
        <v>45</v>
      </c>
      <c r="B39">
        <v>7396</v>
      </c>
      <c r="C39">
        <v>683</v>
      </c>
      <c r="D39" t="str">
        <f t="shared" si="0"/>
        <v>10829:1</v>
      </c>
      <c r="E39" t="s">
        <v>72</v>
      </c>
      <c r="F39" t="s">
        <v>61</v>
      </c>
      <c r="G39" t="s">
        <v>66</v>
      </c>
      <c r="H39">
        <v>112</v>
      </c>
      <c r="I39">
        <f>89+18</f>
        <v>107</v>
      </c>
      <c r="J39">
        <v>88</v>
      </c>
    </row>
    <row r="40" spans="1:10" x14ac:dyDescent="0.25">
      <c r="A40" t="s">
        <v>46</v>
      </c>
      <c r="B40">
        <v>14318</v>
      </c>
      <c r="C40" s="1">
        <v>11574</v>
      </c>
      <c r="D40" t="str">
        <f t="shared" si="0"/>
        <v>1238:1</v>
      </c>
      <c r="E40" t="s">
        <v>61</v>
      </c>
      <c r="F40" t="s">
        <v>69</v>
      </c>
      <c r="G40" t="s">
        <v>82</v>
      </c>
      <c r="H40">
        <f>5752+1196+536</f>
        <v>7484</v>
      </c>
      <c r="I40">
        <v>5279</v>
      </c>
      <c r="J40">
        <f>2170+146</f>
        <v>2316</v>
      </c>
    </row>
    <row r="41" spans="1:10" x14ac:dyDescent="0.25">
      <c r="A41" t="s">
        <v>47</v>
      </c>
      <c r="B41">
        <v>55909</v>
      </c>
      <c r="C41" s="1">
        <v>91043</v>
      </c>
      <c r="D41" t="str">
        <f t="shared" si="0"/>
        <v>615:1</v>
      </c>
      <c r="E41" t="s">
        <v>87</v>
      </c>
      <c r="F41" t="s">
        <v>86</v>
      </c>
      <c r="G41" t="s">
        <v>90</v>
      </c>
      <c r="H41">
        <f>16+12+9+2</f>
        <v>39</v>
      </c>
      <c r="I41">
        <f>17+8</f>
        <v>25</v>
      </c>
      <c r="J41">
        <v>19</v>
      </c>
    </row>
    <row r="42" spans="1:10" x14ac:dyDescent="0.25">
      <c r="A42" t="s">
        <v>48</v>
      </c>
      <c r="B42">
        <v>12231</v>
      </c>
      <c r="C42" s="1">
        <v>262560</v>
      </c>
      <c r="D42" t="str">
        <f t="shared" si="0"/>
        <v>47:1</v>
      </c>
      <c r="E42" t="s">
        <v>75</v>
      </c>
      <c r="F42" t="s">
        <v>76</v>
      </c>
      <c r="G42" t="s">
        <v>68</v>
      </c>
      <c r="H42">
        <f>1249+25+17</f>
        <v>1291</v>
      </c>
      <c r="I42">
        <v>439</v>
      </c>
      <c r="J42">
        <f>169+23</f>
        <v>192</v>
      </c>
    </row>
    <row r="43" spans="1:10" x14ac:dyDescent="0.25">
      <c r="A43" t="s">
        <v>49</v>
      </c>
      <c r="B43">
        <v>39579</v>
      </c>
      <c r="C43" s="1">
        <v>421466</v>
      </c>
      <c r="D43" t="str">
        <f t="shared" si="0"/>
        <v>94:1</v>
      </c>
      <c r="E43" t="s">
        <v>75</v>
      </c>
      <c r="F43" t="s">
        <v>62</v>
      </c>
      <c r="G43" t="s">
        <v>68</v>
      </c>
      <c r="H43">
        <f>6786+90</f>
        <v>6876</v>
      </c>
      <c r="I43">
        <f>2456+750+7</f>
        <v>3213</v>
      </c>
      <c r="J43">
        <v>1894</v>
      </c>
    </row>
    <row r="44" spans="1:10" x14ac:dyDescent="0.25">
      <c r="A44" t="s">
        <v>50</v>
      </c>
      <c r="B44">
        <v>1343</v>
      </c>
      <c r="C44">
        <v>728</v>
      </c>
      <c r="D44" t="str">
        <f t="shared" si="0"/>
        <v>1845:1</v>
      </c>
      <c r="E44" t="s">
        <v>64</v>
      </c>
      <c r="F44" t="s">
        <v>86</v>
      </c>
      <c r="H44">
        <v>24</v>
      </c>
      <c r="I44">
        <v>3</v>
      </c>
    </row>
    <row r="45" spans="1:10" x14ac:dyDescent="0.25">
      <c r="A45" t="s">
        <v>51</v>
      </c>
      <c r="B45">
        <v>55572</v>
      </c>
      <c r="C45" s="1">
        <v>281498</v>
      </c>
      <c r="D45" t="str">
        <f t="shared" si="0"/>
        <v>198:1</v>
      </c>
      <c r="E45" t="s">
        <v>64</v>
      </c>
      <c r="F45" t="s">
        <v>68</v>
      </c>
      <c r="G45" t="s">
        <v>82</v>
      </c>
      <c r="H45">
        <f>368+142</f>
        <v>510</v>
      </c>
      <c r="I45">
        <f>18+13</f>
        <v>31</v>
      </c>
      <c r="J45">
        <f>15+2+2</f>
        <v>19</v>
      </c>
    </row>
    <row r="46" spans="1:10" x14ac:dyDescent="0.25">
      <c r="A46" t="s">
        <v>52</v>
      </c>
      <c r="B46">
        <v>7606</v>
      </c>
      <c r="C46" s="1">
        <v>12491</v>
      </c>
      <c r="D46" t="str">
        <f t="shared" si="0"/>
        <v>609:1</v>
      </c>
      <c r="E46" t="s">
        <v>71</v>
      </c>
      <c r="F46" t="s">
        <v>66</v>
      </c>
      <c r="G46" t="s">
        <v>61</v>
      </c>
      <c r="H46">
        <v>259</v>
      </c>
      <c r="I46">
        <v>135</v>
      </c>
      <c r="J46">
        <f>38+35</f>
        <v>73</v>
      </c>
    </row>
    <row r="47" spans="1:10" x14ac:dyDescent="0.25">
      <c r="A47" t="s">
        <v>53</v>
      </c>
      <c r="B47">
        <v>11403</v>
      </c>
      <c r="C47">
        <v>649</v>
      </c>
      <c r="D47" t="str">
        <f t="shared" si="0"/>
        <v>17571:1</v>
      </c>
      <c r="E47" t="s">
        <v>61</v>
      </c>
      <c r="F47" t="s">
        <v>72</v>
      </c>
      <c r="G47" t="s">
        <v>63</v>
      </c>
      <c r="H47">
        <f>494+197+187</f>
        <v>878</v>
      </c>
      <c r="I47">
        <v>236</v>
      </c>
      <c r="J47">
        <v>107</v>
      </c>
    </row>
    <row r="48" spans="1:10" x14ac:dyDescent="0.25">
      <c r="A48" t="s">
        <v>54</v>
      </c>
      <c r="B48">
        <v>41488</v>
      </c>
      <c r="C48" s="1">
        <v>940835</v>
      </c>
      <c r="D48" t="str">
        <f t="shared" si="0"/>
        <v>45:1</v>
      </c>
      <c r="E48" t="s">
        <v>64</v>
      </c>
      <c r="F48" t="s">
        <v>68</v>
      </c>
      <c r="G48" t="s">
        <v>86</v>
      </c>
      <c r="H48">
        <f>955+599</f>
        <v>1554</v>
      </c>
      <c r="I48">
        <v>587</v>
      </c>
      <c r="J48">
        <f>128+47</f>
        <v>175</v>
      </c>
    </row>
    <row r="49" spans="1:10" x14ac:dyDescent="0.25">
      <c r="A49" t="s">
        <v>55</v>
      </c>
      <c r="B49">
        <v>538</v>
      </c>
      <c r="C49" t="s">
        <v>59</v>
      </c>
      <c r="D49" t="e">
        <f t="shared" si="0"/>
        <v>#VALUE!</v>
      </c>
      <c r="E49" t="s">
        <v>62</v>
      </c>
      <c r="H49">
        <f>102+31</f>
        <v>133</v>
      </c>
    </row>
    <row r="50" spans="1:10" x14ac:dyDescent="0.25">
      <c r="A50" t="s">
        <v>56</v>
      </c>
      <c r="B50">
        <v>16591</v>
      </c>
      <c r="C50" s="1">
        <v>29350</v>
      </c>
      <c r="D50" t="str">
        <f t="shared" si="0"/>
        <v>566:1</v>
      </c>
      <c r="E50" t="s">
        <v>64</v>
      </c>
      <c r="F50" t="s">
        <v>77</v>
      </c>
      <c r="G50" t="s">
        <v>86</v>
      </c>
      <c r="H50">
        <f>105+31</f>
        <v>136</v>
      </c>
      <c r="I50">
        <v>6</v>
      </c>
      <c r="J50">
        <v>6</v>
      </c>
    </row>
    <row r="51" spans="1:10" x14ac:dyDescent="0.25">
      <c r="A51" t="s">
        <v>57</v>
      </c>
      <c r="B51">
        <v>16150</v>
      </c>
      <c r="C51" s="1">
        <v>7426</v>
      </c>
      <c r="D51" t="str">
        <f t="shared" si="0"/>
        <v>2175:1</v>
      </c>
      <c r="E51" t="s">
        <v>64</v>
      </c>
      <c r="F51" t="s">
        <v>86</v>
      </c>
      <c r="G51" t="s">
        <v>87</v>
      </c>
      <c r="H51">
        <f>14482+164+94+73</f>
        <v>14813</v>
      </c>
      <c r="I51">
        <f>65+65</f>
        <v>130</v>
      </c>
      <c r="J51">
        <f>39+30+20+18</f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Kimball</dc:creator>
  <cp:lastModifiedBy>Jackson Kimball</cp:lastModifiedBy>
  <dcterms:created xsi:type="dcterms:W3CDTF">2017-10-26T21:46:45Z</dcterms:created>
  <dcterms:modified xsi:type="dcterms:W3CDTF">2017-10-29T02:16:13Z</dcterms:modified>
</cp:coreProperties>
</file>