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Sagy159\Documents\Masters\C++\Assignment1\"/>
    </mc:Choice>
  </mc:AlternateContent>
  <xr:revisionPtr revIDLastSave="0" documentId="13_ncr:1_{08F95788-5B99-4E2F-97AF-7D0B7A34D587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1" i="1" l="1"/>
  <c r="X11" i="1" s="1"/>
  <c r="S8" i="1"/>
  <c r="S7" i="1"/>
  <c r="S6" i="1"/>
  <c r="N2" i="1"/>
  <c r="K53" i="1"/>
  <c r="L53" i="1"/>
  <c r="G53" i="1"/>
  <c r="F53" i="1"/>
  <c r="J50" i="1"/>
  <c r="J49" i="1"/>
  <c r="J56" i="1"/>
  <c r="O56" i="1"/>
  <c r="O49" i="1"/>
  <c r="I49" i="1"/>
  <c r="I50" i="1"/>
  <c r="N49" i="1"/>
  <c r="N3" i="1"/>
  <c r="F28" i="1"/>
  <c r="O29" i="1"/>
  <c r="L52" i="1"/>
  <c r="K52" i="1"/>
  <c r="G52" i="1"/>
  <c r="F52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8" i="1"/>
  <c r="J44" i="1"/>
  <c r="J43" i="1"/>
  <c r="J37" i="1"/>
  <c r="J34" i="1"/>
  <c r="J31" i="1"/>
  <c r="J30" i="1"/>
  <c r="J29" i="1"/>
  <c r="J28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F29" i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6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3" i="1"/>
  <c r="K3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3" i="1"/>
  <c r="E12" i="1"/>
  <c r="T5" i="1"/>
  <c r="W6" i="1" s="1"/>
  <c r="R5" i="1"/>
  <c r="S5" i="1"/>
  <c r="Q5" i="1"/>
  <c r="H5" i="1"/>
  <c r="H6" i="1"/>
  <c r="H7" i="1"/>
  <c r="H8" i="1"/>
  <c r="G8" i="1" s="1"/>
  <c r="H9" i="1"/>
  <c r="G9" i="1" s="1"/>
  <c r="H10" i="1"/>
  <c r="H11" i="1"/>
  <c r="H12" i="1"/>
  <c r="J12" i="1" s="1"/>
  <c r="H13" i="1"/>
  <c r="J13" i="1" s="1"/>
  <c r="H14" i="1"/>
  <c r="J14" i="1" s="1"/>
  <c r="H15" i="1"/>
  <c r="J15" i="1" s="1"/>
  <c r="H16" i="1"/>
  <c r="G16" i="1" s="1"/>
  <c r="H17" i="1"/>
  <c r="G17" i="1" s="1"/>
  <c r="H18" i="1"/>
  <c r="G18" i="1" s="1"/>
  <c r="H19" i="1"/>
  <c r="G19" i="1" s="1"/>
  <c r="H20" i="1"/>
  <c r="G20" i="1" s="1"/>
  <c r="H21" i="1"/>
  <c r="H4" i="1"/>
  <c r="G4" i="1" s="1"/>
  <c r="H3" i="1"/>
  <c r="G3" i="1" s="1"/>
  <c r="G11" i="1"/>
  <c r="B2" i="1"/>
  <c r="G5" i="1"/>
  <c r="G6" i="1"/>
  <c r="G21" i="1"/>
  <c r="G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3" i="1"/>
  <c r="H2" i="1"/>
  <c r="I2" i="1"/>
  <c r="E3" i="1"/>
  <c r="E4" i="1"/>
  <c r="E5" i="1"/>
  <c r="E6" i="1"/>
  <c r="E7" i="1"/>
  <c r="E8" i="1"/>
  <c r="E9" i="1"/>
  <c r="E10" i="1"/>
  <c r="E11" i="1"/>
  <c r="E13" i="1"/>
  <c r="E14" i="1"/>
  <c r="E15" i="1"/>
  <c r="E16" i="1"/>
  <c r="E17" i="1"/>
  <c r="E18" i="1"/>
  <c r="E19" i="1"/>
  <c r="E20" i="1"/>
  <c r="E21" i="1"/>
  <c r="E22" i="1"/>
  <c r="E2" i="1"/>
  <c r="J45" i="1" l="1"/>
  <c r="J46" i="1"/>
  <c r="H53" i="1"/>
  <c r="H52" i="1"/>
  <c r="J32" i="1"/>
  <c r="J55" i="1" s="1"/>
  <c r="J33" i="1"/>
  <c r="J47" i="1"/>
  <c r="J35" i="1"/>
  <c r="O55" i="1"/>
  <c r="M52" i="1"/>
  <c r="J36" i="1"/>
  <c r="J38" i="1"/>
  <c r="J39" i="1"/>
  <c r="J40" i="1"/>
  <c r="J41" i="1"/>
  <c r="J42" i="1"/>
  <c r="V6" i="1"/>
  <c r="Z6" i="1" s="1"/>
  <c r="M53" i="1"/>
  <c r="Q7" i="1"/>
  <c r="Q6" i="1"/>
  <c r="Q8" i="1"/>
  <c r="T6" i="1"/>
  <c r="G7" i="1"/>
  <c r="J7" i="1"/>
  <c r="G15" i="1"/>
  <c r="G14" i="1"/>
  <c r="J18" i="1"/>
  <c r="G13" i="1"/>
  <c r="J17" i="1"/>
  <c r="G12" i="1"/>
  <c r="J10" i="1"/>
  <c r="J8" i="1"/>
  <c r="G10" i="1"/>
  <c r="J6" i="1"/>
  <c r="J4" i="1"/>
  <c r="J21" i="1"/>
  <c r="J20" i="1"/>
  <c r="J16" i="1"/>
  <c r="J3" i="1"/>
  <c r="J5" i="1"/>
  <c r="J11" i="1"/>
  <c r="J19" i="1"/>
  <c r="J2" i="1"/>
  <c r="K2" i="1" s="1"/>
  <c r="J9" i="1"/>
  <c r="V7" i="1" l="1"/>
  <c r="Z7" i="1" s="1"/>
  <c r="W7" i="1"/>
  <c r="T7" i="1"/>
  <c r="T8" i="1"/>
  <c r="Q9" i="1"/>
  <c r="T9" i="1"/>
  <c r="L2" i="1"/>
  <c r="M2" i="1" s="1"/>
  <c r="W8" i="1" l="1"/>
  <c r="V8" i="1"/>
  <c r="Z8" i="1" s="1"/>
  <c r="T10" i="1"/>
  <c r="Q10" i="1"/>
  <c r="K4" i="1"/>
  <c r="M3" i="1"/>
  <c r="Q11" i="1" l="1"/>
  <c r="K5" i="1"/>
  <c r="M4" i="1"/>
  <c r="T11" i="1" l="1"/>
  <c r="Q12" i="1"/>
  <c r="N4" i="1"/>
  <c r="M5" i="1"/>
  <c r="N5" i="1" s="1"/>
  <c r="K6" i="1"/>
  <c r="Q13" i="1" l="1"/>
  <c r="T12" i="1"/>
  <c r="K7" i="1"/>
  <c r="M6" i="1"/>
  <c r="T13" i="1" l="1"/>
  <c r="Q14" i="1"/>
  <c r="T14" i="1"/>
  <c r="N6" i="1"/>
  <c r="M7" i="1"/>
  <c r="N7" i="1" s="1"/>
  <c r="K8" i="1"/>
  <c r="Q15" i="1" l="1"/>
  <c r="T15" i="1"/>
  <c r="K9" i="1"/>
  <c r="M8" i="1"/>
  <c r="Q16" i="1" l="1"/>
  <c r="N8" i="1"/>
  <c r="K10" i="1"/>
  <c r="M9" i="1"/>
  <c r="N9" i="1" s="1"/>
  <c r="T16" i="1" l="1"/>
  <c r="T17" i="1"/>
  <c r="Q17" i="1"/>
  <c r="M10" i="1"/>
  <c r="K11" i="1"/>
  <c r="Q18" i="1" l="1"/>
  <c r="K12" i="1"/>
  <c r="M11" i="1"/>
  <c r="N11" i="1" s="1"/>
  <c r="N10" i="1"/>
  <c r="T18" i="1" l="1"/>
  <c r="T19" i="1"/>
  <c r="Q19" i="1"/>
  <c r="K13" i="1"/>
  <c r="M12" i="1"/>
  <c r="N12" i="1" s="1"/>
  <c r="T20" i="1" l="1"/>
  <c r="Q20" i="1"/>
  <c r="K14" i="1"/>
  <c r="M13" i="1"/>
  <c r="T21" i="1" l="1"/>
  <c r="Q21" i="1"/>
  <c r="N13" i="1"/>
  <c r="M14" i="1"/>
  <c r="N14" i="1" s="1"/>
  <c r="K15" i="1"/>
  <c r="Q22" i="1" l="1"/>
  <c r="K16" i="1"/>
  <c r="M15" i="1"/>
  <c r="T22" i="1" l="1"/>
  <c r="Q23" i="1"/>
  <c r="N15" i="1"/>
  <c r="K17" i="1"/>
  <c r="M16" i="1"/>
  <c r="N16" i="1" s="1"/>
  <c r="Q24" i="1" l="1"/>
  <c r="T24" i="1"/>
  <c r="T23" i="1"/>
  <c r="K18" i="1"/>
  <c r="M17" i="1"/>
  <c r="N17" i="1" l="1"/>
  <c r="M18" i="1"/>
  <c r="N18" i="1" s="1"/>
  <c r="K19" i="1"/>
  <c r="M19" i="1" l="1"/>
  <c r="N19" i="1" s="1"/>
  <c r="K20" i="1"/>
  <c r="K21" i="1" l="1"/>
  <c r="M20" i="1"/>
  <c r="N20" i="1" s="1"/>
  <c r="W11" i="1" l="1"/>
  <c r="M21" i="1"/>
  <c r="N21" i="1" s="1"/>
</calcChain>
</file>

<file path=xl/sharedStrings.xml><?xml version="1.0" encoding="utf-8"?>
<sst xmlns="http://schemas.openxmlformats.org/spreadsheetml/2006/main" count="63" uniqueCount="34">
  <si>
    <t>Round</t>
  </si>
  <si>
    <t>Wins</t>
  </si>
  <si>
    <t>Losses</t>
  </si>
  <si>
    <t>Ratio</t>
  </si>
  <si>
    <t>&gt;20</t>
  </si>
  <si>
    <t>Total</t>
  </si>
  <si>
    <t>Left</t>
  </si>
  <si>
    <t>Amount of Games Remaining</t>
  </si>
  <si>
    <t xml:space="preserve">Wins </t>
  </si>
  <si>
    <t>Chance of win</t>
  </si>
  <si>
    <t>Chance of Loss</t>
  </si>
  <si>
    <t>Chance of winning</t>
  </si>
  <si>
    <t>&gt;2 total</t>
  </si>
  <si>
    <t>Simulated</t>
  </si>
  <si>
    <t>Practical</t>
  </si>
  <si>
    <t>Average Ratio Without Extremes</t>
  </si>
  <si>
    <t>Average Ratio</t>
  </si>
  <si>
    <t>mean wins</t>
  </si>
  <si>
    <t>mean losses</t>
  </si>
  <si>
    <t>ratio</t>
  </si>
  <si>
    <t>value</t>
  </si>
  <si>
    <t>error</t>
  </si>
  <si>
    <t>Average rounds</t>
  </si>
  <si>
    <t>weigheted lost</t>
  </si>
  <si>
    <t>win</t>
  </si>
  <si>
    <t>loss</t>
  </si>
  <si>
    <t>games end</t>
  </si>
  <si>
    <t>games left</t>
  </si>
  <si>
    <t>true games left</t>
  </si>
  <si>
    <t>true games ended</t>
  </si>
  <si>
    <t>win chance</t>
  </si>
  <si>
    <t>loss chance</t>
  </si>
  <si>
    <t>chance total</t>
  </si>
  <si>
    <t>change of total games per 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</si>
</sst>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6"/>
  <sheetViews>
    <sheetView tabSelected="1" workbookViewId="0">
      <selection activeCell="V12" sqref="V12"/>
    </sheetView>
  </sheetViews>
  <sheetFormatPr defaultRowHeight="15" x14ac:dyDescent="0.25"/>
  <cols>
    <col min="2" max="2" width="10" bestFit="1" customWidth="1"/>
    <col min="4" max="4" width="8.140625" customWidth="1"/>
    <col min="10" max="10" width="9.85546875" customWidth="1"/>
    <col min="15" max="15" width="12" bestFit="1" customWidth="1"/>
  </cols>
  <sheetData>
    <row r="1" spans="1:26" x14ac:dyDescent="0.25">
      <c r="A1" t="s">
        <v>0</v>
      </c>
      <c r="B1" t="s">
        <v>6</v>
      </c>
      <c r="C1" t="s">
        <v>1</v>
      </c>
      <c r="D1" t="s">
        <v>2</v>
      </c>
      <c r="E1" t="s">
        <v>3</v>
      </c>
      <c r="G1" t="s">
        <v>19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33</v>
      </c>
    </row>
    <row r="2" spans="1:26" x14ac:dyDescent="0.25">
      <c r="A2">
        <v>1</v>
      </c>
      <c r="B2">
        <f>10000-C2-D2</f>
        <v>6659</v>
      </c>
      <c r="C2">
        <v>2204</v>
      </c>
      <c r="D2">
        <v>1137</v>
      </c>
      <c r="E2">
        <f>C2/D2</f>
        <v>1.9384344766930519</v>
      </c>
      <c r="G2">
        <f>H2/I2</f>
        <v>2</v>
      </c>
      <c r="H2">
        <f>2/36+1/6</f>
        <v>0.22222222222222221</v>
      </c>
      <c r="I2">
        <f>1/36+2/36+1/36</f>
        <v>0.1111111111111111</v>
      </c>
      <c r="J2">
        <f>H2+I2</f>
        <v>0.33333333333333331</v>
      </c>
      <c r="K2">
        <f>1-1*J2</f>
        <v>0.66666666666666674</v>
      </c>
      <c r="L2">
        <f>10000*K2</f>
        <v>6666.666666666667</v>
      </c>
      <c r="M2">
        <f>10000-L2</f>
        <v>3333.333333333333</v>
      </c>
      <c r="N2">
        <f>L2-10000</f>
        <v>-3333.333333333333</v>
      </c>
    </row>
    <row r="3" spans="1:26" x14ac:dyDescent="0.25">
      <c r="A3">
        <v>2</v>
      </c>
      <c r="B3">
        <f>B2-(C3+D3)</f>
        <v>4816</v>
      </c>
      <c r="C3">
        <v>772</v>
      </c>
      <c r="D3">
        <v>1071</v>
      </c>
      <c r="E3">
        <f t="shared" ref="E3:E22" si="0">C3/D3</f>
        <v>0.72082166199813258</v>
      </c>
      <c r="G3">
        <f t="shared" ref="G3:G21" si="1">H3/I3</f>
        <v>0.69444444444444442</v>
      </c>
      <c r="H3">
        <f>(1/24)*(1/36)*2*(9+16+25)</f>
        <v>0.11574074074074073</v>
      </c>
      <c r="I3">
        <f>1/6</f>
        <v>0.16666666666666666</v>
      </c>
      <c r="J3">
        <f>H3+I3</f>
        <v>0.28240740740740738</v>
      </c>
      <c r="K3">
        <f>K2-K2*J3</f>
        <v>0.47839506172839513</v>
      </c>
      <c r="L3">
        <f>K3*10000</f>
        <v>4783.950617283951</v>
      </c>
      <c r="M3">
        <f t="shared" ref="M3:M21" si="2">10000-L3</f>
        <v>5216.049382716049</v>
      </c>
      <c r="N3">
        <f>M2-M3</f>
        <v>-1882.7160493827159</v>
      </c>
    </row>
    <row r="4" spans="1:26" x14ac:dyDescent="0.25">
      <c r="A4">
        <v>3</v>
      </c>
      <c r="B4">
        <f t="shared" ref="B4:B22" si="3">B3-(C4+D4)</f>
        <v>3527</v>
      </c>
      <c r="C4">
        <v>441</v>
      </c>
      <c r="D4">
        <v>848</v>
      </c>
      <c r="E4">
        <f t="shared" si="0"/>
        <v>0.52004716981132071</v>
      </c>
      <c r="G4">
        <f t="shared" si="1"/>
        <v>0.61111111111111116</v>
      </c>
      <c r="H4">
        <f>(1/30)*(1/36)*2*(1+4+9+16+25)</f>
        <v>0.10185185185185185</v>
      </c>
      <c r="I4">
        <f t="shared" ref="I4:I21" si="4">1/6</f>
        <v>0.16666666666666666</v>
      </c>
      <c r="J4">
        <f t="shared" ref="J4:J21" si="5">H4+I4</f>
        <v>0.26851851851851849</v>
      </c>
      <c r="K4">
        <f t="shared" ref="K4:K21" si="6">K3-K3*J4</f>
        <v>0.34993712848651126</v>
      </c>
      <c r="L4">
        <f t="shared" ref="L4:L21" si="7">K4*10000</f>
        <v>3499.3712848651126</v>
      </c>
      <c r="M4">
        <f t="shared" si="2"/>
        <v>6500.6287151348879</v>
      </c>
      <c r="N4">
        <f t="shared" ref="N4:N21" si="8">M3-M4</f>
        <v>-1284.5793324188389</v>
      </c>
      <c r="P4" t="s">
        <v>0</v>
      </c>
      <c r="Q4" t="s">
        <v>7</v>
      </c>
      <c r="R4" t="s">
        <v>8</v>
      </c>
      <c r="S4" t="s">
        <v>2</v>
      </c>
      <c r="T4" t="s">
        <v>3</v>
      </c>
    </row>
    <row r="5" spans="1:26" x14ac:dyDescent="0.25">
      <c r="A5">
        <v>4</v>
      </c>
      <c r="B5">
        <f t="shared" si="3"/>
        <v>2603</v>
      </c>
      <c r="C5">
        <v>340</v>
      </c>
      <c r="D5">
        <v>584</v>
      </c>
      <c r="E5">
        <f t="shared" si="0"/>
        <v>0.5821917808219178</v>
      </c>
      <c r="G5">
        <f t="shared" si="1"/>
        <v>0.61111111111111116</v>
      </c>
      <c r="H5">
        <f t="shared" ref="H5:H21" si="9">(1/30)*(1/36)*2*(1+4+9+16+25)</f>
        <v>0.10185185185185185</v>
      </c>
      <c r="I5">
        <f t="shared" si="4"/>
        <v>0.16666666666666666</v>
      </c>
      <c r="J5">
        <f t="shared" si="5"/>
        <v>0.26851851851851849</v>
      </c>
      <c r="K5">
        <f t="shared" si="6"/>
        <v>0.2559725291706888</v>
      </c>
      <c r="L5">
        <f t="shared" si="7"/>
        <v>2559.7252917068881</v>
      </c>
      <c r="M5">
        <f t="shared" si="2"/>
        <v>7440.2747082931119</v>
      </c>
      <c r="N5">
        <f t="shared" si="8"/>
        <v>-939.64599315822397</v>
      </c>
      <c r="P5">
        <v>1</v>
      </c>
      <c r="Q5">
        <f t="shared" ref="Q5:Q24" si="10">L2</f>
        <v>6666.666666666667</v>
      </c>
      <c r="R5">
        <f>H2*10000</f>
        <v>2222.2222222222222</v>
      </c>
      <c r="S5">
        <f>I2*10000</f>
        <v>1111.1111111111111</v>
      </c>
      <c r="T5">
        <f>R5/S5</f>
        <v>2</v>
      </c>
      <c r="V5" t="s">
        <v>9</v>
      </c>
      <c r="W5" t="s">
        <v>10</v>
      </c>
      <c r="Y5" t="s">
        <v>0</v>
      </c>
      <c r="Z5" t="s">
        <v>11</v>
      </c>
    </row>
    <row r="6" spans="1:26" x14ac:dyDescent="0.25">
      <c r="A6">
        <v>5</v>
      </c>
      <c r="B6">
        <f t="shared" si="3"/>
        <v>1916</v>
      </c>
      <c r="C6">
        <v>250</v>
      </c>
      <c r="D6">
        <v>437</v>
      </c>
      <c r="E6">
        <f t="shared" si="0"/>
        <v>0.57208237986270027</v>
      </c>
      <c r="G6">
        <f t="shared" si="1"/>
        <v>0.61111111111111116</v>
      </c>
      <c r="H6">
        <f t="shared" si="9"/>
        <v>0.10185185185185185</v>
      </c>
      <c r="I6">
        <f t="shared" si="4"/>
        <v>0.16666666666666666</v>
      </c>
      <c r="J6">
        <f t="shared" si="5"/>
        <v>0.26851851851851849</v>
      </c>
      <c r="K6">
        <f t="shared" si="6"/>
        <v>0.18723916485633718</v>
      </c>
      <c r="L6">
        <f t="shared" si="7"/>
        <v>1872.3916485633717</v>
      </c>
      <c r="M6">
        <f t="shared" si="2"/>
        <v>8127.6083514366283</v>
      </c>
      <c r="N6">
        <f t="shared" si="8"/>
        <v>-687.33364314351638</v>
      </c>
      <c r="P6">
        <v>2</v>
      </c>
      <c r="Q6">
        <f t="shared" si="10"/>
        <v>4783.950617283951</v>
      </c>
      <c r="R6">
        <f t="shared" ref="R6:R24" si="11">H3*L2</f>
        <v>771.60493827160485</v>
      </c>
      <c r="S6">
        <f>I3*L2</f>
        <v>1111.1111111111111</v>
      </c>
      <c r="T6">
        <f t="shared" ref="T6:T24" si="12">R6/S6</f>
        <v>0.69444444444444442</v>
      </c>
      <c r="V6">
        <f>T5/(1+T5)</f>
        <v>0.66666666666666663</v>
      </c>
      <c r="W6">
        <f>1/(1+T5)</f>
        <v>0.33333333333333331</v>
      </c>
      <c r="Y6">
        <v>1</v>
      </c>
      <c r="Z6">
        <f>10000*J2*V6/10000</f>
        <v>0.22222222222222218</v>
      </c>
    </row>
    <row r="7" spans="1:26" x14ac:dyDescent="0.25">
      <c r="A7">
        <v>6</v>
      </c>
      <c r="B7">
        <f t="shared" si="3"/>
        <v>1417</v>
      </c>
      <c r="C7">
        <v>225</v>
      </c>
      <c r="D7">
        <v>274</v>
      </c>
      <c r="E7">
        <f t="shared" si="0"/>
        <v>0.82116788321167888</v>
      </c>
      <c r="G7">
        <f t="shared" si="1"/>
        <v>0.61111111111111116</v>
      </c>
      <c r="H7">
        <f t="shared" si="9"/>
        <v>0.10185185185185185</v>
      </c>
      <c r="I7">
        <f t="shared" si="4"/>
        <v>0.16666666666666666</v>
      </c>
      <c r="J7">
        <f t="shared" si="5"/>
        <v>0.26851851851851849</v>
      </c>
      <c r="K7">
        <f t="shared" si="6"/>
        <v>0.13696198170046886</v>
      </c>
      <c r="L7">
        <f t="shared" si="7"/>
        <v>1369.6198170046887</v>
      </c>
      <c r="M7">
        <f t="shared" si="2"/>
        <v>8630.3801829953118</v>
      </c>
      <c r="N7">
        <f t="shared" si="8"/>
        <v>-502.77183155868352</v>
      </c>
      <c r="P7">
        <v>3</v>
      </c>
      <c r="Q7">
        <f t="shared" si="10"/>
        <v>3499.3712848651126</v>
      </c>
      <c r="R7">
        <f t="shared" si="11"/>
        <v>487.2542295381802</v>
      </c>
      <c r="S7">
        <f>I4*L3</f>
        <v>797.32510288065851</v>
      </c>
      <c r="T7">
        <f t="shared" si="12"/>
        <v>0.61111111111111116</v>
      </c>
      <c r="V7">
        <f>T6/(1+T6)</f>
        <v>0.4098360655737705</v>
      </c>
      <c r="W7">
        <f>1/(1+T6)</f>
        <v>0.5901639344262295</v>
      </c>
      <c r="Y7">
        <v>2</v>
      </c>
      <c r="Z7">
        <f>Q5*J3*V7/10000</f>
        <v>7.7160493827160503E-2</v>
      </c>
    </row>
    <row r="8" spans="1:26" x14ac:dyDescent="0.25">
      <c r="A8">
        <v>7</v>
      </c>
      <c r="B8">
        <f t="shared" si="3"/>
        <v>1037</v>
      </c>
      <c r="C8">
        <v>139</v>
      </c>
      <c r="D8">
        <v>241</v>
      </c>
      <c r="E8">
        <f t="shared" si="0"/>
        <v>0.57676348547717837</v>
      </c>
      <c r="G8">
        <f t="shared" si="1"/>
        <v>0.61111111111111116</v>
      </c>
      <c r="H8">
        <f t="shared" si="9"/>
        <v>0.10185185185185185</v>
      </c>
      <c r="I8">
        <f t="shared" si="4"/>
        <v>0.16666666666666666</v>
      </c>
      <c r="J8">
        <f t="shared" si="5"/>
        <v>0.26851851851851849</v>
      </c>
      <c r="K8">
        <f t="shared" si="6"/>
        <v>0.10018515328089853</v>
      </c>
      <c r="L8">
        <f t="shared" si="7"/>
        <v>1001.8515328089852</v>
      </c>
      <c r="M8">
        <f t="shared" si="2"/>
        <v>8998.1484671910148</v>
      </c>
      <c r="N8">
        <f t="shared" si="8"/>
        <v>-367.76828419570302</v>
      </c>
      <c r="P8">
        <v>4</v>
      </c>
      <c r="Q8">
        <f t="shared" si="10"/>
        <v>2559.7252917068881</v>
      </c>
      <c r="R8">
        <f t="shared" si="11"/>
        <v>356.4174456807059</v>
      </c>
      <c r="S8">
        <f>I5*L4</f>
        <v>583.22854747751876</v>
      </c>
      <c r="T8">
        <f t="shared" si="12"/>
        <v>0.61111111111111105</v>
      </c>
      <c r="V8">
        <f>T7/(1+T7)</f>
        <v>0.37931034482758624</v>
      </c>
      <c r="W8">
        <f>1/(1+T7)</f>
        <v>0.62068965517241381</v>
      </c>
      <c r="Y8" t="s">
        <v>12</v>
      </c>
      <c r="Z8">
        <f>Q6*V8/10000</f>
        <v>0.18146019582801196</v>
      </c>
    </row>
    <row r="9" spans="1:26" x14ac:dyDescent="0.25">
      <c r="A9">
        <v>8</v>
      </c>
      <c r="B9">
        <f t="shared" si="3"/>
        <v>783</v>
      </c>
      <c r="C9">
        <v>101</v>
      </c>
      <c r="D9">
        <v>153</v>
      </c>
      <c r="E9">
        <f t="shared" si="0"/>
        <v>0.66013071895424835</v>
      </c>
      <c r="G9">
        <f t="shared" si="1"/>
        <v>0.61111111111111116</v>
      </c>
      <c r="H9">
        <f t="shared" si="9"/>
        <v>0.10185185185185185</v>
      </c>
      <c r="I9">
        <f t="shared" si="4"/>
        <v>0.16666666666666666</v>
      </c>
      <c r="J9">
        <f t="shared" si="5"/>
        <v>0.26851851851851849</v>
      </c>
      <c r="K9">
        <f t="shared" si="6"/>
        <v>7.3283584344360969E-2</v>
      </c>
      <c r="L9">
        <f t="shared" si="7"/>
        <v>732.83584344360975</v>
      </c>
      <c r="M9">
        <f t="shared" si="2"/>
        <v>9267.1641565563896</v>
      </c>
      <c r="N9">
        <f t="shared" si="8"/>
        <v>-269.01568936537478</v>
      </c>
      <c r="P9">
        <v>5</v>
      </c>
      <c r="Q9">
        <f t="shared" si="10"/>
        <v>1872.3916485633717</v>
      </c>
      <c r="R9">
        <f t="shared" si="11"/>
        <v>260.71276119236825</v>
      </c>
      <c r="S9">
        <f t="shared" ref="S6:S24" si="13">I6*L5</f>
        <v>426.62088195114802</v>
      </c>
      <c r="T9">
        <f t="shared" si="12"/>
        <v>0.61111111111111116</v>
      </c>
    </row>
    <row r="10" spans="1:26" x14ac:dyDescent="0.25">
      <c r="A10">
        <v>9</v>
      </c>
      <c r="B10">
        <f t="shared" si="3"/>
        <v>571</v>
      </c>
      <c r="C10">
        <v>86</v>
      </c>
      <c r="D10">
        <v>126</v>
      </c>
      <c r="E10">
        <f t="shared" si="0"/>
        <v>0.68253968253968256</v>
      </c>
      <c r="G10">
        <f t="shared" si="1"/>
        <v>0.61111111111111116</v>
      </c>
      <c r="H10">
        <f t="shared" si="9"/>
        <v>0.10185185185185185</v>
      </c>
      <c r="I10">
        <f t="shared" si="4"/>
        <v>0.16666666666666666</v>
      </c>
      <c r="J10">
        <f t="shared" si="5"/>
        <v>0.26851851851851849</v>
      </c>
      <c r="K10">
        <f t="shared" si="6"/>
        <v>5.360558484448627E-2</v>
      </c>
      <c r="L10">
        <f t="shared" si="7"/>
        <v>536.0558484448627</v>
      </c>
      <c r="M10">
        <f t="shared" si="2"/>
        <v>9463.9441515551371</v>
      </c>
      <c r="N10">
        <f t="shared" si="8"/>
        <v>-196.7799949987475</v>
      </c>
      <c r="P10">
        <v>6</v>
      </c>
      <c r="Q10">
        <f t="shared" si="10"/>
        <v>1369.6198170046887</v>
      </c>
      <c r="R10">
        <f t="shared" si="11"/>
        <v>190.7065567981212</v>
      </c>
      <c r="S10">
        <f t="shared" si="13"/>
        <v>312.06527476056192</v>
      </c>
      <c r="T10">
        <f t="shared" si="12"/>
        <v>0.61111111111111116</v>
      </c>
      <c r="V10" t="s">
        <v>30</v>
      </c>
      <c r="W10" t="s">
        <v>31</v>
      </c>
      <c r="X10" t="s">
        <v>32</v>
      </c>
    </row>
    <row r="11" spans="1:26" x14ac:dyDescent="0.25">
      <c r="A11">
        <v>10</v>
      </c>
      <c r="B11">
        <f t="shared" si="3"/>
        <v>414</v>
      </c>
      <c r="C11">
        <v>68</v>
      </c>
      <c r="D11">
        <v>89</v>
      </c>
      <c r="E11">
        <f t="shared" si="0"/>
        <v>0.7640449438202247</v>
      </c>
      <c r="G11">
        <f t="shared" si="1"/>
        <v>0.61111111111111116</v>
      </c>
      <c r="H11">
        <f t="shared" si="9"/>
        <v>0.10185185185185185</v>
      </c>
      <c r="I11">
        <f t="shared" si="4"/>
        <v>0.16666666666666666</v>
      </c>
      <c r="J11">
        <f t="shared" si="5"/>
        <v>0.26851851851851849</v>
      </c>
      <c r="K11">
        <f t="shared" si="6"/>
        <v>3.9211492617726072E-2</v>
      </c>
      <c r="L11">
        <f t="shared" si="7"/>
        <v>392.11492617726071</v>
      </c>
      <c r="M11">
        <f t="shared" si="2"/>
        <v>9607.8850738227393</v>
      </c>
      <c r="N11">
        <f t="shared" si="8"/>
        <v>-143.94092226760222</v>
      </c>
      <c r="P11">
        <v>7</v>
      </c>
      <c r="Q11">
        <f t="shared" si="10"/>
        <v>1001.8515328089852</v>
      </c>
      <c r="R11">
        <f t="shared" si="11"/>
        <v>139.49831469492199</v>
      </c>
      <c r="S11">
        <f t="shared" si="13"/>
        <v>228.26996950078143</v>
      </c>
      <c r="T11">
        <f t="shared" si="12"/>
        <v>0.61111111111111116</v>
      </c>
      <c r="V11">
        <f>H2*1+H3*K2+H4*SUM(K3:K21)</f>
        <v>0.48036577305376144</v>
      </c>
      <c r="W11">
        <f>I2*1+I3*SUM(K2:K21)</f>
        <v>0.51837631550211483</v>
      </c>
      <c r="X11">
        <f>V11+W11</f>
        <v>0.99874208855587621</v>
      </c>
    </row>
    <row r="12" spans="1:26" x14ac:dyDescent="0.25">
      <c r="A12">
        <v>11</v>
      </c>
      <c r="B12">
        <f t="shared" si="3"/>
        <v>295</v>
      </c>
      <c r="C12">
        <v>49</v>
      </c>
      <c r="D12">
        <v>70</v>
      </c>
      <c r="E12">
        <f>C12/D12</f>
        <v>0.7</v>
      </c>
      <c r="G12">
        <f t="shared" si="1"/>
        <v>0.61111111111111116</v>
      </c>
      <c r="H12">
        <f t="shared" si="9"/>
        <v>0.10185185185185185</v>
      </c>
      <c r="I12">
        <f t="shared" si="4"/>
        <v>0.16666666666666666</v>
      </c>
      <c r="J12">
        <f t="shared" si="5"/>
        <v>0.26851851851851849</v>
      </c>
      <c r="K12">
        <f t="shared" si="6"/>
        <v>2.8682480711114441E-2</v>
      </c>
      <c r="L12">
        <f t="shared" si="7"/>
        <v>286.82480711114442</v>
      </c>
      <c r="M12">
        <f t="shared" si="2"/>
        <v>9713.1751928888552</v>
      </c>
      <c r="N12">
        <f t="shared" si="8"/>
        <v>-105.29011906611595</v>
      </c>
      <c r="P12">
        <v>8</v>
      </c>
      <c r="Q12">
        <f t="shared" si="10"/>
        <v>732.83584344360975</v>
      </c>
      <c r="R12">
        <f t="shared" si="11"/>
        <v>102.04043389721146</v>
      </c>
      <c r="S12">
        <f t="shared" si="13"/>
        <v>166.97525546816419</v>
      </c>
      <c r="T12">
        <f t="shared" si="12"/>
        <v>0.61111111111111116</v>
      </c>
    </row>
    <row r="13" spans="1:26" x14ac:dyDescent="0.25">
      <c r="A13">
        <v>12</v>
      </c>
      <c r="B13">
        <f t="shared" si="3"/>
        <v>215</v>
      </c>
      <c r="C13">
        <v>29</v>
      </c>
      <c r="D13">
        <v>51</v>
      </c>
      <c r="E13">
        <f t="shared" si="0"/>
        <v>0.56862745098039214</v>
      </c>
      <c r="G13">
        <f t="shared" si="1"/>
        <v>0.61111111111111116</v>
      </c>
      <c r="H13">
        <f t="shared" si="9"/>
        <v>0.10185185185185185</v>
      </c>
      <c r="I13">
        <f t="shared" si="4"/>
        <v>0.16666666666666666</v>
      </c>
      <c r="J13">
        <f t="shared" si="5"/>
        <v>0.26851851851851849</v>
      </c>
      <c r="K13">
        <f t="shared" si="6"/>
        <v>2.0980703483130008E-2</v>
      </c>
      <c r="L13">
        <f t="shared" si="7"/>
        <v>209.80703483130009</v>
      </c>
      <c r="M13">
        <f t="shared" si="2"/>
        <v>9790.1929651687005</v>
      </c>
      <c r="N13">
        <f t="shared" si="8"/>
        <v>-77.017772279845303</v>
      </c>
      <c r="P13">
        <v>9</v>
      </c>
      <c r="Q13">
        <f t="shared" si="10"/>
        <v>536.0558484448627</v>
      </c>
      <c r="R13">
        <f t="shared" si="11"/>
        <v>74.640687758145432</v>
      </c>
      <c r="S13">
        <f t="shared" si="13"/>
        <v>122.13930724060162</v>
      </c>
      <c r="T13">
        <f t="shared" si="12"/>
        <v>0.61111111111111105</v>
      </c>
    </row>
    <row r="14" spans="1:26" x14ac:dyDescent="0.25">
      <c r="A14">
        <v>13</v>
      </c>
      <c r="B14">
        <f t="shared" si="3"/>
        <v>161</v>
      </c>
      <c r="C14">
        <v>20</v>
      </c>
      <c r="D14">
        <v>34</v>
      </c>
      <c r="E14">
        <f t="shared" si="0"/>
        <v>0.58823529411764708</v>
      </c>
      <c r="G14">
        <f t="shared" si="1"/>
        <v>0.61111111111111116</v>
      </c>
      <c r="H14">
        <f t="shared" si="9"/>
        <v>0.10185185185185185</v>
      </c>
      <c r="I14">
        <f t="shared" si="4"/>
        <v>0.16666666666666666</v>
      </c>
      <c r="J14">
        <f t="shared" si="5"/>
        <v>0.26851851851851849</v>
      </c>
      <c r="K14">
        <f t="shared" si="6"/>
        <v>1.5346996066363618E-2</v>
      </c>
      <c r="L14">
        <f t="shared" si="7"/>
        <v>153.46996066363619</v>
      </c>
      <c r="M14">
        <f t="shared" si="2"/>
        <v>9846.5300393363632</v>
      </c>
      <c r="N14">
        <f t="shared" si="8"/>
        <v>-56.337074167662649</v>
      </c>
      <c r="P14">
        <v>10</v>
      </c>
      <c r="Q14">
        <f t="shared" si="10"/>
        <v>392.11492617726071</v>
      </c>
      <c r="R14">
        <f t="shared" si="11"/>
        <v>54.598280860124902</v>
      </c>
      <c r="S14">
        <f t="shared" si="13"/>
        <v>89.342641407477117</v>
      </c>
      <c r="T14">
        <f t="shared" si="12"/>
        <v>0.61111111111111105</v>
      </c>
    </row>
    <row r="15" spans="1:26" x14ac:dyDescent="0.25">
      <c r="A15">
        <v>14</v>
      </c>
      <c r="B15">
        <f t="shared" si="3"/>
        <v>118</v>
      </c>
      <c r="C15">
        <v>19</v>
      </c>
      <c r="D15">
        <v>24</v>
      </c>
      <c r="E15">
        <f t="shared" si="0"/>
        <v>0.79166666666666663</v>
      </c>
      <c r="G15">
        <f t="shared" si="1"/>
        <v>0.61111111111111116</v>
      </c>
      <c r="H15">
        <f t="shared" si="9"/>
        <v>0.10185185185185185</v>
      </c>
      <c r="I15">
        <f t="shared" si="4"/>
        <v>0.16666666666666666</v>
      </c>
      <c r="J15">
        <f t="shared" si="5"/>
        <v>0.26851851851851849</v>
      </c>
      <c r="K15">
        <f t="shared" si="6"/>
        <v>1.1226043418914127E-2</v>
      </c>
      <c r="L15">
        <f t="shared" si="7"/>
        <v>112.26043418914126</v>
      </c>
      <c r="M15">
        <f t="shared" si="2"/>
        <v>9887.739565810858</v>
      </c>
      <c r="N15">
        <f t="shared" si="8"/>
        <v>-41.209526474494851</v>
      </c>
      <c r="P15">
        <v>11</v>
      </c>
      <c r="Q15">
        <f t="shared" si="10"/>
        <v>286.82480711114442</v>
      </c>
      <c r="R15">
        <f t="shared" si="11"/>
        <v>39.937631369906178</v>
      </c>
      <c r="S15">
        <f t="shared" si="13"/>
        <v>65.352487696210119</v>
      </c>
      <c r="T15">
        <f t="shared" si="12"/>
        <v>0.61111111111111105</v>
      </c>
    </row>
    <row r="16" spans="1:26" x14ac:dyDescent="0.25">
      <c r="A16">
        <v>15</v>
      </c>
      <c r="B16">
        <f t="shared" si="3"/>
        <v>86</v>
      </c>
      <c r="C16">
        <v>14</v>
      </c>
      <c r="D16">
        <v>18</v>
      </c>
      <c r="E16">
        <f t="shared" si="0"/>
        <v>0.77777777777777779</v>
      </c>
      <c r="G16">
        <f t="shared" si="1"/>
        <v>0.61111111111111116</v>
      </c>
      <c r="H16">
        <f t="shared" si="9"/>
        <v>0.10185185185185185</v>
      </c>
      <c r="I16">
        <f t="shared" si="4"/>
        <v>0.16666666666666666</v>
      </c>
      <c r="J16">
        <f t="shared" si="5"/>
        <v>0.26851851851851849</v>
      </c>
      <c r="K16">
        <f t="shared" si="6"/>
        <v>8.211642871242741E-3</v>
      </c>
      <c r="L16">
        <f t="shared" si="7"/>
        <v>82.116428712427407</v>
      </c>
      <c r="M16">
        <f t="shared" si="2"/>
        <v>9917.8835712875734</v>
      </c>
      <c r="N16">
        <f t="shared" si="8"/>
        <v>-30.144005476715392</v>
      </c>
      <c r="P16">
        <v>12</v>
      </c>
      <c r="Q16">
        <f t="shared" si="10"/>
        <v>209.80703483130009</v>
      </c>
      <c r="R16">
        <f t="shared" si="11"/>
        <v>29.213637761320264</v>
      </c>
      <c r="S16">
        <f t="shared" si="13"/>
        <v>47.804134518524066</v>
      </c>
      <c r="T16">
        <f t="shared" si="12"/>
        <v>0.61111111111111116</v>
      </c>
    </row>
    <row r="17" spans="1:20" x14ac:dyDescent="0.25">
      <c r="A17">
        <v>16</v>
      </c>
      <c r="B17">
        <f t="shared" si="3"/>
        <v>65</v>
      </c>
      <c r="C17">
        <v>5</v>
      </c>
      <c r="D17">
        <v>16</v>
      </c>
      <c r="E17">
        <f t="shared" si="0"/>
        <v>0.3125</v>
      </c>
      <c r="G17">
        <f t="shared" si="1"/>
        <v>0.61111111111111116</v>
      </c>
      <c r="H17">
        <f t="shared" si="9"/>
        <v>0.10185185185185185</v>
      </c>
      <c r="I17">
        <f t="shared" si="4"/>
        <v>0.16666666666666666</v>
      </c>
      <c r="J17">
        <f t="shared" si="5"/>
        <v>0.26851851851851849</v>
      </c>
      <c r="K17">
        <f t="shared" si="6"/>
        <v>6.0066646928534865E-3</v>
      </c>
      <c r="L17">
        <f t="shared" si="7"/>
        <v>60.066646928534865</v>
      </c>
      <c r="M17">
        <f t="shared" si="2"/>
        <v>9939.9333530714648</v>
      </c>
      <c r="N17">
        <f t="shared" si="8"/>
        <v>-22.049781783891376</v>
      </c>
      <c r="P17">
        <v>13</v>
      </c>
      <c r="Q17">
        <f t="shared" si="10"/>
        <v>153.46996066363619</v>
      </c>
      <c r="R17">
        <f t="shared" si="11"/>
        <v>21.369235029113895</v>
      </c>
      <c r="S17">
        <f t="shared" si="13"/>
        <v>34.967839138550012</v>
      </c>
      <c r="T17">
        <f t="shared" si="12"/>
        <v>0.61111111111111105</v>
      </c>
    </row>
    <row r="18" spans="1:20" x14ac:dyDescent="0.25">
      <c r="A18">
        <v>17</v>
      </c>
      <c r="B18">
        <f t="shared" si="3"/>
        <v>46</v>
      </c>
      <c r="C18">
        <v>6</v>
      </c>
      <c r="D18">
        <v>13</v>
      </c>
      <c r="E18">
        <f t="shared" si="0"/>
        <v>0.46153846153846156</v>
      </c>
      <c r="G18">
        <f t="shared" si="1"/>
        <v>0.61111111111111116</v>
      </c>
      <c r="H18">
        <f t="shared" si="9"/>
        <v>0.10185185185185185</v>
      </c>
      <c r="I18">
        <f t="shared" si="4"/>
        <v>0.16666666666666666</v>
      </c>
      <c r="J18">
        <f t="shared" si="5"/>
        <v>0.26851851851851849</v>
      </c>
      <c r="K18">
        <f t="shared" si="6"/>
        <v>4.3937639882909761E-3</v>
      </c>
      <c r="L18">
        <f t="shared" si="7"/>
        <v>43.937639882909764</v>
      </c>
      <c r="M18">
        <f t="shared" si="2"/>
        <v>9956.0623601170901</v>
      </c>
      <c r="N18">
        <f t="shared" si="8"/>
        <v>-16.129007045625258</v>
      </c>
      <c r="P18">
        <v>14</v>
      </c>
      <c r="Q18">
        <f t="shared" si="10"/>
        <v>112.26043418914126</v>
      </c>
      <c r="R18">
        <f t="shared" si="11"/>
        <v>15.631199697222204</v>
      </c>
      <c r="S18">
        <f t="shared" si="13"/>
        <v>25.578326777272697</v>
      </c>
      <c r="T18">
        <f t="shared" si="12"/>
        <v>0.61111111111111116</v>
      </c>
    </row>
    <row r="19" spans="1:20" x14ac:dyDescent="0.25">
      <c r="A19">
        <v>18</v>
      </c>
      <c r="B19">
        <f t="shared" si="3"/>
        <v>35</v>
      </c>
      <c r="C19">
        <v>8</v>
      </c>
      <c r="D19">
        <v>3</v>
      </c>
      <c r="E19">
        <f t="shared" si="0"/>
        <v>2.6666666666666665</v>
      </c>
      <c r="G19">
        <f t="shared" si="1"/>
        <v>0.61111111111111116</v>
      </c>
      <c r="H19">
        <f t="shared" si="9"/>
        <v>0.10185185185185185</v>
      </c>
      <c r="I19">
        <f t="shared" si="4"/>
        <v>0.16666666666666666</v>
      </c>
      <c r="J19">
        <f t="shared" si="5"/>
        <v>0.26851851851851849</v>
      </c>
      <c r="K19">
        <f t="shared" si="6"/>
        <v>3.213956991435066E-3</v>
      </c>
      <c r="L19">
        <f t="shared" si="7"/>
        <v>32.139569914350659</v>
      </c>
      <c r="M19">
        <f t="shared" si="2"/>
        <v>9967.8604300856496</v>
      </c>
      <c r="N19">
        <f t="shared" si="8"/>
        <v>-11.798069968559503</v>
      </c>
      <c r="P19">
        <v>15</v>
      </c>
      <c r="Q19">
        <f t="shared" si="10"/>
        <v>82.116428712427407</v>
      </c>
      <c r="R19">
        <f t="shared" si="11"/>
        <v>11.43393311185698</v>
      </c>
      <c r="S19">
        <f t="shared" si="13"/>
        <v>18.710072364856877</v>
      </c>
      <c r="T19">
        <f t="shared" si="12"/>
        <v>0.61111111111111105</v>
      </c>
    </row>
    <row r="20" spans="1:20" x14ac:dyDescent="0.25">
      <c r="A20">
        <v>19</v>
      </c>
      <c r="B20">
        <f t="shared" si="3"/>
        <v>21</v>
      </c>
      <c r="C20">
        <v>6</v>
      </c>
      <c r="D20">
        <v>8</v>
      </c>
      <c r="E20">
        <f t="shared" si="0"/>
        <v>0.75</v>
      </c>
      <c r="G20">
        <f t="shared" si="1"/>
        <v>0.61111111111111116</v>
      </c>
      <c r="H20">
        <f t="shared" si="9"/>
        <v>0.10185185185185185</v>
      </c>
      <c r="I20">
        <f t="shared" si="4"/>
        <v>0.16666666666666666</v>
      </c>
      <c r="J20">
        <f t="shared" si="5"/>
        <v>0.26851851851851849</v>
      </c>
      <c r="K20">
        <f t="shared" si="6"/>
        <v>2.3509500215126871E-3</v>
      </c>
      <c r="L20">
        <f t="shared" si="7"/>
        <v>23.50950021512687</v>
      </c>
      <c r="M20">
        <f t="shared" si="2"/>
        <v>9976.4904997848735</v>
      </c>
      <c r="N20">
        <f t="shared" si="8"/>
        <v>-8.6300696992238954</v>
      </c>
      <c r="P20">
        <v>16</v>
      </c>
      <c r="Q20">
        <f t="shared" si="10"/>
        <v>60.066646928534865</v>
      </c>
      <c r="R20">
        <f t="shared" si="11"/>
        <v>8.3637103318213093</v>
      </c>
      <c r="S20">
        <f t="shared" si="13"/>
        <v>13.686071452071234</v>
      </c>
      <c r="T20">
        <f t="shared" si="12"/>
        <v>0.61111111111111105</v>
      </c>
    </row>
    <row r="21" spans="1:20" x14ac:dyDescent="0.25">
      <c r="A21">
        <v>20</v>
      </c>
      <c r="B21">
        <f t="shared" si="3"/>
        <v>16</v>
      </c>
      <c r="C21">
        <v>1</v>
      </c>
      <c r="D21">
        <v>4</v>
      </c>
      <c r="E21">
        <f t="shared" si="0"/>
        <v>0.25</v>
      </c>
      <c r="G21">
        <f t="shared" si="1"/>
        <v>0.61111111111111116</v>
      </c>
      <c r="H21">
        <f t="shared" si="9"/>
        <v>0.10185185185185185</v>
      </c>
      <c r="I21">
        <f t="shared" si="4"/>
        <v>0.16666666666666666</v>
      </c>
      <c r="J21">
        <f t="shared" si="5"/>
        <v>0.26851851851851849</v>
      </c>
      <c r="K21">
        <f t="shared" si="6"/>
        <v>1.7196764046250213E-3</v>
      </c>
      <c r="L21">
        <f t="shared" si="7"/>
        <v>17.196764046250212</v>
      </c>
      <c r="M21">
        <f t="shared" si="2"/>
        <v>9982.8032359537501</v>
      </c>
      <c r="N21">
        <f t="shared" si="8"/>
        <v>-6.3127361688766541</v>
      </c>
      <c r="P21">
        <v>17</v>
      </c>
      <c r="Q21">
        <f t="shared" si="10"/>
        <v>43.937639882909764</v>
      </c>
      <c r="R21">
        <f t="shared" si="11"/>
        <v>6.1178992242026249</v>
      </c>
      <c r="S21">
        <f t="shared" si="13"/>
        <v>10.011107821422478</v>
      </c>
      <c r="T21">
        <f t="shared" si="12"/>
        <v>0.61111111111111105</v>
      </c>
    </row>
    <row r="22" spans="1:20" x14ac:dyDescent="0.25">
      <c r="A22" t="s">
        <v>4</v>
      </c>
      <c r="B22">
        <f t="shared" si="3"/>
        <v>0</v>
      </c>
      <c r="C22">
        <v>4</v>
      </c>
      <c r="D22">
        <v>12</v>
      </c>
      <c r="E22">
        <f t="shared" si="0"/>
        <v>0.33333333333333331</v>
      </c>
      <c r="P22">
        <v>18</v>
      </c>
      <c r="Q22">
        <f t="shared" si="10"/>
        <v>32.139569914350659</v>
      </c>
      <c r="R22">
        <f t="shared" si="11"/>
        <v>4.4751299880741424</v>
      </c>
      <c r="S22">
        <f t="shared" si="13"/>
        <v>7.3229399804849606</v>
      </c>
      <c r="T22">
        <f t="shared" si="12"/>
        <v>0.61111111111111105</v>
      </c>
    </row>
    <row r="23" spans="1:20" x14ac:dyDescent="0.25">
      <c r="P23">
        <v>19</v>
      </c>
      <c r="Q23">
        <f t="shared" si="10"/>
        <v>23.50950021512687</v>
      </c>
      <c r="R23">
        <f t="shared" si="11"/>
        <v>3.2734747134986781</v>
      </c>
      <c r="S23">
        <f t="shared" si="13"/>
        <v>5.3565949857251098</v>
      </c>
      <c r="T23">
        <f t="shared" si="12"/>
        <v>0.61111111111111105</v>
      </c>
    </row>
    <row r="24" spans="1:20" x14ac:dyDescent="0.25">
      <c r="P24">
        <v>20</v>
      </c>
      <c r="Q24">
        <f t="shared" si="10"/>
        <v>17.196764046250212</v>
      </c>
      <c r="R24">
        <f t="shared" si="11"/>
        <v>2.3944861330221809</v>
      </c>
      <c r="S24">
        <f t="shared" si="13"/>
        <v>3.9182500358544781</v>
      </c>
      <c r="T24">
        <f t="shared" si="12"/>
        <v>0.61111111111111105</v>
      </c>
    </row>
    <row r="26" spans="1:20" x14ac:dyDescent="0.25">
      <c r="B26" t="s">
        <v>1</v>
      </c>
      <c r="C26" t="s">
        <v>2</v>
      </c>
      <c r="F26" s="1" t="s">
        <v>14</v>
      </c>
      <c r="G26" s="1"/>
      <c r="H26" s="1"/>
      <c r="I26" s="1"/>
      <c r="J26" s="1"/>
      <c r="K26" s="1" t="s">
        <v>13</v>
      </c>
      <c r="L26" s="1"/>
      <c r="M26" s="1"/>
      <c r="N26" s="1"/>
      <c r="O26" s="1"/>
    </row>
    <row r="27" spans="1:20" x14ac:dyDescent="0.25">
      <c r="A27" t="s">
        <v>5</v>
      </c>
      <c r="B27">
        <v>4787</v>
      </c>
      <c r="C27">
        <v>5213</v>
      </c>
      <c r="E27" t="s">
        <v>0</v>
      </c>
      <c r="F27" t="s">
        <v>6</v>
      </c>
      <c r="G27" t="s">
        <v>1</v>
      </c>
      <c r="H27" t="s">
        <v>2</v>
      </c>
      <c r="I27" t="s">
        <v>3</v>
      </c>
      <c r="J27" t="s">
        <v>23</v>
      </c>
      <c r="K27" t="s">
        <v>7</v>
      </c>
      <c r="L27" t="s">
        <v>8</v>
      </c>
      <c r="M27" t="s">
        <v>2</v>
      </c>
      <c r="N27" t="s">
        <v>3</v>
      </c>
      <c r="O27" t="s">
        <v>23</v>
      </c>
    </row>
    <row r="28" spans="1:20" x14ac:dyDescent="0.25">
      <c r="E28">
        <v>1</v>
      </c>
      <c r="F28">
        <f>10000-G28-H28</f>
        <v>6659</v>
      </c>
      <c r="G28">
        <v>2204</v>
      </c>
      <c r="H28">
        <v>1137</v>
      </c>
      <c r="I28">
        <f>G28/H28</f>
        <v>1.9384344766930519</v>
      </c>
      <c r="J28">
        <f>10000-F28</f>
        <v>3341</v>
      </c>
      <c r="K28">
        <v>6666.666666666667</v>
      </c>
      <c r="L28">
        <v>2222.2222222222222</v>
      </c>
      <c r="M28">
        <v>1111.1111111111111</v>
      </c>
      <c r="N28">
        <v>2</v>
      </c>
      <c r="O28">
        <f>10000-K28</f>
        <v>3333.333333333333</v>
      </c>
    </row>
    <row r="29" spans="1:20" x14ac:dyDescent="0.25">
      <c r="E29">
        <v>2</v>
      </c>
      <c r="F29">
        <f>F28-(G29+H29)</f>
        <v>4816</v>
      </c>
      <c r="G29">
        <v>772</v>
      </c>
      <c r="H29">
        <v>1071</v>
      </c>
      <c r="I29">
        <f t="shared" ref="I29:I37" si="14">G29/H29</f>
        <v>0.72082166199813258</v>
      </c>
      <c r="J29">
        <f>2*(F28-F29)</f>
        <v>3686</v>
      </c>
      <c r="K29">
        <v>4783.950617283951</v>
      </c>
      <c r="L29">
        <v>771.60493827160485</v>
      </c>
      <c r="M29">
        <v>1111.1111111111111</v>
      </c>
      <c r="N29">
        <v>0.69444444444444442</v>
      </c>
      <c r="O29">
        <f>2*(K28-K29)</f>
        <v>3765.4320987654319</v>
      </c>
    </row>
    <row r="30" spans="1:20" x14ac:dyDescent="0.25">
      <c r="E30">
        <v>3</v>
      </c>
      <c r="F30">
        <f t="shared" ref="F30:F48" si="15">F29-(G30+H30)</f>
        <v>3527</v>
      </c>
      <c r="G30">
        <v>441</v>
      </c>
      <c r="H30">
        <v>848</v>
      </c>
      <c r="I30">
        <f t="shared" si="14"/>
        <v>0.52004716981132071</v>
      </c>
      <c r="J30">
        <f>3*(F29-F30)</f>
        <v>3867</v>
      </c>
      <c r="K30">
        <v>3499.3712848651126</v>
      </c>
      <c r="L30">
        <v>487.2542295381802</v>
      </c>
      <c r="M30">
        <v>797.32510288065851</v>
      </c>
      <c r="N30">
        <v>0.61111111111111116</v>
      </c>
      <c r="O30">
        <f>3*(K29-K30)</f>
        <v>3853.7379972565154</v>
      </c>
    </row>
    <row r="31" spans="1:20" x14ac:dyDescent="0.25">
      <c r="E31">
        <v>4</v>
      </c>
      <c r="F31">
        <f t="shared" si="15"/>
        <v>2603</v>
      </c>
      <c r="G31">
        <v>340</v>
      </c>
      <c r="H31">
        <v>584</v>
      </c>
      <c r="I31">
        <f t="shared" si="14"/>
        <v>0.5821917808219178</v>
      </c>
      <c r="J31">
        <f>4*(F30-F31)</f>
        <v>3696</v>
      </c>
      <c r="K31">
        <v>2559.7252917068881</v>
      </c>
      <c r="L31">
        <v>356.4174456807059</v>
      </c>
      <c r="M31">
        <v>583.22854747751876</v>
      </c>
      <c r="N31">
        <v>0.61111111111111105</v>
      </c>
      <c r="O31">
        <f>4*(K30-K31)</f>
        <v>3758.5839726328977</v>
      </c>
    </row>
    <row r="32" spans="1:20" x14ac:dyDescent="0.25">
      <c r="E32">
        <v>5</v>
      </c>
      <c r="F32">
        <f t="shared" si="15"/>
        <v>1916</v>
      </c>
      <c r="G32">
        <v>250</v>
      </c>
      <c r="H32">
        <v>437</v>
      </c>
      <c r="I32">
        <f t="shared" si="14"/>
        <v>0.57208237986270027</v>
      </c>
      <c r="J32">
        <f>5*(F31-F32)</f>
        <v>3435</v>
      </c>
      <c r="K32">
        <v>1872.3916485633717</v>
      </c>
      <c r="L32">
        <v>260.71276119236825</v>
      </c>
      <c r="M32">
        <v>426.62088195114802</v>
      </c>
      <c r="N32">
        <v>0.61111111111111116</v>
      </c>
      <c r="O32">
        <f>5*(K31-K32)</f>
        <v>3436.6682157175819</v>
      </c>
    </row>
    <row r="33" spans="5:15" x14ac:dyDescent="0.25">
      <c r="E33">
        <v>6</v>
      </c>
      <c r="F33">
        <f t="shared" si="15"/>
        <v>1417</v>
      </c>
      <c r="G33">
        <v>225</v>
      </c>
      <c r="H33">
        <v>274</v>
      </c>
      <c r="I33">
        <f t="shared" si="14"/>
        <v>0.82116788321167888</v>
      </c>
      <c r="J33">
        <f>6*(F32-F33)</f>
        <v>2994</v>
      </c>
      <c r="K33">
        <v>1369.6198170046887</v>
      </c>
      <c r="L33">
        <v>190.7065567981212</v>
      </c>
      <c r="M33">
        <v>312.06527476056192</v>
      </c>
      <c r="N33">
        <v>0.61111111111111116</v>
      </c>
      <c r="O33">
        <f>6*(K32-K33)</f>
        <v>3016.6309893520984</v>
      </c>
    </row>
    <row r="34" spans="5:15" x14ac:dyDescent="0.25">
      <c r="E34">
        <v>7</v>
      </c>
      <c r="F34">
        <f t="shared" si="15"/>
        <v>1037</v>
      </c>
      <c r="G34">
        <v>139</v>
      </c>
      <c r="H34">
        <v>241</v>
      </c>
      <c r="I34">
        <f t="shared" si="14"/>
        <v>0.57676348547717837</v>
      </c>
      <c r="J34">
        <f>7*(F33-F34)</f>
        <v>2660</v>
      </c>
      <c r="K34">
        <v>1001.8515328089852</v>
      </c>
      <c r="L34">
        <v>139.49831469492199</v>
      </c>
      <c r="M34">
        <v>228.26996950078143</v>
      </c>
      <c r="N34">
        <v>0.61111111111111116</v>
      </c>
      <c r="O34">
        <f>7*(K33-K34)</f>
        <v>2574.3779893699243</v>
      </c>
    </row>
    <row r="35" spans="5:15" x14ac:dyDescent="0.25">
      <c r="E35">
        <v>8</v>
      </c>
      <c r="F35">
        <f t="shared" si="15"/>
        <v>783</v>
      </c>
      <c r="G35">
        <v>101</v>
      </c>
      <c r="H35">
        <v>153</v>
      </c>
      <c r="I35">
        <f t="shared" si="14"/>
        <v>0.66013071895424835</v>
      </c>
      <c r="J35">
        <f>8*(F34-F35)</f>
        <v>2032</v>
      </c>
      <c r="K35">
        <v>732.83584344360975</v>
      </c>
      <c r="L35">
        <v>102.04043389721146</v>
      </c>
      <c r="M35">
        <v>166.97525546816419</v>
      </c>
      <c r="N35">
        <v>0.61111111111111116</v>
      </c>
      <c r="O35">
        <f>8*(K34-K35)</f>
        <v>2152.1255149230037</v>
      </c>
    </row>
    <row r="36" spans="5:15" x14ac:dyDescent="0.25">
      <c r="E36">
        <v>9</v>
      </c>
      <c r="F36">
        <f t="shared" si="15"/>
        <v>571</v>
      </c>
      <c r="G36">
        <v>86</v>
      </c>
      <c r="H36">
        <v>126</v>
      </c>
      <c r="I36">
        <f t="shared" si="14"/>
        <v>0.68253968253968256</v>
      </c>
      <c r="J36">
        <f>9*(F35-F36)</f>
        <v>1908</v>
      </c>
      <c r="K36">
        <v>536.0558484448627</v>
      </c>
      <c r="L36">
        <v>74.640687758145432</v>
      </c>
      <c r="M36">
        <v>122.13930724060162</v>
      </c>
      <c r="N36">
        <v>0.61111111111111105</v>
      </c>
      <c r="O36">
        <f>9*(K35-K36)</f>
        <v>1771.0199549887234</v>
      </c>
    </row>
    <row r="37" spans="5:15" x14ac:dyDescent="0.25">
      <c r="E37">
        <v>10</v>
      </c>
      <c r="F37">
        <f t="shared" si="15"/>
        <v>414</v>
      </c>
      <c r="G37">
        <v>68</v>
      </c>
      <c r="H37">
        <v>89</v>
      </c>
      <c r="I37">
        <f t="shared" si="14"/>
        <v>0.7640449438202247</v>
      </c>
      <c r="J37">
        <f>10*(F36-F37)</f>
        <v>1570</v>
      </c>
      <c r="K37">
        <v>392.11492617726071</v>
      </c>
      <c r="L37">
        <v>54.598280860124902</v>
      </c>
      <c r="M37">
        <v>89.342641407477117</v>
      </c>
      <c r="N37">
        <v>0.61111111111111105</v>
      </c>
      <c r="O37">
        <f>10*(K36-K37)</f>
        <v>1439.4092226760199</v>
      </c>
    </row>
    <row r="38" spans="5:15" x14ac:dyDescent="0.25">
      <c r="E38">
        <v>11</v>
      </c>
      <c r="F38">
        <f t="shared" si="15"/>
        <v>295</v>
      </c>
      <c r="G38">
        <v>49</v>
      </c>
      <c r="H38">
        <v>70</v>
      </c>
      <c r="I38">
        <f>G38/H38</f>
        <v>0.7</v>
      </c>
      <c r="J38">
        <f>11*(F37-F38)</f>
        <v>1309</v>
      </c>
      <c r="K38">
        <v>286.82480711114442</v>
      </c>
      <c r="L38">
        <v>39.937631369906178</v>
      </c>
      <c r="M38">
        <v>65.352487696210119</v>
      </c>
      <c r="N38">
        <v>0.61111111111111105</v>
      </c>
      <c r="O38">
        <f>11*(K37-K38)</f>
        <v>1158.1913097272791</v>
      </c>
    </row>
    <row r="39" spans="5:15" x14ac:dyDescent="0.25">
      <c r="E39">
        <v>12</v>
      </c>
      <c r="F39">
        <f t="shared" si="15"/>
        <v>215</v>
      </c>
      <c r="G39">
        <v>29</v>
      </c>
      <c r="H39">
        <v>51</v>
      </c>
      <c r="I39">
        <f t="shared" ref="I39:I48" si="16">G39/H39</f>
        <v>0.56862745098039214</v>
      </c>
      <c r="J39">
        <f>12*(F38-F39)</f>
        <v>960</v>
      </c>
      <c r="K39">
        <v>209.80703483130009</v>
      </c>
      <c r="L39">
        <v>29.213637761320264</v>
      </c>
      <c r="M39">
        <v>47.804134518524066</v>
      </c>
      <c r="N39">
        <v>0.61111111111111116</v>
      </c>
      <c r="O39">
        <f>12*(K38-K39)</f>
        <v>924.21326735813204</v>
      </c>
    </row>
    <row r="40" spans="5:15" x14ac:dyDescent="0.25">
      <c r="E40">
        <v>13</v>
      </c>
      <c r="F40">
        <f t="shared" si="15"/>
        <v>161</v>
      </c>
      <c r="G40">
        <v>20</v>
      </c>
      <c r="H40">
        <v>34</v>
      </c>
      <c r="I40">
        <f t="shared" si="16"/>
        <v>0.58823529411764708</v>
      </c>
      <c r="J40">
        <f>13*(F39-F40)</f>
        <v>702</v>
      </c>
      <c r="K40">
        <v>153.46996066363619</v>
      </c>
      <c r="L40">
        <v>21.369235029113895</v>
      </c>
      <c r="M40">
        <v>34.967839138550012</v>
      </c>
      <c r="N40">
        <v>0.61111111111111105</v>
      </c>
      <c r="O40">
        <f>13*(K39-K40)</f>
        <v>732.3819641796307</v>
      </c>
    </row>
    <row r="41" spans="5:15" x14ac:dyDescent="0.25">
      <c r="E41">
        <v>14</v>
      </c>
      <c r="F41">
        <f t="shared" si="15"/>
        <v>118</v>
      </c>
      <c r="G41">
        <v>19</v>
      </c>
      <c r="H41">
        <v>24</v>
      </c>
      <c r="I41">
        <f t="shared" si="16"/>
        <v>0.79166666666666663</v>
      </c>
      <c r="J41">
        <f>14*(F40-F41)</f>
        <v>602</v>
      </c>
      <c r="K41">
        <v>112.26043418914126</v>
      </c>
      <c r="L41">
        <v>15.631199697222204</v>
      </c>
      <c r="M41">
        <v>25.578326777272697</v>
      </c>
      <c r="N41">
        <v>0.61111111111111116</v>
      </c>
      <c r="O41">
        <f>14*(K40-K41)</f>
        <v>576.93337064292894</v>
      </c>
    </row>
    <row r="42" spans="5:15" x14ac:dyDescent="0.25">
      <c r="E42">
        <v>15</v>
      </c>
      <c r="F42">
        <f t="shared" si="15"/>
        <v>86</v>
      </c>
      <c r="G42">
        <v>14</v>
      </c>
      <c r="H42">
        <v>18</v>
      </c>
      <c r="I42">
        <f t="shared" si="16"/>
        <v>0.77777777777777779</v>
      </c>
      <c r="J42">
        <f>15*(F41-F42)</f>
        <v>480</v>
      </c>
      <c r="K42">
        <v>82.116428712427407</v>
      </c>
      <c r="L42">
        <v>11.43393311185698</v>
      </c>
      <c r="M42">
        <v>18.710072364856877</v>
      </c>
      <c r="N42">
        <v>0.61111111111111105</v>
      </c>
      <c r="O42">
        <f>15*(K41-K42)</f>
        <v>452.16008215070786</v>
      </c>
    </row>
    <row r="43" spans="5:15" x14ac:dyDescent="0.25">
      <c r="E43">
        <v>16</v>
      </c>
      <c r="F43">
        <f t="shared" si="15"/>
        <v>65</v>
      </c>
      <c r="G43">
        <v>5</v>
      </c>
      <c r="H43">
        <v>16</v>
      </c>
      <c r="I43">
        <f t="shared" si="16"/>
        <v>0.3125</v>
      </c>
      <c r="J43">
        <f>16*(F42-F43)</f>
        <v>336</v>
      </c>
      <c r="K43">
        <v>60.066646928534865</v>
      </c>
      <c r="L43">
        <v>8.3637103318213093</v>
      </c>
      <c r="M43">
        <v>13.686071452071234</v>
      </c>
      <c r="N43">
        <v>0.61111111111111105</v>
      </c>
      <c r="O43">
        <f>16*(K42-K43)</f>
        <v>352.79650854228066</v>
      </c>
    </row>
    <row r="44" spans="5:15" x14ac:dyDescent="0.25">
      <c r="E44">
        <v>17</v>
      </c>
      <c r="F44">
        <f t="shared" si="15"/>
        <v>46</v>
      </c>
      <c r="G44">
        <v>6</v>
      </c>
      <c r="H44">
        <v>13</v>
      </c>
      <c r="I44">
        <f t="shared" si="16"/>
        <v>0.46153846153846156</v>
      </c>
      <c r="J44">
        <f>17*(F43-F44)</f>
        <v>323</v>
      </c>
      <c r="K44">
        <v>43.937639882909764</v>
      </c>
      <c r="L44">
        <v>6.1178992242026249</v>
      </c>
      <c r="M44">
        <v>10.011107821422478</v>
      </c>
      <c r="N44">
        <v>0.61111111111111105</v>
      </c>
      <c r="O44">
        <f>17*(K43-K44)</f>
        <v>274.19311977562671</v>
      </c>
    </row>
    <row r="45" spans="5:15" x14ac:dyDescent="0.25">
      <c r="E45">
        <v>18</v>
      </c>
      <c r="F45">
        <f t="shared" si="15"/>
        <v>35</v>
      </c>
      <c r="G45">
        <v>8</v>
      </c>
      <c r="H45">
        <v>3</v>
      </c>
      <c r="I45">
        <f t="shared" si="16"/>
        <v>2.6666666666666665</v>
      </c>
      <c r="J45">
        <f>18*(F44-F45)</f>
        <v>198</v>
      </c>
      <c r="K45">
        <v>32.139569914350659</v>
      </c>
      <c r="L45">
        <v>4.4751299880741424</v>
      </c>
      <c r="M45">
        <v>7.3229399804849606</v>
      </c>
      <c r="N45">
        <v>0.61111111111111105</v>
      </c>
      <c r="O45">
        <f>18*(K44-K45)</f>
        <v>212.36525943406389</v>
      </c>
    </row>
    <row r="46" spans="5:15" x14ac:dyDescent="0.25">
      <c r="E46">
        <v>19</v>
      </c>
      <c r="F46">
        <f t="shared" si="15"/>
        <v>21</v>
      </c>
      <c r="G46">
        <v>6</v>
      </c>
      <c r="H46">
        <v>8</v>
      </c>
      <c r="I46">
        <f t="shared" si="16"/>
        <v>0.75</v>
      </c>
      <c r="J46">
        <f>19*(F45-F46)</f>
        <v>266</v>
      </c>
      <c r="K46">
        <v>23.50950021512687</v>
      </c>
      <c r="L46">
        <v>3.2734747134986781</v>
      </c>
      <c r="M46">
        <v>5.3565949857251098</v>
      </c>
      <c r="N46">
        <v>0.61111111111111105</v>
      </c>
      <c r="O46">
        <f>19*(K45-K46)</f>
        <v>163.971324285252</v>
      </c>
    </row>
    <row r="47" spans="5:15" x14ac:dyDescent="0.25">
      <c r="E47">
        <v>20</v>
      </c>
      <c r="F47">
        <f t="shared" si="15"/>
        <v>16</v>
      </c>
      <c r="G47">
        <v>1</v>
      </c>
      <c r="H47">
        <v>4</v>
      </c>
      <c r="I47">
        <f t="shared" si="16"/>
        <v>0.25</v>
      </c>
      <c r="J47">
        <f>20*(F46-F47)</f>
        <v>100</v>
      </c>
      <c r="K47">
        <v>17.196764046250212</v>
      </c>
      <c r="L47">
        <v>2.3944861330221809</v>
      </c>
      <c r="M47">
        <v>3.9182500358544781</v>
      </c>
      <c r="N47">
        <v>0.61111111111111105</v>
      </c>
      <c r="O47">
        <f>20*(K46-K47)</f>
        <v>126.25472337753315</v>
      </c>
    </row>
    <row r="48" spans="5:15" x14ac:dyDescent="0.25">
      <c r="E48" t="s">
        <v>4</v>
      </c>
      <c r="F48">
        <f t="shared" si="15"/>
        <v>0</v>
      </c>
      <c r="G48">
        <v>4</v>
      </c>
      <c r="H48">
        <v>12</v>
      </c>
      <c r="I48">
        <f t="shared" si="16"/>
        <v>0.33333333333333331</v>
      </c>
    </row>
    <row r="49" spans="5:15" x14ac:dyDescent="0.25">
      <c r="H49" t="s">
        <v>16</v>
      </c>
      <c r="I49">
        <f>(SUM(I30:I48))/19</f>
        <v>0.70417440503052087</v>
      </c>
      <c r="J49">
        <f>((1/19)*((I28-I49)^2+(I29-I49)^2+(I30-I49)^2+(I31-I49)^2+(I32-I49)^2+(I33-I49)^2+(I34-I49)^2+(I35-I49)^2+(I36-I49)^2+(I37-I49)^2+(I38-I49)^2+(I39-I49)^2+(I40-I49)^2+(I41-I49)^2+(I43-I49)^2+(I44-I49)^2+(I45-I49)^2+(I46-I49)^2+(I47-I49)^2+(I42-I49)^2)/20)^(1/2)</f>
        <v>0.12505530659141834</v>
      </c>
      <c r="M49" t="s">
        <v>16</v>
      </c>
      <c r="N49">
        <f>(SUM(N30:N48))/18</f>
        <v>0.61111111111111094</v>
      </c>
      <c r="O49">
        <f>((1/19)*((N30-N49)^2+(N31-N49)^2+(N32-N49)^2+(N33-N49)^2+(N34-N49)^2+(N35-N49)^2+(N36-N49)^2+(N37-N49)^2+(N38-N49)^2+(N39-N49)^2+(N40-N49)^2+(N41-N49)^2+(N42-N49)^2+(N43-N49)^2+(N44-N49)^2+(N45-N49)^2+(N46-N49)^2+(N47-N49)^2)/18)^(1/2)</f>
        <v>3.7491211996363869E-17</v>
      </c>
    </row>
    <row r="50" spans="5:15" x14ac:dyDescent="0.25">
      <c r="H50" t="s">
        <v>15</v>
      </c>
      <c r="I50">
        <f>(SUM(I30:I48)-I45-I47)/17</f>
        <v>0.6154498252301901</v>
      </c>
      <c r="J50">
        <f>((1/19)*((I29-I50)^2+(I30-I50)^2+(I31-I50)^2+(I32-I50)^2+(I33-I50)^2+(I34-I50)^2+(I35-I50)^2+(I36-I50)^2+(I37-I50)^2+(I38-I50)^2+(I39-I50)^2+(I40-I50)^2+(I41-I50)^2+(I42-I50)^2+(I44-I50)^2++(I46-I50)^2+(I48-I50)^2+(I43-I50)^2)/20)^(1/2)</f>
        <v>3.1465579444393939E-2</v>
      </c>
    </row>
    <row r="51" spans="5:15" x14ac:dyDescent="0.25">
      <c r="F51" t="s">
        <v>17</v>
      </c>
      <c r="G51" t="s">
        <v>18</v>
      </c>
      <c r="H51" t="s">
        <v>19</v>
      </c>
      <c r="K51" t="s">
        <v>17</v>
      </c>
      <c r="L51" t="s">
        <v>18</v>
      </c>
      <c r="M51" t="s">
        <v>19</v>
      </c>
    </row>
    <row r="52" spans="5:15" x14ac:dyDescent="0.25">
      <c r="E52" t="s">
        <v>20</v>
      </c>
      <c r="F52">
        <f>(SUM(G28:G48))/21</f>
        <v>227.95238095238096</v>
      </c>
      <c r="G52">
        <f>(SUM(H28:H48))/21</f>
        <v>248.23809523809524</v>
      </c>
      <c r="H52">
        <f>F52/(G52+F52)</f>
        <v>0.47870000000000001</v>
      </c>
      <c r="J52" t="s">
        <v>20</v>
      </c>
      <c r="K52">
        <f>(SUM(L28:L48))/21</f>
        <v>228.66220039398311</v>
      </c>
      <c r="L52">
        <f>(SUM(M28:M48))/21</f>
        <v>246.70938227048126</v>
      </c>
      <c r="M52">
        <f>K52/(L52+K52)</f>
        <v>0.48101781581542652</v>
      </c>
    </row>
    <row r="53" spans="5:15" x14ac:dyDescent="0.25">
      <c r="E53" t="s">
        <v>21</v>
      </c>
      <c r="F53">
        <f>((1/19)*((G28-F52)^2+(G29-F52)^2+(G30-F52)^2+(G31-F52)^2+(G32-F52)^2+(G33-F52)^2+(G34-F52)^2+(G35-F52)^2+(G36-F52)^2+(G37-F52)^2+(G38-F52)^2+(G39-F52)^2+(G40-F52)^2+(G41-F52)^2+(G42-F52)^2+(G43-F52)^2+(G44-F52)^2+(G45-F52)^2+(G46-F52)^2+(G47-F52)^2)/20)^(1/2)</f>
        <v>112.17188740883238</v>
      </c>
      <c r="G53">
        <f>((1/19)*((H28-G52)^2+(H29-G52)^2+(H30-G52)^2+(H31-G52)^2+(H32-G52)^2+(H33-G52)^2+(H34-G52)^2+(H35-G52)^2+(H36-G52)^2+(H37-G52)^2+(H38-G52)^2+(H39-G52)^2+(H40-G52)^2+(H41-G52)^2+(H42-G52)^2+(H43-G52)^2+(H44-G52)^2+(H45-G52)^2+(H46-G52)^2+(H47-G52)^2)/20)^(1/2)</f>
        <v>81.62241971229291</v>
      </c>
      <c r="H53">
        <f>SQRT((F52/(G52+F52))^2*(F53^2+G53^2)/(F52+G52)^2*(G53/G52)^2)</f>
        <v>4.5854283710506913E-2</v>
      </c>
      <c r="J53" t="s">
        <v>21</v>
      </c>
      <c r="K53">
        <f>((1/19)*((L28-K52)^2+(L29-K52)^2+(L30-K52)^2+(L31-K52)^2+(L32-K52)^2+(L33-K52)^2+(L34-K52)^2+(L35-K52)^2+(L36-K52)^2+(L37-K52)^2+(L38-K52)^2+(L39-K52)^2+(L40-K52)^2+(L41-K52)^2+(L42-K52)^2+(L43-K52)^2+(L44-K52)^2+(L45-K52)^2+(L46-K52)^2+(L47-K52)^2)/20)^(1/2)</f>
        <v>113.48525772423245</v>
      </c>
      <c r="L53">
        <f>((1/19)*((M28-L52)^2+(M29-L52)^2+(M30-L52)^2+(M31-L52)^2+(M32-L52)^2+(M33-L52)^2+(M34-L52)^2+(M35-L52)^2+(M36-L52)^2+(M37-L52)^2+(M38-L52)^2+(M39-L52)^2+(M40-L52)^2+(M41-L52)^2+(M42-L52)^2+(M43-L52)^2+(M44-L52)^2+(M45-L52)^2+(M46-L52)^2+(M47-L52)^2)/20)^(1/2)</f>
        <v>81.068908863019828</v>
      </c>
      <c r="M53">
        <f>SQRT((K52/(L52+K52))^2*(K53^2+L53^2)/(K52+L52)^2*(L53/L52)^2)</f>
        <v>4.6373339801566833E-2</v>
      </c>
    </row>
    <row r="54" spans="5:15" x14ac:dyDescent="0.25">
      <c r="J54" t="s">
        <v>22</v>
      </c>
      <c r="O54" t="s">
        <v>22</v>
      </c>
    </row>
    <row r="55" spans="5:15" x14ac:dyDescent="0.25">
      <c r="I55" t="s">
        <v>20</v>
      </c>
      <c r="J55">
        <f>SUM(J28:J47)/10000</f>
        <v>3.4464999999999999</v>
      </c>
      <c r="N55" t="s">
        <v>20</v>
      </c>
      <c r="O55">
        <f>SUM(O28:O47)/10000</f>
        <v>3.4074780218488971</v>
      </c>
    </row>
    <row r="56" spans="5:15" x14ac:dyDescent="0.25">
      <c r="I56" t="s">
        <v>21</v>
      </c>
      <c r="J56">
        <f>SQRT((1/19)*((I31/10000-J55)^2+(I32/10000-J55)^2+(I33/10000-J55)^2+(I34/10000-J55)^2+(I35/10000-J55)^2+(I36/10000-J55)^2+(I37/10000-J55)^2+(I38/10000-J55)^2+(I39/10000+J55)^2+(I40/10000-J55)^2+(I41/10000-J55)^2+(I42/10000-J55)^2+(I43/10000+J55)^2+(I44/10000-J55)^2+(I45/10000-J55)^2+(I46/10000-J55)^2+(I47/10000-J55)^2+(I30/10000-J55)^2+(I29/10000-J55)^2+(I28/10000-J55)^2)/20)</f>
        <v>0.79066533322829413</v>
      </c>
      <c r="N56" t="s">
        <v>21</v>
      </c>
      <c r="O56">
        <f>SQRT((1/19)*((O28/10000-O55)^2+(O29/10000-O55)^2+(O30/10000-O55)^2+(O31/10000-O55)^2+(O32/10000-O55)^2+(O33/10000-O55)^2+(O34/10000-O55)^2+(O35/10000-O55)^2+(O36/10000+O55)^2+(O37/10000-O55)^2+(O38/10000-O55)^2+(O39/10000-O55)^2+(O40/10000-O55)^2+(O41/10000-O55)^2+(O42/10000-O55)^2+(O43/10000-O55)^2+(O44/10000-O55)^2+(O45/10000-O55)^2+(O46/10000-O55)^2+(O47/10000-O55)^2)/20)</f>
        <v>0.74756135129692936</v>
      </c>
    </row>
  </sheetData>
  <mergeCells count="2">
    <mergeCell ref="F26:J26"/>
    <mergeCell ref="K26:O2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tanner</dc:creator>
  <cp:lastModifiedBy>sam tanner</cp:lastModifiedBy>
  <dcterms:created xsi:type="dcterms:W3CDTF">2015-06-05T18:17:20Z</dcterms:created>
  <dcterms:modified xsi:type="dcterms:W3CDTF">2021-10-24T13:20:33Z</dcterms:modified>
</cp:coreProperties>
</file>