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GitHub\Carbon_Report\"/>
    </mc:Choice>
  </mc:AlternateContent>
  <xr:revisionPtr revIDLastSave="0" documentId="13_ncr:1_{6C7A5408-64D0-4908-8C14-872A4DFBED1F}" xr6:coauthVersionLast="47" xr6:coauthVersionMax="47" xr10:uidLastSave="{00000000-0000-0000-0000-000000000000}"/>
  <bookViews>
    <workbookView xWindow="28740" yWindow="-120" windowWidth="29040" windowHeight="15840" xr2:uid="{B914D543-2248-43F6-AF53-C4900C919E6D}"/>
  </bookViews>
  <sheets>
    <sheet name="EU" sheetId="2" r:id="rId1"/>
    <sheet name="UK" sheetId="3" r:id="rId2"/>
    <sheet name="CCA" sheetId="4" r:id="rId3"/>
    <sheet name="RGGI" sheetId="5" r:id="rId4"/>
    <sheet name="NZU" sheetId="6" r:id="rId5"/>
    <sheet name="ACCU" sheetId="7" r:id="rId6"/>
  </sheets>
  <externalReferences>
    <externalReference r:id="rId7"/>
  </externalReferenc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67" i="2" l="1"/>
  <c r="Q67" i="2"/>
  <c r="S67" i="2" s="1"/>
  <c r="M67" i="2"/>
  <c r="L67" i="2"/>
  <c r="N67" i="2" s="1"/>
  <c r="O67" i="2" s="1"/>
  <c r="J67" i="2"/>
  <c r="F67" i="2"/>
  <c r="H67" i="2" s="1"/>
  <c r="I67" i="2" s="1"/>
  <c r="T67" i="2" l="1"/>
  <c r="S59" i="3" l="1"/>
  <c r="Q59" i="3"/>
  <c r="P59" i="3"/>
  <c r="R59" i="3" s="1"/>
  <c r="N59" i="3"/>
  <c r="L59" i="3"/>
  <c r="K59" i="3"/>
  <c r="M59" i="3" s="1"/>
  <c r="I59" i="3"/>
  <c r="I56" i="3"/>
  <c r="K56" i="3"/>
  <c r="L56" i="3"/>
  <c r="P56" i="3"/>
  <c r="Q56" i="3"/>
  <c r="I57" i="3"/>
  <c r="K57" i="3"/>
  <c r="L57" i="3"/>
  <c r="P57" i="3"/>
  <c r="Q57" i="3"/>
  <c r="I58" i="3"/>
  <c r="K58" i="3"/>
  <c r="L58" i="3"/>
  <c r="P58" i="3"/>
  <c r="Q58" i="3"/>
  <c r="N9" i="6"/>
  <c r="S9" i="6"/>
  <c r="T9" i="6"/>
  <c r="O9" i="6"/>
  <c r="I9" i="6"/>
  <c r="R9" i="6"/>
  <c r="Q9" i="6"/>
  <c r="M9" i="6"/>
  <c r="L9" i="6"/>
  <c r="I4" i="6"/>
  <c r="I5" i="6" s="1"/>
  <c r="I6" i="6" s="1"/>
  <c r="I7" i="6" s="1"/>
  <c r="I8" i="6" s="1"/>
  <c r="I3" i="6"/>
  <c r="I2" i="6"/>
  <c r="L5" i="6"/>
  <c r="N5" i="6" s="1"/>
  <c r="O5" i="6" s="1"/>
  <c r="M5" i="6"/>
  <c r="Q5" i="6"/>
  <c r="S5" i="6" s="1"/>
  <c r="R5" i="6"/>
  <c r="L6" i="6"/>
  <c r="N6" i="6" s="1"/>
  <c r="O6" i="6" s="1"/>
  <c r="M6" i="6"/>
  <c r="Q6" i="6"/>
  <c r="R6" i="6"/>
  <c r="L7" i="6"/>
  <c r="M7" i="6"/>
  <c r="N7" i="6"/>
  <c r="O7" i="6"/>
  <c r="Q7" i="6"/>
  <c r="R7" i="6"/>
  <c r="L8" i="6"/>
  <c r="M8" i="6"/>
  <c r="Q8" i="6"/>
  <c r="R8" i="6"/>
  <c r="Q4" i="6"/>
  <c r="R4" i="6"/>
  <c r="S4" i="6"/>
  <c r="T4" i="6" s="1"/>
  <c r="S3" i="6"/>
  <c r="T3" i="6"/>
  <c r="Q2" i="6"/>
  <c r="S2" i="6" s="1"/>
  <c r="R2" i="6"/>
  <c r="T2" i="6" s="1"/>
  <c r="Q3" i="6"/>
  <c r="R3" i="6"/>
  <c r="M4" i="6"/>
  <c r="L4" i="6"/>
  <c r="M3" i="6"/>
  <c r="L3" i="6"/>
  <c r="M2" i="6"/>
  <c r="O2" i="6" s="1"/>
  <c r="L2" i="6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T46" i="2"/>
  <c r="O46" i="2"/>
  <c r="R46" i="2"/>
  <c r="Q46" i="2"/>
  <c r="S46" i="2" s="1"/>
  <c r="M46" i="2"/>
  <c r="L46" i="2"/>
  <c r="N46" i="2" s="1"/>
  <c r="T41" i="2"/>
  <c r="T42" i="2"/>
  <c r="T43" i="2"/>
  <c r="T44" i="2"/>
  <c r="T45" i="2"/>
  <c r="O41" i="2"/>
  <c r="O42" i="2"/>
  <c r="O43" i="2"/>
  <c r="O44" i="2"/>
  <c r="O45" i="2"/>
  <c r="T40" i="2"/>
  <c r="O40" i="2"/>
  <c r="R41" i="2"/>
  <c r="Q41" i="2"/>
  <c r="M41" i="2"/>
  <c r="L41" i="2"/>
  <c r="R40" i="2"/>
  <c r="Q40" i="2"/>
  <c r="M40" i="2"/>
  <c r="L40" i="2"/>
  <c r="N40" i="2" s="1"/>
  <c r="T31" i="2"/>
  <c r="T32" i="2"/>
  <c r="T33" i="2"/>
  <c r="T34" i="2"/>
  <c r="T35" i="2"/>
  <c r="T36" i="2"/>
  <c r="T37" i="2"/>
  <c r="T38" i="2"/>
  <c r="T39" i="2"/>
  <c r="O31" i="2"/>
  <c r="O32" i="2"/>
  <c r="O33" i="2"/>
  <c r="O34" i="2"/>
  <c r="O35" i="2"/>
  <c r="O36" i="2"/>
  <c r="O37" i="2"/>
  <c r="O38" i="2"/>
  <c r="O39" i="2"/>
  <c r="T30" i="2"/>
  <c r="O30" i="2"/>
  <c r="R31" i="2"/>
  <c r="Q31" i="2"/>
  <c r="M31" i="2"/>
  <c r="L31" i="2"/>
  <c r="R30" i="2"/>
  <c r="Q30" i="2"/>
  <c r="S30" i="2" s="1"/>
  <c r="M30" i="2"/>
  <c r="L30" i="2"/>
  <c r="N30" i="2" s="1"/>
  <c r="L29" i="2"/>
  <c r="N29" i="2" s="1"/>
  <c r="M29" i="2"/>
  <c r="Q29" i="2"/>
  <c r="S29" i="2" s="1"/>
  <c r="R29" i="2"/>
  <c r="T25" i="2"/>
  <c r="T26" i="2"/>
  <c r="T27" i="2"/>
  <c r="T28" i="2"/>
  <c r="O25" i="2"/>
  <c r="O26" i="2"/>
  <c r="O27" i="2"/>
  <c r="O28" i="2"/>
  <c r="T24" i="2"/>
  <c r="O24" i="2"/>
  <c r="R25" i="2"/>
  <c r="Q25" i="2"/>
  <c r="M25" i="2"/>
  <c r="L25" i="2"/>
  <c r="R24" i="2"/>
  <c r="Q24" i="2"/>
  <c r="S24" i="2" s="1"/>
  <c r="M24" i="2"/>
  <c r="L24" i="2"/>
  <c r="N24" i="2" s="1"/>
  <c r="O13" i="2"/>
  <c r="T13" i="2"/>
  <c r="T12" i="2"/>
  <c r="O12" i="2"/>
  <c r="S12" i="2"/>
  <c r="N12" i="2"/>
  <c r="R13" i="2"/>
  <c r="Q13" i="2"/>
  <c r="M13" i="2"/>
  <c r="L13" i="2"/>
  <c r="N13" i="2" s="1"/>
  <c r="R12" i="2"/>
  <c r="Q12" i="2"/>
  <c r="M12" i="2"/>
  <c r="L12" i="2"/>
  <c r="N11" i="2"/>
  <c r="S11" i="2"/>
  <c r="T11" i="2"/>
  <c r="O11" i="2"/>
  <c r="O10" i="2"/>
  <c r="T10" i="2"/>
  <c r="S10" i="2"/>
  <c r="T7" i="2"/>
  <c r="T8" i="2"/>
  <c r="T9" i="2"/>
  <c r="T6" i="2"/>
  <c r="O9" i="2"/>
  <c r="O4" i="2"/>
  <c r="O5" i="2"/>
  <c r="O6" i="2"/>
  <c r="O7" i="2"/>
  <c r="O8" i="2"/>
  <c r="O3" i="2"/>
  <c r="S5" i="2"/>
  <c r="S6" i="2"/>
  <c r="S7" i="2"/>
  <c r="S8" i="2"/>
  <c r="S9" i="2"/>
  <c r="S4" i="2"/>
  <c r="Q38" i="2"/>
  <c r="R38" i="2"/>
  <c r="Q39" i="2"/>
  <c r="R39" i="2"/>
  <c r="Q42" i="2"/>
  <c r="R42" i="2"/>
  <c r="Q43" i="2"/>
  <c r="R43" i="2"/>
  <c r="Q44" i="2"/>
  <c r="R44" i="2"/>
  <c r="Q45" i="2"/>
  <c r="R45" i="2"/>
  <c r="Q47" i="2"/>
  <c r="R47" i="2"/>
  <c r="Q48" i="2"/>
  <c r="R48" i="2"/>
  <c r="Q49" i="2"/>
  <c r="R49" i="2"/>
  <c r="Q50" i="2"/>
  <c r="R50" i="2"/>
  <c r="Q51" i="2"/>
  <c r="R51" i="2"/>
  <c r="Q52" i="2"/>
  <c r="R52" i="2"/>
  <c r="Q53" i="2"/>
  <c r="R53" i="2"/>
  <c r="Q54" i="2"/>
  <c r="R54" i="2"/>
  <c r="Q55" i="2"/>
  <c r="R55" i="2"/>
  <c r="Q56" i="2"/>
  <c r="R56" i="2"/>
  <c r="Q57" i="2"/>
  <c r="R57" i="2"/>
  <c r="Q58" i="2"/>
  <c r="R58" i="2"/>
  <c r="Q59" i="2"/>
  <c r="R59" i="2"/>
  <c r="Q60" i="2"/>
  <c r="R60" i="2"/>
  <c r="Q61" i="2"/>
  <c r="R61" i="2"/>
  <c r="Q62" i="2"/>
  <c r="R62" i="2"/>
  <c r="Q63" i="2"/>
  <c r="R63" i="2"/>
  <c r="Q64" i="2"/>
  <c r="R64" i="2"/>
  <c r="Q65" i="2"/>
  <c r="R65" i="2"/>
  <c r="Q66" i="2"/>
  <c r="R66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5" i="2"/>
  <c r="L45" i="2"/>
  <c r="M44" i="2"/>
  <c r="L44" i="2"/>
  <c r="M43" i="2"/>
  <c r="L43" i="2"/>
  <c r="M42" i="2"/>
  <c r="L42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28" i="2"/>
  <c r="L28" i="2"/>
  <c r="M27" i="2"/>
  <c r="L27" i="2"/>
  <c r="M26" i="2"/>
  <c r="L26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1" i="2"/>
  <c r="L11" i="2"/>
  <c r="M10" i="2"/>
  <c r="L10" i="2"/>
  <c r="M9" i="2"/>
  <c r="L9" i="2"/>
  <c r="M8" i="2"/>
  <c r="L8" i="2"/>
  <c r="M7" i="2"/>
  <c r="L7" i="2"/>
  <c r="N6" i="2"/>
  <c r="M6" i="2"/>
  <c r="L6" i="2"/>
  <c r="M5" i="2"/>
  <c r="L5" i="2"/>
  <c r="N4" i="2"/>
  <c r="N3" i="2"/>
  <c r="J4" i="2"/>
  <c r="J5" i="2" s="1"/>
  <c r="J6" i="2" s="1"/>
  <c r="J7" i="2" s="1"/>
  <c r="J8" i="2" s="1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3" i="2"/>
  <c r="J2" i="2"/>
  <c r="T5" i="2"/>
  <c r="T4" i="2"/>
  <c r="R37" i="2"/>
  <c r="Q37" i="2"/>
  <c r="R36" i="2"/>
  <c r="Q36" i="2"/>
  <c r="R35" i="2"/>
  <c r="Q35" i="2"/>
  <c r="R34" i="2"/>
  <c r="Q34" i="2"/>
  <c r="R33" i="2"/>
  <c r="Q33" i="2"/>
  <c r="R32" i="2"/>
  <c r="Q32" i="2"/>
  <c r="R28" i="2"/>
  <c r="Q28" i="2"/>
  <c r="R27" i="2"/>
  <c r="Q27" i="2"/>
  <c r="R26" i="2"/>
  <c r="Q26" i="2"/>
  <c r="R23" i="2"/>
  <c r="Q23" i="2"/>
  <c r="R22" i="2"/>
  <c r="Q22" i="2"/>
  <c r="R21" i="2"/>
  <c r="Q21" i="2"/>
  <c r="R20" i="2"/>
  <c r="Q20" i="2"/>
  <c r="R19" i="2"/>
  <c r="Q19" i="2"/>
  <c r="R18" i="2"/>
  <c r="Q18" i="2"/>
  <c r="R17" i="2"/>
  <c r="Q17" i="2"/>
  <c r="R16" i="2"/>
  <c r="Q16" i="2"/>
  <c r="R15" i="2"/>
  <c r="Q15" i="2"/>
  <c r="R14" i="2"/>
  <c r="Q14" i="2"/>
  <c r="R11" i="2"/>
  <c r="Q11" i="2"/>
  <c r="R10" i="2"/>
  <c r="Q10" i="2"/>
  <c r="R9" i="2"/>
  <c r="Q9" i="2"/>
  <c r="R8" i="2"/>
  <c r="Q8" i="2"/>
  <c r="R7" i="2"/>
  <c r="Q7" i="2"/>
  <c r="R6" i="2"/>
  <c r="Q6" i="2"/>
  <c r="R5" i="2"/>
  <c r="Q5" i="2"/>
  <c r="O2" i="2"/>
  <c r="M2" i="2"/>
  <c r="L2" i="2"/>
  <c r="N2" i="2" s="1"/>
  <c r="R4" i="2"/>
  <c r="Q4" i="2"/>
  <c r="M4" i="2"/>
  <c r="L4" i="2"/>
  <c r="R3" i="2"/>
  <c r="T3" i="2" s="1"/>
  <c r="Q3" i="2"/>
  <c r="S3" i="2" s="1"/>
  <c r="M3" i="2"/>
  <c r="L3" i="2"/>
  <c r="M1" i="3" a="1"/>
  <c r="Z2" i="2" a="1"/>
  <c r="Z3" i="2" a="1"/>
  <c r="M2" i="3" a="1"/>
  <c r="M1" i="3" l="1"/>
  <c r="F59" i="3" s="1"/>
  <c r="G59" i="3" s="1"/>
  <c r="Z2" i="2"/>
  <c r="Z3" i="2"/>
  <c r="W1" i="2" s="1"/>
  <c r="T5" i="6"/>
  <c r="S6" i="6"/>
  <c r="N8" i="6"/>
  <c r="O8" i="6" s="1"/>
  <c r="N2" i="6"/>
  <c r="N3" i="6"/>
  <c r="O3" i="6"/>
  <c r="N4" i="6"/>
  <c r="O4" i="6" s="1"/>
  <c r="N41" i="2"/>
  <c r="S40" i="2"/>
  <c r="N31" i="2"/>
  <c r="S31" i="2"/>
  <c r="O29" i="2"/>
  <c r="T29" i="2"/>
  <c r="N25" i="2"/>
  <c r="S25" i="2"/>
  <c r="S13" i="2"/>
  <c r="N14" i="2"/>
  <c r="N15" i="2"/>
  <c r="O14" i="2"/>
  <c r="S14" i="2"/>
  <c r="N7" i="2"/>
  <c r="N8" i="2"/>
  <c r="N9" i="2"/>
  <c r="N5" i="2"/>
  <c r="M2" i="3"/>
  <c r="F58" i="3" l="1"/>
  <c r="G58" i="3" s="1"/>
  <c r="F57" i="3"/>
  <c r="G57" i="3" s="1"/>
  <c r="F56" i="3"/>
  <c r="G56" i="3" s="1"/>
  <c r="T6" i="6"/>
  <c r="S7" i="6"/>
  <c r="S41" i="2"/>
  <c r="N16" i="2"/>
  <c r="O15" i="2"/>
  <c r="S15" i="2"/>
  <c r="T14" i="2"/>
  <c r="J4" i="7"/>
  <c r="G4" i="7"/>
  <c r="F4" i="7"/>
  <c r="J3" i="7"/>
  <c r="F3" i="7"/>
  <c r="G3" i="7" s="1"/>
  <c r="I2" i="7"/>
  <c r="I3" i="7" s="1"/>
  <c r="I4" i="7" s="1"/>
  <c r="F2" i="7"/>
  <c r="G2" i="7" s="1"/>
  <c r="H2" i="7" s="1"/>
  <c r="H3" i="7" s="1"/>
  <c r="H4" i="7" s="1"/>
  <c r="X3" i="6"/>
  <c r="L7" i="5"/>
  <c r="L6" i="5"/>
  <c r="H6" i="5"/>
  <c r="I6" i="5" s="1"/>
  <c r="L5" i="5"/>
  <c r="I5" i="5"/>
  <c r="H5" i="5"/>
  <c r="L4" i="5"/>
  <c r="I4" i="5"/>
  <c r="H4" i="5"/>
  <c r="K3" i="5"/>
  <c r="K4" i="5" s="1"/>
  <c r="K5" i="5" s="1"/>
  <c r="K6" i="5" s="1"/>
  <c r="K7" i="5" s="1"/>
  <c r="H3" i="5"/>
  <c r="I3" i="5" s="1"/>
  <c r="K2" i="5"/>
  <c r="H2" i="5"/>
  <c r="I2" i="5" s="1"/>
  <c r="J2" i="5" s="1"/>
  <c r="J3" i="5" s="1"/>
  <c r="J4" i="5" s="1"/>
  <c r="J5" i="5" s="1"/>
  <c r="J6" i="5" s="1"/>
  <c r="K9" i="4"/>
  <c r="K8" i="4"/>
  <c r="K7" i="4"/>
  <c r="K6" i="4"/>
  <c r="J2" i="4"/>
  <c r="J3" i="4" s="1"/>
  <c r="J4" i="4" s="1"/>
  <c r="J5" i="4" s="1"/>
  <c r="J6" i="4" s="1"/>
  <c r="J7" i="4" s="1"/>
  <c r="J8" i="4" s="1"/>
  <c r="J9" i="4" s="1"/>
  <c r="N1" i="4"/>
  <c r="F5" i="4" s="1"/>
  <c r="H5" i="4" s="1"/>
  <c r="Q55" i="3"/>
  <c r="P55" i="3"/>
  <c r="L55" i="3"/>
  <c r="K55" i="3"/>
  <c r="Q54" i="3"/>
  <c r="P54" i="3"/>
  <c r="L54" i="3"/>
  <c r="K54" i="3"/>
  <c r="Q53" i="3"/>
  <c r="P53" i="3"/>
  <c r="L53" i="3"/>
  <c r="K53" i="3"/>
  <c r="Q52" i="3"/>
  <c r="P52" i="3"/>
  <c r="L52" i="3"/>
  <c r="K52" i="3"/>
  <c r="Q51" i="3"/>
  <c r="P51" i="3"/>
  <c r="L51" i="3"/>
  <c r="K51" i="3"/>
  <c r="Q50" i="3"/>
  <c r="P50" i="3"/>
  <c r="L50" i="3"/>
  <c r="K50" i="3"/>
  <c r="Q49" i="3"/>
  <c r="P49" i="3"/>
  <c r="L49" i="3"/>
  <c r="K49" i="3"/>
  <c r="Q48" i="3"/>
  <c r="P48" i="3"/>
  <c r="L48" i="3"/>
  <c r="K48" i="3"/>
  <c r="Q47" i="3"/>
  <c r="P47" i="3"/>
  <c r="L47" i="3"/>
  <c r="K47" i="3"/>
  <c r="Q46" i="3"/>
  <c r="P46" i="3"/>
  <c r="L46" i="3"/>
  <c r="K46" i="3"/>
  <c r="Q45" i="3"/>
  <c r="P45" i="3"/>
  <c r="L45" i="3"/>
  <c r="K45" i="3"/>
  <c r="Q44" i="3"/>
  <c r="P44" i="3"/>
  <c r="L44" i="3"/>
  <c r="K44" i="3"/>
  <c r="Q43" i="3"/>
  <c r="P43" i="3"/>
  <c r="L43" i="3"/>
  <c r="K43" i="3"/>
  <c r="Q42" i="3"/>
  <c r="P42" i="3"/>
  <c r="L42" i="3"/>
  <c r="K42" i="3"/>
  <c r="Q41" i="3"/>
  <c r="P41" i="3"/>
  <c r="L41" i="3"/>
  <c r="K41" i="3"/>
  <c r="Q40" i="3"/>
  <c r="P40" i="3"/>
  <c r="L40" i="3"/>
  <c r="K40" i="3"/>
  <c r="Q39" i="3"/>
  <c r="P39" i="3"/>
  <c r="L39" i="3"/>
  <c r="K39" i="3"/>
  <c r="Q38" i="3"/>
  <c r="P38" i="3"/>
  <c r="L38" i="3"/>
  <c r="K38" i="3"/>
  <c r="Q37" i="3"/>
  <c r="P37" i="3"/>
  <c r="L37" i="3"/>
  <c r="K37" i="3"/>
  <c r="Q36" i="3"/>
  <c r="P36" i="3"/>
  <c r="L36" i="3"/>
  <c r="K36" i="3"/>
  <c r="Q35" i="3"/>
  <c r="P35" i="3"/>
  <c r="L35" i="3"/>
  <c r="K35" i="3"/>
  <c r="Q34" i="3"/>
  <c r="P34" i="3"/>
  <c r="L34" i="3"/>
  <c r="K34" i="3"/>
  <c r="Q33" i="3"/>
  <c r="P33" i="3"/>
  <c r="L33" i="3"/>
  <c r="K33" i="3"/>
  <c r="Q32" i="3"/>
  <c r="P32" i="3"/>
  <c r="L32" i="3"/>
  <c r="K32" i="3"/>
  <c r="Q31" i="3"/>
  <c r="P31" i="3"/>
  <c r="L31" i="3"/>
  <c r="K31" i="3"/>
  <c r="Q30" i="3"/>
  <c r="P30" i="3"/>
  <c r="L30" i="3"/>
  <c r="K30" i="3"/>
  <c r="Q29" i="3"/>
  <c r="P29" i="3"/>
  <c r="L29" i="3"/>
  <c r="K29" i="3"/>
  <c r="Q28" i="3"/>
  <c r="P28" i="3"/>
  <c r="L28" i="3"/>
  <c r="K28" i="3"/>
  <c r="Q27" i="3"/>
  <c r="P27" i="3"/>
  <c r="L27" i="3"/>
  <c r="K27" i="3"/>
  <c r="Q26" i="3"/>
  <c r="P26" i="3"/>
  <c r="L26" i="3"/>
  <c r="K26" i="3"/>
  <c r="Q25" i="3"/>
  <c r="P25" i="3"/>
  <c r="L25" i="3"/>
  <c r="K25" i="3"/>
  <c r="Q24" i="3"/>
  <c r="P24" i="3"/>
  <c r="L24" i="3"/>
  <c r="K24" i="3"/>
  <c r="Q23" i="3"/>
  <c r="P23" i="3"/>
  <c r="L23" i="3"/>
  <c r="K23" i="3"/>
  <c r="Q22" i="3"/>
  <c r="P22" i="3"/>
  <c r="L22" i="3"/>
  <c r="K22" i="3"/>
  <c r="Q21" i="3"/>
  <c r="P21" i="3"/>
  <c r="L21" i="3"/>
  <c r="K21" i="3"/>
  <c r="Q20" i="3"/>
  <c r="P20" i="3"/>
  <c r="L20" i="3"/>
  <c r="K20" i="3"/>
  <c r="Q19" i="3"/>
  <c r="P19" i="3"/>
  <c r="L19" i="3"/>
  <c r="K19" i="3"/>
  <c r="Q18" i="3"/>
  <c r="P18" i="3"/>
  <c r="L18" i="3"/>
  <c r="K18" i="3"/>
  <c r="Q17" i="3"/>
  <c r="P17" i="3"/>
  <c r="L17" i="3"/>
  <c r="K17" i="3"/>
  <c r="Q16" i="3"/>
  <c r="P16" i="3"/>
  <c r="L16" i="3"/>
  <c r="K16" i="3"/>
  <c r="Q15" i="3"/>
  <c r="P15" i="3"/>
  <c r="L15" i="3"/>
  <c r="K15" i="3"/>
  <c r="Q14" i="3"/>
  <c r="S14" i="3" s="1"/>
  <c r="P14" i="3"/>
  <c r="L14" i="3"/>
  <c r="N14" i="3" s="1"/>
  <c r="K14" i="3"/>
  <c r="I8" i="3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G7" i="3"/>
  <c r="G6" i="3"/>
  <c r="G5" i="3"/>
  <c r="G4" i="3"/>
  <c r="G3" i="3"/>
  <c r="M56" i="3" l="1"/>
  <c r="N56" i="3"/>
  <c r="M57" i="3"/>
  <c r="N57" i="3"/>
  <c r="M58" i="3"/>
  <c r="N58" i="3"/>
  <c r="S56" i="3"/>
  <c r="S57" i="3"/>
  <c r="S58" i="3"/>
  <c r="R57" i="3"/>
  <c r="R58" i="3"/>
  <c r="R56" i="3"/>
  <c r="S17" i="3"/>
  <c r="N16" i="3"/>
  <c r="N37" i="3"/>
  <c r="N49" i="3"/>
  <c r="N43" i="3"/>
  <c r="N27" i="3"/>
  <c r="N17" i="3"/>
  <c r="N33" i="3"/>
  <c r="N39" i="3"/>
  <c r="N31" i="3"/>
  <c r="N23" i="3"/>
  <c r="N29" i="3"/>
  <c r="N45" i="3"/>
  <c r="N47" i="3"/>
  <c r="N21" i="3"/>
  <c r="N35" i="3"/>
  <c r="N15" i="3"/>
  <c r="N19" i="3"/>
  <c r="S32" i="3"/>
  <c r="M54" i="3"/>
  <c r="R54" i="3"/>
  <c r="N25" i="3"/>
  <c r="N41" i="3"/>
  <c r="F6" i="4"/>
  <c r="H6" i="4" s="1"/>
  <c r="F6" i="6"/>
  <c r="G6" i="6" s="1"/>
  <c r="F9" i="6"/>
  <c r="G9" i="6" s="1"/>
  <c r="T7" i="6"/>
  <c r="S8" i="6"/>
  <c r="F4" i="6"/>
  <c r="G4" i="6" s="1"/>
  <c r="F5" i="6"/>
  <c r="G5" i="6" s="1"/>
  <c r="F3" i="6"/>
  <c r="G3" i="6" s="1"/>
  <c r="F7" i="6"/>
  <c r="G7" i="6" s="1"/>
  <c r="F8" i="6"/>
  <c r="G8" i="6" s="1"/>
  <c r="F2" i="6"/>
  <c r="G2" i="6" s="1"/>
  <c r="H2" i="6" s="1"/>
  <c r="N17" i="2"/>
  <c r="O16" i="2"/>
  <c r="S16" i="2"/>
  <c r="T15" i="2"/>
  <c r="S23" i="3"/>
  <c r="N20" i="3"/>
  <c r="S18" i="3"/>
  <c r="S28" i="3"/>
  <c r="S19" i="3"/>
  <c r="M15" i="3"/>
  <c r="M17" i="3"/>
  <c r="M19" i="3"/>
  <c r="M21" i="3"/>
  <c r="M23" i="3"/>
  <c r="M25" i="3"/>
  <c r="M27" i="3"/>
  <c r="M29" i="3"/>
  <c r="M31" i="3"/>
  <c r="M33" i="3"/>
  <c r="M35" i="3"/>
  <c r="M37" i="3"/>
  <c r="M39" i="3"/>
  <c r="M41" i="3"/>
  <c r="M43" i="3"/>
  <c r="M45" i="3"/>
  <c r="M47" i="3"/>
  <c r="M49" i="3"/>
  <c r="M51" i="3"/>
  <c r="M53" i="3"/>
  <c r="M55" i="3"/>
  <c r="N51" i="3"/>
  <c r="N53" i="3"/>
  <c r="N55" i="3"/>
  <c r="R15" i="3"/>
  <c r="R17" i="3"/>
  <c r="R19" i="3"/>
  <c r="R21" i="3"/>
  <c r="R23" i="3"/>
  <c r="R25" i="3"/>
  <c r="R27" i="3"/>
  <c r="R29" i="3"/>
  <c r="R31" i="3"/>
  <c r="R33" i="3"/>
  <c r="R35" i="3"/>
  <c r="R37" i="3"/>
  <c r="R39" i="3"/>
  <c r="R41" i="3"/>
  <c r="R43" i="3"/>
  <c r="R45" i="3"/>
  <c r="R47" i="3"/>
  <c r="R49" i="3"/>
  <c r="R51" i="3"/>
  <c r="R53" i="3"/>
  <c r="R55" i="3"/>
  <c r="F7" i="4"/>
  <c r="H7" i="4" s="1"/>
  <c r="S31" i="3"/>
  <c r="S33" i="3"/>
  <c r="S35" i="3"/>
  <c r="S37" i="3"/>
  <c r="S39" i="3"/>
  <c r="S41" i="3"/>
  <c r="S43" i="3"/>
  <c r="S45" i="3"/>
  <c r="S47" i="3"/>
  <c r="S49" i="3"/>
  <c r="S51" i="3"/>
  <c r="S53" i="3"/>
  <c r="S55" i="3"/>
  <c r="S15" i="3"/>
  <c r="F2" i="4"/>
  <c r="H2" i="4" s="1"/>
  <c r="I2" i="4" s="1"/>
  <c r="F8" i="4"/>
  <c r="H8" i="4" s="1"/>
  <c r="S21" i="3"/>
  <c r="F3" i="4"/>
  <c r="H3" i="4" s="1"/>
  <c r="S29" i="3"/>
  <c r="M14" i="3"/>
  <c r="M16" i="3"/>
  <c r="M18" i="3"/>
  <c r="M20" i="3"/>
  <c r="M22" i="3"/>
  <c r="M24" i="3"/>
  <c r="M26" i="3"/>
  <c r="M28" i="3"/>
  <c r="M30" i="3"/>
  <c r="M32" i="3"/>
  <c r="M34" i="3"/>
  <c r="M36" i="3"/>
  <c r="M38" i="3"/>
  <c r="M40" i="3"/>
  <c r="M42" i="3"/>
  <c r="M44" i="3"/>
  <c r="M46" i="3"/>
  <c r="M48" i="3"/>
  <c r="M50" i="3"/>
  <c r="M52" i="3"/>
  <c r="N18" i="3"/>
  <c r="N22" i="3"/>
  <c r="N24" i="3"/>
  <c r="N26" i="3"/>
  <c r="N28" i="3"/>
  <c r="N30" i="3"/>
  <c r="N32" i="3"/>
  <c r="N34" i="3"/>
  <c r="N36" i="3"/>
  <c r="N38" i="3"/>
  <c r="N40" i="3"/>
  <c r="N42" i="3"/>
  <c r="N44" i="3"/>
  <c r="N46" i="3"/>
  <c r="N48" i="3"/>
  <c r="N50" i="3"/>
  <c r="N52" i="3"/>
  <c r="N54" i="3"/>
  <c r="F9" i="4"/>
  <c r="H9" i="4" s="1"/>
  <c r="S27" i="3"/>
  <c r="R14" i="3"/>
  <c r="R16" i="3"/>
  <c r="R18" i="3"/>
  <c r="R20" i="3"/>
  <c r="R22" i="3"/>
  <c r="R24" i="3"/>
  <c r="R26" i="3"/>
  <c r="R28" i="3"/>
  <c r="R30" i="3"/>
  <c r="R32" i="3"/>
  <c r="R34" i="3"/>
  <c r="R36" i="3"/>
  <c r="R38" i="3"/>
  <c r="R40" i="3"/>
  <c r="R42" i="3"/>
  <c r="R44" i="3"/>
  <c r="R46" i="3"/>
  <c r="R48" i="3"/>
  <c r="R50" i="3"/>
  <c r="R52" i="3"/>
  <c r="S25" i="3"/>
  <c r="S24" i="3"/>
  <c r="S30" i="3"/>
  <c r="S36" i="3"/>
  <c r="S38" i="3"/>
  <c r="S40" i="3"/>
  <c r="S42" i="3"/>
  <c r="S44" i="3"/>
  <c r="S46" i="3"/>
  <c r="S48" i="3"/>
  <c r="S50" i="3"/>
  <c r="S52" i="3"/>
  <c r="S54" i="3"/>
  <c r="S22" i="3"/>
  <c r="S34" i="3"/>
  <c r="F4" i="4"/>
  <c r="H4" i="4" s="1"/>
  <c r="S16" i="3"/>
  <c r="S20" i="3"/>
  <c r="S26" i="3"/>
  <c r="G2" i="3"/>
  <c r="H3" i="6" l="1"/>
  <c r="H4" i="6" s="1"/>
  <c r="H5" i="6" s="1"/>
  <c r="H6" i="6" s="1"/>
  <c r="H7" i="6" s="1"/>
  <c r="H8" i="6" s="1"/>
  <c r="H9" i="6" s="1"/>
  <c r="T8" i="6"/>
  <c r="N18" i="2"/>
  <c r="O17" i="2"/>
  <c r="S17" i="2"/>
  <c r="T16" i="2"/>
  <c r="I3" i="4"/>
  <c r="I4" i="4" s="1"/>
  <c r="I5" i="4" s="1"/>
  <c r="I6" i="4" s="1"/>
  <c r="I7" i="4" s="1"/>
  <c r="I8" i="4" s="1"/>
  <c r="I9" i="4" s="1"/>
  <c r="F66" i="2"/>
  <c r="H66" i="2" s="1"/>
  <c r="F65" i="2"/>
  <c r="H65" i="2" s="1"/>
  <c r="F64" i="2"/>
  <c r="H64" i="2" s="1"/>
  <c r="F63" i="2"/>
  <c r="H63" i="2" s="1"/>
  <c r="F62" i="2"/>
  <c r="H62" i="2" s="1"/>
  <c r="F61" i="2"/>
  <c r="H61" i="2" s="1"/>
  <c r="F60" i="2"/>
  <c r="H60" i="2" s="1"/>
  <c r="F59" i="2"/>
  <c r="H59" i="2" s="1"/>
  <c r="F58" i="2"/>
  <c r="H58" i="2" s="1"/>
  <c r="F57" i="2"/>
  <c r="H57" i="2" s="1"/>
  <c r="F56" i="2"/>
  <c r="H56" i="2" s="1"/>
  <c r="F55" i="2"/>
  <c r="H55" i="2" s="1"/>
  <c r="F54" i="2"/>
  <c r="H54" i="2" s="1"/>
  <c r="F53" i="2"/>
  <c r="H53" i="2" s="1"/>
  <c r="F52" i="2"/>
  <c r="H52" i="2" s="1"/>
  <c r="F51" i="2"/>
  <c r="H51" i="2" s="1"/>
  <c r="F50" i="2"/>
  <c r="H50" i="2" s="1"/>
  <c r="F49" i="2"/>
  <c r="H49" i="2" s="1"/>
  <c r="F48" i="2"/>
  <c r="H48" i="2" s="1"/>
  <c r="F47" i="2"/>
  <c r="H47" i="2" s="1"/>
  <c r="F46" i="2"/>
  <c r="H46" i="2" s="1"/>
  <c r="F45" i="2"/>
  <c r="H45" i="2" s="1"/>
  <c r="F44" i="2"/>
  <c r="H44" i="2" s="1"/>
  <c r="F43" i="2"/>
  <c r="H43" i="2" s="1"/>
  <c r="F42" i="2"/>
  <c r="H42" i="2" s="1"/>
  <c r="F41" i="2"/>
  <c r="H41" i="2" s="1"/>
  <c r="F40" i="2"/>
  <c r="H40" i="2" s="1"/>
  <c r="F39" i="2"/>
  <c r="H39" i="2" s="1"/>
  <c r="F38" i="2"/>
  <c r="H38" i="2" s="1"/>
  <c r="F37" i="2"/>
  <c r="H37" i="2" s="1"/>
  <c r="F36" i="2"/>
  <c r="H36" i="2" s="1"/>
  <c r="F35" i="2"/>
  <c r="H35" i="2" s="1"/>
  <c r="F34" i="2"/>
  <c r="H34" i="2" s="1"/>
  <c r="F33" i="2"/>
  <c r="H33" i="2" s="1"/>
  <c r="F32" i="2"/>
  <c r="H32" i="2" s="1"/>
  <c r="F31" i="2"/>
  <c r="H31" i="2" s="1"/>
  <c r="F30" i="2"/>
  <c r="H30" i="2" s="1"/>
  <c r="F29" i="2"/>
  <c r="H29" i="2" s="1"/>
  <c r="F28" i="2"/>
  <c r="H28" i="2" s="1"/>
  <c r="F27" i="2"/>
  <c r="H27" i="2" s="1"/>
  <c r="F26" i="2"/>
  <c r="H26" i="2" s="1"/>
  <c r="F25" i="2"/>
  <c r="H25" i="2" s="1"/>
  <c r="F24" i="2"/>
  <c r="H24" i="2" s="1"/>
  <c r="F23" i="2"/>
  <c r="H23" i="2" s="1"/>
  <c r="F22" i="2"/>
  <c r="H22" i="2" s="1"/>
  <c r="F21" i="2"/>
  <c r="H21" i="2" s="1"/>
  <c r="F20" i="2"/>
  <c r="H20" i="2" s="1"/>
  <c r="F19" i="2"/>
  <c r="H19" i="2" s="1"/>
  <c r="F18" i="2"/>
  <c r="H18" i="2" s="1"/>
  <c r="F17" i="2"/>
  <c r="H17" i="2" s="1"/>
  <c r="F16" i="2"/>
  <c r="H16" i="2" s="1"/>
  <c r="F15" i="2"/>
  <c r="H15" i="2" s="1"/>
  <c r="F14" i="2"/>
  <c r="H14" i="2" s="1"/>
  <c r="F13" i="2"/>
  <c r="H13" i="2" s="1"/>
  <c r="F12" i="2"/>
  <c r="H12" i="2" s="1"/>
  <c r="F11" i="2"/>
  <c r="H11" i="2" s="1"/>
  <c r="F10" i="2"/>
  <c r="H10" i="2" s="1"/>
  <c r="F9" i="2"/>
  <c r="H9" i="2" s="1"/>
  <c r="F8" i="2"/>
  <c r="H8" i="2" s="1"/>
  <c r="F7" i="2"/>
  <c r="H7" i="2" s="1"/>
  <c r="F6" i="2"/>
  <c r="H6" i="2" s="1"/>
  <c r="F5" i="2"/>
  <c r="H5" i="2" s="1"/>
  <c r="F4" i="2"/>
  <c r="H4" i="2" s="1"/>
  <c r="F3" i="2"/>
  <c r="H3" i="2" s="1"/>
  <c r="F2" i="2"/>
  <c r="H2" i="2" s="1"/>
  <c r="N19" i="2" l="1"/>
  <c r="O18" i="2"/>
  <c r="S18" i="2"/>
  <c r="T17" i="2"/>
  <c r="I2" i="2"/>
  <c r="I3" i="2" s="1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F53" i="3"/>
  <c r="G53" i="3" s="1"/>
  <c r="F51" i="3"/>
  <c r="G51" i="3" s="1"/>
  <c r="F49" i="3"/>
  <c r="G49" i="3" s="1"/>
  <c r="F47" i="3"/>
  <c r="G47" i="3" s="1"/>
  <c r="F43" i="3"/>
  <c r="G43" i="3" s="1"/>
  <c r="F41" i="3"/>
  <c r="G41" i="3" s="1"/>
  <c r="F35" i="3"/>
  <c r="G35" i="3" s="1"/>
  <c r="F31" i="3"/>
  <c r="G31" i="3" s="1"/>
  <c r="F27" i="3"/>
  <c r="G27" i="3" s="1"/>
  <c r="F23" i="3"/>
  <c r="G23" i="3" s="1"/>
  <c r="F19" i="3"/>
  <c r="G19" i="3" s="1"/>
  <c r="F22" i="3"/>
  <c r="G22" i="3" s="1"/>
  <c r="F13" i="3"/>
  <c r="G13" i="3" s="1"/>
  <c r="F55" i="3"/>
  <c r="G55" i="3" s="1"/>
  <c r="F45" i="3"/>
  <c r="G45" i="3" s="1"/>
  <c r="F37" i="3"/>
  <c r="G37" i="3" s="1"/>
  <c r="F33" i="3"/>
  <c r="G33" i="3" s="1"/>
  <c r="F29" i="3"/>
  <c r="G29" i="3" s="1"/>
  <c r="F21" i="3"/>
  <c r="G21" i="3" s="1"/>
  <c r="F17" i="3"/>
  <c r="G17" i="3" s="1"/>
  <c r="F11" i="3"/>
  <c r="G11" i="3" s="1"/>
  <c r="F9" i="3"/>
  <c r="G9" i="3" s="1"/>
  <c r="F16" i="3"/>
  <c r="G16" i="3" s="1"/>
  <c r="F10" i="3"/>
  <c r="G10" i="3" s="1"/>
  <c r="F8" i="3"/>
  <c r="G8" i="3" s="1"/>
  <c r="H8" i="3" s="1"/>
  <c r="F14" i="3"/>
  <c r="G14" i="3" s="1"/>
  <c r="F52" i="3"/>
  <c r="G52" i="3" s="1"/>
  <c r="F44" i="3"/>
  <c r="G44" i="3" s="1"/>
  <c r="F38" i="3"/>
  <c r="G38" i="3" s="1"/>
  <c r="F34" i="3"/>
  <c r="G34" i="3" s="1"/>
  <c r="F30" i="3"/>
  <c r="G30" i="3" s="1"/>
  <c r="F26" i="3"/>
  <c r="G26" i="3" s="1"/>
  <c r="F18" i="3"/>
  <c r="G18" i="3" s="1"/>
  <c r="F54" i="3"/>
  <c r="G54" i="3" s="1"/>
  <c r="F50" i="3"/>
  <c r="G50" i="3" s="1"/>
  <c r="F48" i="3"/>
  <c r="G48" i="3" s="1"/>
  <c r="F46" i="3"/>
  <c r="G46" i="3" s="1"/>
  <c r="F42" i="3"/>
  <c r="G42" i="3" s="1"/>
  <c r="F40" i="3"/>
  <c r="G40" i="3" s="1"/>
  <c r="F36" i="3"/>
  <c r="G36" i="3" s="1"/>
  <c r="F32" i="3"/>
  <c r="G32" i="3" s="1"/>
  <c r="F28" i="3"/>
  <c r="G28" i="3" s="1"/>
  <c r="F24" i="3"/>
  <c r="G24" i="3" s="1"/>
  <c r="F20" i="3"/>
  <c r="G20" i="3" s="1"/>
  <c r="F12" i="3"/>
  <c r="G12" i="3" s="1"/>
  <c r="F39" i="3"/>
  <c r="G39" i="3" s="1"/>
  <c r="F25" i="3"/>
  <c r="G25" i="3" s="1"/>
  <c r="F15" i="3"/>
  <c r="G15" i="3" s="1"/>
  <c r="N20" i="2" l="1"/>
  <c r="O19" i="2"/>
  <c r="S19" i="2"/>
  <c r="T18" i="2"/>
  <c r="H9" i="3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O20" i="2" l="1"/>
  <c r="N21" i="2"/>
  <c r="S20" i="2"/>
  <c r="T19" i="2"/>
  <c r="N22" i="2" l="1"/>
  <c r="O21" i="2"/>
  <c r="S21" i="2"/>
  <c r="T20" i="2"/>
  <c r="N23" i="2" l="1"/>
  <c r="O22" i="2"/>
  <c r="S22" i="2"/>
  <c r="T21" i="2"/>
  <c r="O23" i="2" l="1"/>
  <c r="S23" i="2"/>
  <c r="T22" i="2"/>
  <c r="T23" i="2" l="1"/>
  <c r="N26" i="2" l="1"/>
  <c r="N27" i="2" l="1"/>
  <c r="S26" i="2"/>
  <c r="N28" i="2" l="1"/>
  <c r="S27" i="2"/>
  <c r="S28" i="2" l="1"/>
  <c r="N32" i="2" l="1"/>
  <c r="N33" i="2" l="1"/>
  <c r="S32" i="2"/>
  <c r="N34" i="2" l="1"/>
  <c r="S33" i="2"/>
  <c r="N35" i="2" l="1"/>
  <c r="S34" i="2"/>
  <c r="N36" i="2" l="1"/>
  <c r="S35" i="2"/>
  <c r="N37" i="2" l="1"/>
  <c r="S36" i="2"/>
  <c r="N38" i="2" l="1"/>
  <c r="S37" i="2"/>
  <c r="N39" i="2" l="1"/>
  <c r="S38" i="2"/>
  <c r="S39" i="2" l="1"/>
  <c r="N42" i="2" l="1"/>
  <c r="N43" i="2" l="1"/>
  <c r="S42" i="2"/>
  <c r="N44" i="2" l="1"/>
  <c r="S43" i="2"/>
  <c r="N45" i="2" l="1"/>
  <c r="S44" i="2"/>
  <c r="S45" i="2" l="1"/>
  <c r="N47" i="2" l="1"/>
  <c r="N48" i="2" l="1"/>
  <c r="S47" i="2"/>
  <c r="N49" i="2" l="1"/>
  <c r="S48" i="2"/>
  <c r="N50" i="2" l="1"/>
  <c r="S49" i="2"/>
  <c r="N51" i="2" l="1"/>
  <c r="S50" i="2"/>
  <c r="N52" i="2" l="1"/>
  <c r="S51" i="2"/>
  <c r="N53" i="2" l="1"/>
  <c r="S52" i="2"/>
  <c r="N54" i="2" l="1"/>
  <c r="S53" i="2"/>
  <c r="N55" i="2" l="1"/>
  <c r="S54" i="2"/>
  <c r="N56" i="2" l="1"/>
  <c r="S55" i="2"/>
  <c r="N57" i="2" l="1"/>
  <c r="S56" i="2"/>
  <c r="N58" i="2" l="1"/>
  <c r="S57" i="2"/>
  <c r="N59" i="2" l="1"/>
  <c r="S58" i="2"/>
  <c r="N60" i="2" l="1"/>
  <c r="S59" i="2"/>
  <c r="N61" i="2" l="1"/>
  <c r="S60" i="2"/>
  <c r="N62" i="2" l="1"/>
  <c r="S61" i="2"/>
  <c r="N63" i="2" l="1"/>
  <c r="S62" i="2"/>
  <c r="N64" i="2" l="1"/>
  <c r="S63" i="2"/>
  <c r="N65" i="2" l="1"/>
  <c r="S64" i="2"/>
  <c r="N66" i="2" l="1"/>
  <c r="S65" i="2"/>
  <c r="S66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<sst xmlns="http://schemas.openxmlformats.org/spreadsheetml/2006/main" count="378" uniqueCount="35">
  <si>
    <t>Date</t>
  </si>
  <si>
    <t>Product</t>
  </si>
  <si>
    <t>Mkt</t>
  </si>
  <si>
    <t>Symbol</t>
  </si>
  <si>
    <t>Buy / Sell</t>
  </si>
  <si>
    <t>Qty</t>
  </si>
  <si>
    <t>Trade Price</t>
  </si>
  <si>
    <t>Settles</t>
  </si>
  <si>
    <t>PnL (local)</t>
  </si>
  <si>
    <t>PnL (AUD)</t>
  </si>
  <si>
    <t>EUA Dec24</t>
  </si>
  <si>
    <t>Sell</t>
  </si>
  <si>
    <t>Buy</t>
  </si>
  <si>
    <t>UKA Dec24 45C</t>
  </si>
  <si>
    <t>UKA Dec24 55C</t>
  </si>
  <si>
    <t>UKA Dec24</t>
  </si>
  <si>
    <t>UKEZ4 Comdty</t>
  </si>
  <si>
    <t>UKA Dec24 40C</t>
  </si>
  <si>
    <t>UKA Dec24 50C</t>
  </si>
  <si>
    <t>USA</t>
  </si>
  <si>
    <t>CCA V24 Dec24</t>
  </si>
  <si>
    <t>FX</t>
  </si>
  <si>
    <t>NZU Spot</t>
  </si>
  <si>
    <t>RGGI V24 Dec24</t>
  </si>
  <si>
    <t>op &amp; delta</t>
  </si>
  <si>
    <t>Cumulative PnL</t>
  </si>
  <si>
    <t>Cumulative AUD</t>
  </si>
  <si>
    <t>ACCU HIR</t>
  </si>
  <si>
    <t>Generic</t>
  </si>
  <si>
    <t>HIR</t>
  </si>
  <si>
    <t>Cumulative</t>
  </si>
  <si>
    <t>SOLD VWAP</t>
  </si>
  <si>
    <t>BOUGHT VWAP</t>
  </si>
  <si>
    <t>Hypothetical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</si>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</sst>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&quot;$&quot;* #,##0_-;\-&quot;$&quot;* #,##0_-;_-&quot;$&quot;* &quot;-&quot;??_-;_-@_-"/>
    <numFmt numFmtId="165" formatCode="_-* #,##0_-;\-* #,##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 style="medium">
        <color indexed="64"/>
      </bottom>
      <diagonal/>
    </border>
    <border>
      <left style="thin">
        <color auto="1"/>
      </left>
      <right style="thin">
        <color theme="0"/>
      </right>
      <top/>
      <bottom style="thin">
        <color theme="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7">
    <xf numFmtId="0" fontId="0" fillId="0" borderId="0" xfId="0"/>
    <xf numFmtId="44" fontId="0" fillId="0" borderId="0" xfId="2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3" borderId="5" xfId="0" applyFill="1" applyBorder="1"/>
    <xf numFmtId="0" fontId="0" fillId="4" borderId="5" xfId="0" applyFill="1" applyBorder="1"/>
    <xf numFmtId="0" fontId="0" fillId="4" borderId="9" xfId="0" applyFill="1" applyBorder="1"/>
    <xf numFmtId="16" fontId="0" fillId="3" borderId="4" xfId="0" applyNumberFormat="1" applyFill="1" applyBorder="1"/>
    <xf numFmtId="44" fontId="0" fillId="3" borderId="5" xfId="2" applyFont="1" applyFill="1" applyBorder="1"/>
    <xf numFmtId="44" fontId="0" fillId="3" borderId="6" xfId="2" applyFont="1" applyFill="1" applyBorder="1"/>
    <xf numFmtId="16" fontId="0" fillId="4" borderId="4" xfId="0" applyNumberFormat="1" applyFill="1" applyBorder="1"/>
    <xf numFmtId="44" fontId="0" fillId="4" borderId="5" xfId="2" applyFont="1" applyFill="1" applyBorder="1"/>
    <xf numFmtId="0" fontId="0" fillId="4" borderId="7" xfId="0" applyFill="1" applyBorder="1"/>
    <xf numFmtId="16" fontId="0" fillId="4" borderId="8" xfId="0" applyNumberFormat="1" applyFill="1" applyBorder="1"/>
    <xf numFmtId="44" fontId="0" fillId="4" borderId="9" xfId="2" applyFont="1" applyFill="1" applyBorder="1"/>
    <xf numFmtId="0" fontId="2" fillId="2" borderId="11" xfId="0" applyFont="1" applyFill="1" applyBorder="1"/>
    <xf numFmtId="44" fontId="0" fillId="0" borderId="0" xfId="0" applyNumberFormat="1"/>
    <xf numFmtId="0" fontId="2" fillId="2" borderId="0" xfId="0" applyFont="1" applyFill="1"/>
    <xf numFmtId="0" fontId="0" fillId="5" borderId="0" xfId="0" applyFill="1"/>
    <xf numFmtId="44" fontId="0" fillId="3" borderId="0" xfId="2" applyFont="1" applyFill="1" applyBorder="1"/>
    <xf numFmtId="164" fontId="0" fillId="0" borderId="0" xfId="0" applyNumberFormat="1"/>
    <xf numFmtId="16" fontId="0" fillId="0" borderId="4" xfId="0" applyNumberFormat="1" applyBorder="1"/>
    <xf numFmtId="0" fontId="0" fillId="0" borderId="5" xfId="0" applyBorder="1"/>
    <xf numFmtId="44" fontId="0" fillId="0" borderId="5" xfId="2" applyFont="1" applyFill="1" applyBorder="1"/>
    <xf numFmtId="44" fontId="0" fillId="0" borderId="0" xfId="2" applyFont="1" applyFill="1"/>
    <xf numFmtId="164" fontId="0" fillId="0" borderId="6" xfId="2" applyNumberFormat="1" applyFont="1" applyFill="1" applyBorder="1"/>
    <xf numFmtId="164" fontId="0" fillId="0" borderId="0" xfId="2" applyNumberFormat="1" applyFont="1" applyFill="1" applyBorder="1"/>
    <xf numFmtId="0" fontId="0" fillId="0" borderId="7" xfId="0" applyBorder="1"/>
    <xf numFmtId="16" fontId="0" fillId="0" borderId="8" xfId="0" applyNumberFormat="1" applyBorder="1"/>
    <xf numFmtId="0" fontId="0" fillId="0" borderId="10" xfId="0" applyBorder="1"/>
    <xf numFmtId="0" fontId="0" fillId="0" borderId="9" xfId="0" applyBorder="1"/>
    <xf numFmtId="44" fontId="0" fillId="0" borderId="9" xfId="2" applyFont="1" applyFill="1" applyBorder="1"/>
    <xf numFmtId="165" fontId="0" fillId="0" borderId="0" xfId="1" applyNumberFormat="1" applyFont="1"/>
    <xf numFmtId="44" fontId="0" fillId="5" borderId="0" xfId="2" applyFont="1" applyFill="1"/>
    <xf numFmtId="44" fontId="0" fillId="0" borderId="0" xfId="2" applyFont="1" applyFill="1" applyBorder="1"/>
    <xf numFmtId="164" fontId="0" fillId="0" borderId="12" xfId="2" applyNumberFormat="1" applyFont="1" applyFill="1" applyBorder="1"/>
    <xf numFmtId="16" fontId="0" fillId="0" borderId="0" xfId="0" applyNumberFormat="1"/>
    <xf numFmtId="0" fontId="0" fillId="3" borderId="13" xfId="0" applyFill="1" applyBorder="1"/>
    <xf numFmtId="44" fontId="0" fillId="3" borderId="13" xfId="2" applyFont="1" applyFill="1" applyBorder="1"/>
    <xf numFmtId="44" fontId="0" fillId="5" borderId="0" xfId="0" applyNumberFormat="1" applyFill="1"/>
    <xf numFmtId="0" fontId="0" fillId="6" borderId="0" xfId="0" applyFill="1"/>
    <xf numFmtId="16" fontId="0" fillId="3" borderId="14" xfId="0" applyNumberFormat="1" applyFill="1" applyBorder="1"/>
    <xf numFmtId="0" fontId="0" fillId="3" borderId="15" xfId="0" applyFill="1" applyBorder="1"/>
    <xf numFmtId="44" fontId="0" fillId="3" borderId="15" xfId="2" applyFont="1" applyFill="1" applyBorder="1"/>
    <xf numFmtId="44" fontId="0" fillId="3" borderId="16" xfId="2" applyFont="1" applyFill="1" applyBorder="1"/>
    <xf numFmtId="16" fontId="0" fillId="4" borderId="18" xfId="0" applyNumberFormat="1" applyFill="1" applyBorder="1"/>
    <xf numFmtId="0" fontId="0" fillId="4" borderId="19" xfId="0" applyFill="1" applyBorder="1"/>
    <xf numFmtId="44" fontId="0" fillId="4" borderId="19" xfId="2" applyFont="1" applyFill="1" applyBorder="1"/>
    <xf numFmtId="44" fontId="0" fillId="0" borderId="17" xfId="2" applyFont="1" applyBorder="1"/>
    <xf numFmtId="44" fontId="0" fillId="3" borderId="20" xfId="2" applyFont="1" applyFill="1" applyBorder="1"/>
    <xf numFmtId="164" fontId="0" fillId="0" borderId="17" xfId="0" applyNumberFormat="1" applyBorder="1"/>
    <xf numFmtId="0" fontId="0" fillId="0" borderId="17" xfId="0" applyBorder="1"/>
    <xf numFmtId="165" fontId="0" fillId="0" borderId="17" xfId="1" applyNumberFormat="1" applyFont="1" applyBorder="1"/>
    <xf numFmtId="0" fontId="0" fillId="0" borderId="0" xfId="2" applyNumberFormat="1" applyFont="1"/>
    <xf numFmtId="0" fontId="0" fillId="0" borderId="17" xfId="2" applyNumberFormat="1" applyFont="1" applyBorder="1"/>
    <xf numFmtId="44" fontId="0" fillId="0" borderId="0" xfId="2" applyFont="1" applyBorder="1"/>
    <xf numFmtId="165" fontId="0" fillId="0" borderId="0" xfId="1" applyNumberFormat="1" applyFont="1" applyBorder="1"/>
    <xf numFmtId="43" fontId="0" fillId="0" borderId="0" xfId="2" applyNumberFormat="1" applyFont="1"/>
    <xf numFmtId="0" fontId="0" fillId="3" borderId="21" xfId="0" applyFill="1" applyBorder="1"/>
    <xf numFmtId="43" fontId="0" fillId="0" borderId="17" xfId="2" applyNumberFormat="1" applyFont="1" applyBorder="1"/>
    <xf numFmtId="16" fontId="0" fillId="3" borderId="18" xfId="0" applyNumberFormat="1" applyFill="1" applyBorder="1"/>
    <xf numFmtId="0" fontId="0" fillId="3" borderId="19" xfId="0" applyFill="1" applyBorder="1"/>
    <xf numFmtId="44" fontId="0" fillId="3" borderId="19" xfId="2" applyFont="1" applyFill="1" applyBorder="1"/>
    <xf numFmtId="44" fontId="0" fillId="3" borderId="17" xfId="2" applyFont="1" applyFill="1" applyBorder="1"/>
    <xf numFmtId="44" fontId="0" fillId="3" borderId="11" xfId="2" applyFont="1" applyFill="1" applyBorder="1"/>
    <xf numFmtId="16" fontId="0" fillId="0" borderId="8" xfId="0" applyNumberFormat="1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30"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&quot;$&quot;* #,##0_-;\-&quot;$&quot;* #,##0_-;_-&quot;$&quot;* &quot;-&quot;??_-;_-@_-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&quot;$&quot;* #,##0_-;\-&quot;$&quot;* #,##0_-;_-&quot;$&quot;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1" formatCode="d\-mmm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0"/>
        </right>
        <top style="thin">
          <color theme="0"/>
        </top>
        <bottom/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Data...4272289469</v>
        <stp/>
        <stp>BQL|13971283072816375479</stp>
        <tr r="Z2" s="2"/>
      </tp>
    </main>
    <main first="bofaddin.rtdserver">
      <tp>
        <v>70.33</v>
        <stp/>
        <stp>BDP|1633375409542931071|22</stp>
        <stp>MZBZ4 Comdty</stp>
        <stp>LAST_PRICE</stp>
        <tr r="Z3" s="2"/>
      </tp>
    </main>
    <main first="bofaddin.rtdserver">
      <tp>
        <v>49.37</v>
        <stp/>
        <stp>BDP|16215067856613361158|22</stp>
        <stp>UKEZ4 Comdty</stp>
        <stp>LAST_PRICE</stp>
        <tr r="M1" s="3"/>
      </tp>
      <tp t="s">
        <v>#N/A Requesting Data...2865994251</v>
        <stp/>
        <stp>BQL|2827286014736805769</stp>
        <tr r="M2" s="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Sam_Analysis/Carbon/Sam_Daily%20CEF%20(4).xlsm" TargetMode="External"/><Relationship Id="rId1" Type="http://schemas.openxmlformats.org/officeDocument/2006/relationships/externalLinkPath" Target="https://attungacapital.sharepoint.com/Attunga/Shared%20Documents/Sam_Analysis/Carbon/Sam_Daily%20CEF%20(4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roker_Reval"/>
      <sheetName val="ACCU_Holdings"/>
      <sheetName val="Cash &amp; FX_Sam"/>
      <sheetName val="Cash Flows"/>
      <sheetName val="Monthly_MTM"/>
      <sheetName val="Daily_MTM"/>
      <sheetName val="Daily_MTM_live"/>
      <sheetName val="EUA_Options"/>
      <sheetName val="UKA_Options"/>
      <sheetName val="CCA_Options"/>
      <sheetName val="NZ_Options"/>
      <sheetName val="ACCU_Options"/>
      <sheetName val="Known Mkt Options"/>
      <sheetName val="ACCU Data (2)"/>
      <sheetName val="NZU Data (2)"/>
      <sheetName val="LGC_Spot (2)"/>
      <sheetName val="ACCU Data"/>
      <sheetName val="NZU Data"/>
      <sheetName val="LGC_Spot"/>
      <sheetName val="CBL_0"/>
      <sheetName val="CBL_1"/>
      <sheetName val="CEF -  Summary"/>
    </sheetNames>
    <sheetDataSet>
      <sheetData sheetId="0"/>
      <sheetData sheetId="1"/>
      <sheetData sheetId="2"/>
      <sheetData sheetId="3"/>
      <sheetData sheetId="4"/>
      <sheetData sheetId="5">
        <row r="60">
          <cell r="J60">
            <v>36.520000000000003</v>
          </cell>
        </row>
      </sheetData>
      <sheetData sheetId="6">
        <row r="44">
          <cell r="J44">
            <v>48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F4F97A-1B3E-4C0E-9D38-CE822BB8EE6C}" name="Table2" displayName="Table2" ref="A1:H59" totalsRowShown="0" headerRowDxfId="29" dataDxfId="28">
  <autoFilter ref="A1:H59" xr:uid="{17F4F97A-1B3E-4C0E-9D38-CE822BB8EE6C}"/>
  <tableColumns count="8">
    <tableColumn id="1" xr3:uid="{E903A528-E528-4624-A72F-3328230B4996}" name="Date" dataDxfId="27"/>
    <tableColumn id="2" xr3:uid="{5BC4D747-A6F3-4A5F-B647-DC24A2C758FD}" name="Product" dataDxfId="26"/>
    <tableColumn id="5" xr3:uid="{E5D9D98E-7DCE-45D9-AEFE-7B67AE075E5F}" name="Buy / Sell" dataDxfId="25"/>
    <tableColumn id="6" xr3:uid="{C884F351-4536-4B1A-9525-9D0FA75412AF}" name="Qty" dataDxfId="24"/>
    <tableColumn id="7" xr3:uid="{137DC6B2-7078-4228-B078-2B4288D873C7}" name="Trade Price" dataDxfId="23" dataCellStyle="Currency"/>
    <tableColumn id="8" xr3:uid="{16692CC8-E64F-453E-89C9-E1A948508809}" name="Settles" dataDxfId="22" dataCellStyle="Currency">
      <calculatedColumnFormula>$M$1</calculatedColumnFormula>
    </tableColumn>
    <tableColumn id="10" xr3:uid="{379FCE18-89DD-4E7E-AD8E-DEEAA8D7B1D8}" name="PnL (AUD)" dataDxfId="21" dataCellStyle="Currency">
      <calculatedColumnFormula>(F2-E2)*D2*$V$1</calculatedColumnFormula>
    </tableColumn>
    <tableColumn id="11" xr3:uid="{B4352A43-E0F5-4E17-BE27-5BF46109072C}" name="Cumulative AUD" dataDxfId="20" dataCellStyle="Currency">
      <calculatedColumnFormula>H1+G2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D8166-B638-4E3F-B9CC-94A254D7F131}">
  <sheetPr codeName="Sheet1"/>
  <dimension ref="A1:Z67"/>
  <sheetViews>
    <sheetView tabSelected="1" workbookViewId="0">
      <pane ySplit="1" topLeftCell="A32" activePane="bottomLeft" state="frozen"/>
      <selection pane="bottomLeft" activeCell="A67" sqref="A67"/>
    </sheetView>
  </sheetViews>
  <sheetFormatPr defaultRowHeight="15" x14ac:dyDescent="0.25"/>
  <cols>
    <col min="6" max="6" width="17.28515625" customWidth="1"/>
    <col min="7" max="7" width="9.140625" hidden="1" customWidth="1"/>
    <col min="8" max="8" width="11.5703125" bestFit="1" customWidth="1"/>
    <col min="9" max="9" width="13.42578125" customWidth="1"/>
    <col min="14" max="14" width="14.42578125" customWidth="1"/>
    <col min="17" max="17" width="10" bestFit="1" customWidth="1"/>
    <col min="18" max="18" width="8.140625" customWidth="1"/>
    <col min="21" max="21" width="10.5703125" bestFit="1" customWidth="1"/>
  </cols>
  <sheetData>
    <row r="1" spans="1:26" ht="15.75" thickBot="1" x14ac:dyDescent="0.3">
      <c r="A1" s="2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4" t="s">
        <v>9</v>
      </c>
      <c r="I1" s="16" t="s">
        <v>25</v>
      </c>
      <c r="V1" s="41" t="s">
        <v>34</v>
      </c>
      <c r="W1" s="1">
        <f>VLOOKUP(V1,$Y$1:$Z$3,2,FALSE)</f>
        <v>70.33</v>
      </c>
      <c r="Y1" t="s">
        <v>33</v>
      </c>
      <c r="Z1" s="19">
        <v>68</v>
      </c>
    </row>
    <row r="2" spans="1:26" ht="15.75" thickTop="1" x14ac:dyDescent="0.25">
      <c r="A2" s="8">
        <v>45413</v>
      </c>
      <c r="B2" s="5" t="s">
        <v>10</v>
      </c>
      <c r="C2" s="5" t="s">
        <v>11</v>
      </c>
      <c r="D2" s="5">
        <v>-1000</v>
      </c>
      <c r="E2" s="9">
        <v>68.62</v>
      </c>
      <c r="F2" s="1">
        <f t="shared" ref="F2:F33" si="0">$W$1</f>
        <v>70.33</v>
      </c>
      <c r="G2" s="9">
        <v>-5599.9999999999945</v>
      </c>
      <c r="H2" s="10">
        <f>(F2-E2)*D2*1.63</f>
        <v>-2787.2999999999893</v>
      </c>
      <c r="I2" s="21">
        <f>H2</f>
        <v>-2787.2999999999893</v>
      </c>
      <c r="J2">
        <f>D2</f>
        <v>-1000</v>
      </c>
      <c r="L2">
        <f>IF($C2="Sell",$D2,0)</f>
        <v>-1000</v>
      </c>
      <c r="M2" s="1">
        <f>IF($C2="Sell",$E2,0)</f>
        <v>68.62</v>
      </c>
      <c r="N2" s="33">
        <f>L2</f>
        <v>-1000</v>
      </c>
      <c r="O2" s="1">
        <f>M2</f>
        <v>68.62</v>
      </c>
      <c r="Y2" t="s">
        <v>7</v>
      </c>
      <c r="Z2" cm="1">
        <f t="array" ref="Z2">_xll.BQL("MZBZ4 Comdty","px_settle()")</f>
        <v>68.5</v>
      </c>
    </row>
    <row r="3" spans="1:26" x14ac:dyDescent="0.25">
      <c r="A3" s="11">
        <v>45413</v>
      </c>
      <c r="B3" s="6" t="s">
        <v>10</v>
      </c>
      <c r="C3" s="6" t="s">
        <v>11</v>
      </c>
      <c r="D3" s="6">
        <v>-1000</v>
      </c>
      <c r="E3" s="12">
        <v>68.73</v>
      </c>
      <c r="F3" s="1">
        <f t="shared" si="0"/>
        <v>70.33</v>
      </c>
      <c r="G3" s="12">
        <v>-5489.9999999999945</v>
      </c>
      <c r="H3" s="10">
        <f t="shared" ref="H3:H61" si="1">(F3-E3)*D3*1.63</f>
        <v>-2607.9999999999905</v>
      </c>
      <c r="I3" s="21">
        <f t="shared" ref="I3:I34" si="2">I2+H3</f>
        <v>-5395.2999999999793</v>
      </c>
      <c r="J3">
        <f>J2+D3</f>
        <v>-2000</v>
      </c>
      <c r="L3">
        <f>IF($C3="Sell",$D3,0)</f>
        <v>-1000</v>
      </c>
      <c r="M3" s="1">
        <f>IF($C3="Sell",$E3,0)</f>
        <v>68.73</v>
      </c>
      <c r="N3" s="33">
        <f>SUM(L$2:L3)</f>
        <v>-2000</v>
      </c>
      <c r="O3" s="1">
        <f>SUMPRODUCT(L$2:L3,M$2:M3)/N3</f>
        <v>68.674999999999997</v>
      </c>
      <c r="Q3">
        <f>IF($C3="Buy",$D3,0)</f>
        <v>0</v>
      </c>
      <c r="R3" s="1">
        <f>IF($C3="Buy",$E3,0)</f>
        <v>0</v>
      </c>
      <c r="S3" s="33">
        <f>Q3</f>
        <v>0</v>
      </c>
      <c r="T3" s="1">
        <f>R3</f>
        <v>0</v>
      </c>
      <c r="U3" s="1"/>
      <c r="Y3" t="s">
        <v>34</v>
      </c>
      <c r="Z3" cm="1">
        <f t="array" ref="Z3">_xll.BDP("MZBZ4 Comdty","LAST_PRICE")</f>
        <v>70.33</v>
      </c>
    </row>
    <row r="4" spans="1:26" x14ac:dyDescent="0.25">
      <c r="A4" s="8">
        <v>45413</v>
      </c>
      <c r="B4" s="5" t="s">
        <v>10</v>
      </c>
      <c r="C4" s="5" t="s">
        <v>11</v>
      </c>
      <c r="D4" s="5">
        <v>-1000</v>
      </c>
      <c r="E4" s="9">
        <v>68.5</v>
      </c>
      <c r="F4" s="1">
        <f t="shared" si="0"/>
        <v>70.33</v>
      </c>
      <c r="G4" s="9">
        <v>-5719.9999999999991</v>
      </c>
      <c r="H4" s="10">
        <f t="shared" si="1"/>
        <v>-2982.8999999999969</v>
      </c>
      <c r="I4" s="21">
        <f t="shared" si="2"/>
        <v>-8378.1999999999753</v>
      </c>
      <c r="J4">
        <f t="shared" ref="J4:J66" si="3">J3+D4</f>
        <v>-3000</v>
      </c>
      <c r="L4">
        <f>IF($C4="Sell",$D4,0)</f>
        <v>-1000</v>
      </c>
      <c r="M4" s="1">
        <f>IF($C4="Sell",$E4,0)</f>
        <v>68.5</v>
      </c>
      <c r="N4" s="33">
        <f>SUM(L$2:L4)</f>
        <v>-3000</v>
      </c>
      <c r="O4" s="1">
        <f>SUMPRODUCT(L$2:L4,M$2:M4)/N4</f>
        <v>68.61666666666666</v>
      </c>
      <c r="Q4">
        <f>IF($C4="Buy",$D4,0)</f>
        <v>0</v>
      </c>
      <c r="R4" s="1">
        <f>IF($C4="Buy",$E4,0)</f>
        <v>0</v>
      </c>
      <c r="S4" s="33">
        <f>SUM($Q$3:$Q4)</f>
        <v>0</v>
      </c>
      <c r="T4" s="1" t="e">
        <f>SUMPRODUCT(Q$2:Q4,R$2:R4)/SUM(Q$2:Q4)</f>
        <v>#DIV/0!</v>
      </c>
      <c r="U4" s="1"/>
    </row>
    <row r="5" spans="1:26" x14ac:dyDescent="0.25">
      <c r="A5" s="11">
        <v>45413</v>
      </c>
      <c r="B5" s="6" t="s">
        <v>10</v>
      </c>
      <c r="C5" s="6" t="s">
        <v>11</v>
      </c>
      <c r="D5" s="6">
        <v>-1000</v>
      </c>
      <c r="E5" s="12">
        <v>67.8</v>
      </c>
      <c r="F5" s="1">
        <f t="shared" si="0"/>
        <v>70.33</v>
      </c>
      <c r="G5" s="12">
        <v>-6420.0000000000018</v>
      </c>
      <c r="H5" s="10">
        <f t="shared" si="1"/>
        <v>-4123.9000000000015</v>
      </c>
      <c r="I5" s="21">
        <f t="shared" si="2"/>
        <v>-12502.099999999977</v>
      </c>
      <c r="J5">
        <f t="shared" si="3"/>
        <v>-4000</v>
      </c>
      <c r="L5">
        <f t="shared" ref="L5:L67" si="4">IF($C5="Sell",$D5,0)</f>
        <v>-1000</v>
      </c>
      <c r="M5" s="1">
        <f t="shared" ref="M5:M67" si="5">IF($C5="Sell",$E5,0)</f>
        <v>67.8</v>
      </c>
      <c r="N5" s="33">
        <f>SUM(L$2:L5)</f>
        <v>-4000</v>
      </c>
      <c r="O5" s="1">
        <f>SUMPRODUCT(L$2:L5,M$2:M5)/N5</f>
        <v>68.412499999999994</v>
      </c>
      <c r="Q5">
        <f t="shared" ref="Q5:Q67" si="6">IF($C5="Buy",$D5,0)</f>
        <v>0</v>
      </c>
      <c r="R5" s="1">
        <f t="shared" ref="R5:R67" si="7">IF($C5="Buy",$E5,0)</f>
        <v>0</v>
      </c>
      <c r="S5" s="33">
        <f>SUM($Q$3:$Q5)</f>
        <v>0</v>
      </c>
      <c r="T5" s="1" t="e">
        <f>SUMPRODUCT(Q$2:Q5,R$2:R5)/SUM(Q$2:Q5)</f>
        <v>#DIV/0!</v>
      </c>
      <c r="U5" s="1"/>
    </row>
    <row r="6" spans="1:26" x14ac:dyDescent="0.25">
      <c r="A6" s="8">
        <v>45413</v>
      </c>
      <c r="B6" s="5" t="s">
        <v>10</v>
      </c>
      <c r="C6" s="5" t="s">
        <v>12</v>
      </c>
      <c r="D6" s="5">
        <v>1000</v>
      </c>
      <c r="E6" s="9">
        <v>67.67</v>
      </c>
      <c r="F6" s="1">
        <f t="shared" si="0"/>
        <v>70.33</v>
      </c>
      <c r="G6" s="9">
        <v>6549.9999999999973</v>
      </c>
      <c r="H6" s="10">
        <f t="shared" si="1"/>
        <v>4335.7999999999938</v>
      </c>
      <c r="I6" s="21">
        <f t="shared" si="2"/>
        <v>-8166.2999999999829</v>
      </c>
      <c r="J6">
        <f t="shared" si="3"/>
        <v>-3000</v>
      </c>
      <c r="L6">
        <f t="shared" si="4"/>
        <v>0</v>
      </c>
      <c r="M6" s="1">
        <f t="shared" si="5"/>
        <v>0</v>
      </c>
      <c r="N6" s="33">
        <f>SUM(L$2:L6)</f>
        <v>-4000</v>
      </c>
      <c r="O6" s="1">
        <f>SUMPRODUCT(L$2:L6,M$2:M6)/N6</f>
        <v>68.412499999999994</v>
      </c>
      <c r="Q6">
        <f t="shared" si="6"/>
        <v>1000</v>
      </c>
      <c r="R6" s="1">
        <f t="shared" si="7"/>
        <v>67.67</v>
      </c>
      <c r="S6" s="33">
        <f>SUM($Q$3:$Q6)</f>
        <v>1000</v>
      </c>
      <c r="T6" s="1">
        <f>SUMPRODUCT(Q$2:Q6,R$2:R6)/S6</f>
        <v>67.67</v>
      </c>
      <c r="U6" s="1"/>
    </row>
    <row r="7" spans="1:26" x14ac:dyDescent="0.25">
      <c r="A7" s="11">
        <v>45414</v>
      </c>
      <c r="B7" s="6" t="s">
        <v>10</v>
      </c>
      <c r="C7" s="6" t="s">
        <v>12</v>
      </c>
      <c r="D7" s="6">
        <v>1000</v>
      </c>
      <c r="E7" s="12">
        <v>68.2</v>
      </c>
      <c r="F7" s="1">
        <f t="shared" si="0"/>
        <v>70.33</v>
      </c>
      <c r="G7" s="12">
        <v>6019.9999999999964</v>
      </c>
      <c r="H7" s="10">
        <f t="shared" si="1"/>
        <v>3471.8999999999924</v>
      </c>
      <c r="I7" s="21">
        <f t="shared" si="2"/>
        <v>-4694.3999999999905</v>
      </c>
      <c r="J7">
        <f t="shared" si="3"/>
        <v>-2000</v>
      </c>
      <c r="L7">
        <f t="shared" si="4"/>
        <v>0</v>
      </c>
      <c r="M7" s="1">
        <f t="shared" si="5"/>
        <v>0</v>
      </c>
      <c r="N7" s="33">
        <f>SUM(L$2:L7)</f>
        <v>-4000</v>
      </c>
      <c r="O7" s="1">
        <f>SUMPRODUCT(L$2:L7,M$2:M7)/N7</f>
        <v>68.412499999999994</v>
      </c>
      <c r="Q7">
        <f t="shared" si="6"/>
        <v>1000</v>
      </c>
      <c r="R7" s="1">
        <f t="shared" si="7"/>
        <v>68.2</v>
      </c>
      <c r="S7" s="33">
        <f>SUM($Q$3:$Q7)</f>
        <v>2000</v>
      </c>
      <c r="T7" s="1">
        <f>SUMPRODUCT(Q$2:Q7,R$2:R7)/S7</f>
        <v>67.935000000000002</v>
      </c>
      <c r="U7" s="1"/>
    </row>
    <row r="8" spans="1:26" x14ac:dyDescent="0.25">
      <c r="A8" s="8">
        <v>45414</v>
      </c>
      <c r="B8" s="5" t="s">
        <v>10</v>
      </c>
      <c r="C8" s="5" t="s">
        <v>12</v>
      </c>
      <c r="D8" s="5">
        <v>1000</v>
      </c>
      <c r="E8" s="9">
        <v>67.92</v>
      </c>
      <c r="F8" s="1">
        <f t="shared" si="0"/>
        <v>70.33</v>
      </c>
      <c r="G8" s="9">
        <v>6299.9999999999973</v>
      </c>
      <c r="H8" s="10">
        <f t="shared" si="1"/>
        <v>3928.2999999999938</v>
      </c>
      <c r="I8" s="21">
        <f t="shared" si="2"/>
        <v>-766.09999999999673</v>
      </c>
      <c r="J8">
        <f t="shared" si="3"/>
        <v>-1000</v>
      </c>
      <c r="L8">
        <f t="shared" si="4"/>
        <v>0</v>
      </c>
      <c r="M8" s="1">
        <f t="shared" si="5"/>
        <v>0</v>
      </c>
      <c r="N8" s="33">
        <f>SUM(L$2:L8)</f>
        <v>-4000</v>
      </c>
      <c r="O8" s="1">
        <f>SUMPRODUCT(L$2:L8,M$2:M8)/N8</f>
        <v>68.412499999999994</v>
      </c>
      <c r="Q8">
        <f t="shared" si="6"/>
        <v>1000</v>
      </c>
      <c r="R8" s="1">
        <f t="shared" si="7"/>
        <v>67.92</v>
      </c>
      <c r="S8" s="33">
        <f>SUM($Q$3:$Q8)</f>
        <v>3000</v>
      </c>
      <c r="T8" s="1">
        <f>SUMPRODUCT(Q$2:Q8,R$2:R8)/S8</f>
        <v>67.930000000000007</v>
      </c>
      <c r="U8" s="1"/>
    </row>
    <row r="9" spans="1:26" s="52" customFormat="1" ht="15.75" thickBot="1" x14ac:dyDescent="0.3">
      <c r="A9" s="46">
        <v>45414</v>
      </c>
      <c r="B9" s="47" t="s">
        <v>10</v>
      </c>
      <c r="C9" s="47" t="s">
        <v>12</v>
      </c>
      <c r="D9" s="47">
        <v>1000</v>
      </c>
      <c r="E9" s="48">
        <v>68.010000000000005</v>
      </c>
      <c r="F9" s="49">
        <f t="shared" si="0"/>
        <v>70.33</v>
      </c>
      <c r="G9" s="48">
        <v>6209.9999999999936</v>
      </c>
      <c r="H9" s="50">
        <f t="shared" si="1"/>
        <v>3781.5999999999885</v>
      </c>
      <c r="I9" s="51">
        <f t="shared" si="2"/>
        <v>3015.4999999999918</v>
      </c>
      <c r="J9" s="52">
        <f t="shared" si="3"/>
        <v>0</v>
      </c>
      <c r="L9" s="52">
        <f t="shared" si="4"/>
        <v>0</v>
      </c>
      <c r="M9" s="49">
        <f t="shared" si="5"/>
        <v>0</v>
      </c>
      <c r="N9" s="53">
        <f>SUM(L$2:L9)</f>
        <v>-4000</v>
      </c>
      <c r="O9" s="49">
        <f>SUMPRODUCT(L$2:L9,M$2:M9)/N9</f>
        <v>68.412499999999994</v>
      </c>
      <c r="Q9" s="52">
        <f t="shared" si="6"/>
        <v>1000</v>
      </c>
      <c r="R9" s="49">
        <f t="shared" si="7"/>
        <v>68.010000000000005</v>
      </c>
      <c r="S9" s="53">
        <f>SUM($Q$3:$Q9)</f>
        <v>4000</v>
      </c>
      <c r="T9" s="49">
        <f>SUMPRODUCT(Q$2:Q9,R$2:R9)/S9</f>
        <v>67.95</v>
      </c>
      <c r="U9" s="49"/>
    </row>
    <row r="10" spans="1:26" x14ac:dyDescent="0.25">
      <c r="A10" s="42">
        <v>45414</v>
      </c>
      <c r="B10" s="43" t="s">
        <v>10</v>
      </c>
      <c r="C10" s="43" t="s">
        <v>12</v>
      </c>
      <c r="D10" s="43">
        <v>1000</v>
      </c>
      <c r="E10" s="44">
        <v>67.89</v>
      </c>
      <c r="F10" s="1">
        <f t="shared" si="0"/>
        <v>70.33</v>
      </c>
      <c r="G10" s="44">
        <v>6329.9999999999982</v>
      </c>
      <c r="H10" s="45">
        <f t="shared" si="1"/>
        <v>3977.1999999999962</v>
      </c>
      <c r="I10" s="21">
        <f t="shared" si="2"/>
        <v>6992.699999999988</v>
      </c>
      <c r="J10">
        <f t="shared" si="3"/>
        <v>1000</v>
      </c>
      <c r="L10">
        <f t="shared" si="4"/>
        <v>0</v>
      </c>
      <c r="M10" s="1">
        <f t="shared" si="5"/>
        <v>0</v>
      </c>
      <c r="N10" s="33">
        <v>0</v>
      </c>
      <c r="O10" s="1" t="e">
        <f>SUMPRODUCT(L$10:L10,M$10:M10)/N10</f>
        <v>#DIV/0!</v>
      </c>
      <c r="Q10">
        <f t="shared" si="6"/>
        <v>1000</v>
      </c>
      <c r="R10" s="1">
        <f t="shared" si="7"/>
        <v>67.89</v>
      </c>
      <c r="S10" s="33">
        <f>Q10</f>
        <v>1000</v>
      </c>
      <c r="T10" s="1">
        <f>SUMPRODUCT(Q$10:Q10,R$10:R10)/S10</f>
        <v>67.89</v>
      </c>
      <c r="U10" s="1"/>
    </row>
    <row r="11" spans="1:26" s="52" customFormat="1" ht="15.75" thickBot="1" x14ac:dyDescent="0.3">
      <c r="A11" s="46">
        <v>45414</v>
      </c>
      <c r="B11" s="47" t="s">
        <v>10</v>
      </c>
      <c r="C11" s="47" t="s">
        <v>11</v>
      </c>
      <c r="D11" s="47">
        <v>-1000</v>
      </c>
      <c r="E11" s="48">
        <v>68.77</v>
      </c>
      <c r="F11" s="49">
        <f t="shared" si="0"/>
        <v>70.33</v>
      </c>
      <c r="G11" s="48">
        <v>-5450.0000000000027</v>
      </c>
      <c r="H11" s="50">
        <f t="shared" si="1"/>
        <v>-2542.8000000000034</v>
      </c>
      <c r="I11" s="51">
        <f t="shared" si="2"/>
        <v>4449.8999999999851</v>
      </c>
      <c r="J11" s="52">
        <f t="shared" si="3"/>
        <v>0</v>
      </c>
      <c r="L11" s="52">
        <f t="shared" si="4"/>
        <v>-1000</v>
      </c>
      <c r="M11" s="49">
        <f t="shared" si="5"/>
        <v>68.77</v>
      </c>
      <c r="N11" s="53">
        <f>N10+L11</f>
        <v>-1000</v>
      </c>
      <c r="O11" s="49">
        <f>SUMPRODUCT(L$10:L11,M$10:M11)/N11</f>
        <v>68.77</v>
      </c>
      <c r="Q11" s="52">
        <f t="shared" si="6"/>
        <v>0</v>
      </c>
      <c r="R11" s="49">
        <f t="shared" si="7"/>
        <v>0</v>
      </c>
      <c r="S11" s="53">
        <f>S10+Q11</f>
        <v>1000</v>
      </c>
      <c r="T11" s="49">
        <f>SUMPRODUCT(Q$10:Q11,R$10:R11)/S11</f>
        <v>67.89</v>
      </c>
      <c r="U11" s="49"/>
    </row>
    <row r="12" spans="1:26" x14ac:dyDescent="0.25">
      <c r="A12" s="42">
        <v>45414</v>
      </c>
      <c r="B12" s="43" t="s">
        <v>10</v>
      </c>
      <c r="C12" s="43" t="s">
        <v>11</v>
      </c>
      <c r="D12" s="43">
        <v>-1000</v>
      </c>
      <c r="E12" s="44">
        <v>69.239999999999995</v>
      </c>
      <c r="F12" s="1">
        <f t="shared" si="0"/>
        <v>70.33</v>
      </c>
      <c r="G12" s="44">
        <v>-4980.0000000000036</v>
      </c>
      <c r="H12" s="45">
        <f t="shared" si="1"/>
        <v>-1776.7000000000055</v>
      </c>
      <c r="I12" s="21">
        <f t="shared" si="2"/>
        <v>2673.1999999999798</v>
      </c>
      <c r="J12">
        <f t="shared" si="3"/>
        <v>-1000</v>
      </c>
      <c r="L12">
        <f t="shared" si="4"/>
        <v>-1000</v>
      </c>
      <c r="M12" s="1">
        <f t="shared" si="5"/>
        <v>69.239999999999995</v>
      </c>
      <c r="N12" s="33">
        <f>L12</f>
        <v>-1000</v>
      </c>
      <c r="O12" s="1">
        <f>SUMPRODUCT(L$12:L12,M$12:M12)/N12</f>
        <v>69.239999999999995</v>
      </c>
      <c r="Q12">
        <f t="shared" si="6"/>
        <v>0</v>
      </c>
      <c r="R12" s="1">
        <f t="shared" si="7"/>
        <v>0</v>
      </c>
      <c r="S12" s="33">
        <f>Q12</f>
        <v>0</v>
      </c>
      <c r="T12" s="1" t="e">
        <f>SUMPRODUCT(Q$12:Q12,R$12:R12)/S12</f>
        <v>#DIV/0!</v>
      </c>
      <c r="U12" s="1"/>
    </row>
    <row r="13" spans="1:26" s="52" customFormat="1" ht="15.75" thickBot="1" x14ac:dyDescent="0.3">
      <c r="A13" s="46">
        <v>45414</v>
      </c>
      <c r="B13" s="47" t="s">
        <v>10</v>
      </c>
      <c r="C13" s="47" t="s">
        <v>12</v>
      </c>
      <c r="D13" s="47">
        <v>1000</v>
      </c>
      <c r="E13" s="48">
        <v>69.25</v>
      </c>
      <c r="F13" s="49">
        <f t="shared" si="0"/>
        <v>70.33</v>
      </c>
      <c r="G13" s="48">
        <v>4969.9999999999991</v>
      </c>
      <c r="H13" s="50">
        <f t="shared" si="1"/>
        <v>1760.3999999999969</v>
      </c>
      <c r="I13" s="51">
        <f t="shared" si="2"/>
        <v>4433.5999999999767</v>
      </c>
      <c r="J13" s="52">
        <f t="shared" si="3"/>
        <v>0</v>
      </c>
      <c r="L13" s="52">
        <f t="shared" si="4"/>
        <v>0</v>
      </c>
      <c r="M13" s="49">
        <f t="shared" si="5"/>
        <v>0</v>
      </c>
      <c r="N13" s="53">
        <f>N12+L13</f>
        <v>-1000</v>
      </c>
      <c r="O13" s="49">
        <f>SUMPRODUCT(L$12:L13,M$12:M13)/N13</f>
        <v>69.239999999999995</v>
      </c>
      <c r="Q13" s="52">
        <f t="shared" si="6"/>
        <v>1000</v>
      </c>
      <c r="R13" s="49">
        <f t="shared" si="7"/>
        <v>69.25</v>
      </c>
      <c r="S13" s="53">
        <f>S12+Q13</f>
        <v>1000</v>
      </c>
      <c r="T13" s="49">
        <f>SUMPRODUCT(Q$12:Q13,R$12:R13)/S13</f>
        <v>69.25</v>
      </c>
      <c r="U13" s="49"/>
    </row>
    <row r="14" spans="1:26" x14ac:dyDescent="0.25">
      <c r="A14" s="42">
        <v>45414</v>
      </c>
      <c r="B14" s="43" t="s">
        <v>10</v>
      </c>
      <c r="C14" s="43" t="s">
        <v>11</v>
      </c>
      <c r="D14" s="43">
        <v>-1000</v>
      </c>
      <c r="E14" s="44">
        <v>69.069999999999993</v>
      </c>
      <c r="F14" s="1">
        <f t="shared" si="0"/>
        <v>70.33</v>
      </c>
      <c r="G14" s="44">
        <v>-5150.0000000000055</v>
      </c>
      <c r="H14" s="45">
        <f t="shared" si="1"/>
        <v>-2053.8000000000079</v>
      </c>
      <c r="I14" s="21">
        <f t="shared" si="2"/>
        <v>2379.7999999999688</v>
      </c>
      <c r="J14">
        <f t="shared" si="3"/>
        <v>-1000</v>
      </c>
      <c r="L14">
        <f t="shared" si="4"/>
        <v>-1000</v>
      </c>
      <c r="M14" s="1">
        <f t="shared" si="5"/>
        <v>69.069999999999993</v>
      </c>
      <c r="N14" s="33">
        <f t="shared" ref="N14:N66" si="8">N13+L14</f>
        <v>-2000</v>
      </c>
      <c r="O14" s="1">
        <f>SUMPRODUCT(L$10:L14,M$10:M14)/N14</f>
        <v>103.54</v>
      </c>
      <c r="Q14">
        <f t="shared" si="6"/>
        <v>0</v>
      </c>
      <c r="R14" s="1">
        <f t="shared" si="7"/>
        <v>0</v>
      </c>
      <c r="S14" s="33">
        <f t="shared" ref="S14:S66" si="9">S13+Q14</f>
        <v>1000</v>
      </c>
      <c r="T14" s="1">
        <f>SUMPRODUCT(Q$10:Q14,R$10:R14)/S14</f>
        <v>137.13999999999999</v>
      </c>
      <c r="U14" s="1"/>
    </row>
    <row r="15" spans="1:26" x14ac:dyDescent="0.25">
      <c r="A15" s="11">
        <v>45414</v>
      </c>
      <c r="B15" s="6" t="s">
        <v>10</v>
      </c>
      <c r="C15" s="6" t="s">
        <v>11</v>
      </c>
      <c r="D15" s="6">
        <v>-1000</v>
      </c>
      <c r="E15" s="12">
        <v>69.98</v>
      </c>
      <c r="F15" s="1">
        <f t="shared" si="0"/>
        <v>70.33</v>
      </c>
      <c r="G15" s="12">
        <v>-4239.9999999999945</v>
      </c>
      <c r="H15" s="10">
        <f t="shared" si="1"/>
        <v>-570.49999999999068</v>
      </c>
      <c r="I15" s="21">
        <f t="shared" si="2"/>
        <v>1809.2999999999781</v>
      </c>
      <c r="J15">
        <f t="shared" si="3"/>
        <v>-2000</v>
      </c>
      <c r="L15">
        <f t="shared" si="4"/>
        <v>-1000</v>
      </c>
      <c r="M15" s="1">
        <f t="shared" si="5"/>
        <v>69.98</v>
      </c>
      <c r="N15" s="33">
        <f t="shared" si="8"/>
        <v>-3000</v>
      </c>
      <c r="O15" s="1">
        <f>SUMPRODUCT(L$10:L15,M$10:M15)/N15</f>
        <v>92.353333333333339</v>
      </c>
      <c r="Q15">
        <f t="shared" si="6"/>
        <v>0</v>
      </c>
      <c r="R15" s="1">
        <f t="shared" si="7"/>
        <v>0</v>
      </c>
      <c r="S15" s="33">
        <f t="shared" si="9"/>
        <v>1000</v>
      </c>
      <c r="T15" s="1">
        <f>SUMPRODUCT(Q$10:Q15,R$10:R15)/S15</f>
        <v>137.13999999999999</v>
      </c>
      <c r="U15" s="1"/>
    </row>
    <row r="16" spans="1:26" x14ac:dyDescent="0.25">
      <c r="A16" s="8">
        <v>45414</v>
      </c>
      <c r="B16" s="5" t="s">
        <v>10</v>
      </c>
      <c r="C16" s="5" t="s">
        <v>11</v>
      </c>
      <c r="D16" s="5">
        <v>-1000</v>
      </c>
      <c r="E16" s="9">
        <v>70.099999999999994</v>
      </c>
      <c r="F16" s="1">
        <f t="shared" si="0"/>
        <v>70.33</v>
      </c>
      <c r="G16" s="9">
        <v>-4120.0000000000045</v>
      </c>
      <c r="H16" s="10">
        <f t="shared" si="1"/>
        <v>-374.90000000000646</v>
      </c>
      <c r="I16" s="21">
        <f t="shared" si="2"/>
        <v>1434.3999999999717</v>
      </c>
      <c r="J16">
        <f t="shared" si="3"/>
        <v>-3000</v>
      </c>
      <c r="L16">
        <f t="shared" si="4"/>
        <v>-1000</v>
      </c>
      <c r="M16" s="1">
        <f t="shared" si="5"/>
        <v>70.099999999999994</v>
      </c>
      <c r="N16" s="33">
        <f t="shared" si="8"/>
        <v>-4000</v>
      </c>
      <c r="O16" s="1">
        <f>SUMPRODUCT(L$10:L16,M$10:M16)/N16</f>
        <v>86.79</v>
      </c>
      <c r="Q16">
        <f t="shared" si="6"/>
        <v>0</v>
      </c>
      <c r="R16" s="1">
        <f t="shared" si="7"/>
        <v>0</v>
      </c>
      <c r="S16" s="33">
        <f t="shared" si="9"/>
        <v>1000</v>
      </c>
      <c r="T16" s="1">
        <f>SUMPRODUCT(Q$10:Q16,R$10:R16)/S16</f>
        <v>137.13999999999999</v>
      </c>
      <c r="U16" s="1"/>
    </row>
    <row r="17" spans="1:21" x14ac:dyDescent="0.25">
      <c r="A17" s="11">
        <v>45414</v>
      </c>
      <c r="B17" s="6" t="s">
        <v>10</v>
      </c>
      <c r="C17" s="6" t="s">
        <v>12</v>
      </c>
      <c r="D17" s="6">
        <v>1000</v>
      </c>
      <c r="E17" s="12">
        <v>70.11</v>
      </c>
      <c r="F17" s="1">
        <f t="shared" si="0"/>
        <v>70.33</v>
      </c>
      <c r="G17" s="12">
        <v>4109.9999999999991</v>
      </c>
      <c r="H17" s="10">
        <f t="shared" si="1"/>
        <v>358.59999999999815</v>
      </c>
      <c r="I17" s="21">
        <f t="shared" si="2"/>
        <v>1792.9999999999698</v>
      </c>
      <c r="J17">
        <f t="shared" si="3"/>
        <v>-2000</v>
      </c>
      <c r="L17">
        <f t="shared" si="4"/>
        <v>0</v>
      </c>
      <c r="M17" s="1">
        <f t="shared" si="5"/>
        <v>0</v>
      </c>
      <c r="N17" s="33">
        <f t="shared" si="8"/>
        <v>-4000</v>
      </c>
      <c r="O17" s="1">
        <f>SUMPRODUCT(L$10:L17,M$10:M17)/N17</f>
        <v>86.79</v>
      </c>
      <c r="Q17">
        <f t="shared" si="6"/>
        <v>1000</v>
      </c>
      <c r="R17" s="1">
        <f t="shared" si="7"/>
        <v>70.11</v>
      </c>
      <c r="S17" s="33">
        <f t="shared" si="9"/>
        <v>2000</v>
      </c>
      <c r="T17" s="1">
        <f>SUMPRODUCT(Q$10:Q17,R$10:R17)/S17</f>
        <v>103.625</v>
      </c>
      <c r="U17" s="1"/>
    </row>
    <row r="18" spans="1:21" x14ac:dyDescent="0.25">
      <c r="A18" s="8">
        <v>45414</v>
      </c>
      <c r="B18" s="5" t="s">
        <v>10</v>
      </c>
      <c r="C18" s="5" t="s">
        <v>11</v>
      </c>
      <c r="D18" s="5">
        <v>-1000</v>
      </c>
      <c r="E18" s="9">
        <v>70.2</v>
      </c>
      <c r="F18" s="1">
        <f t="shared" si="0"/>
        <v>70.33</v>
      </c>
      <c r="G18" s="9">
        <v>-4019.9999999999959</v>
      </c>
      <c r="H18" s="10">
        <f t="shared" si="1"/>
        <v>-211.89999999999259</v>
      </c>
      <c r="I18" s="21">
        <f t="shared" si="2"/>
        <v>1581.0999999999772</v>
      </c>
      <c r="J18">
        <f t="shared" si="3"/>
        <v>-3000</v>
      </c>
      <c r="L18">
        <f t="shared" si="4"/>
        <v>-1000</v>
      </c>
      <c r="M18" s="1">
        <f t="shared" si="5"/>
        <v>70.2</v>
      </c>
      <c r="N18" s="33">
        <f t="shared" si="8"/>
        <v>-5000</v>
      </c>
      <c r="O18" s="1">
        <f>SUMPRODUCT(L$10:L18,M$10:M18)/N18</f>
        <v>83.471999999999994</v>
      </c>
      <c r="Q18">
        <f t="shared" si="6"/>
        <v>0</v>
      </c>
      <c r="R18" s="1">
        <f t="shared" si="7"/>
        <v>0</v>
      </c>
      <c r="S18" s="33">
        <f t="shared" si="9"/>
        <v>2000</v>
      </c>
      <c r="T18" s="1">
        <f>SUMPRODUCT(Q$10:Q18,R$10:R18)/S18</f>
        <v>103.625</v>
      </c>
      <c r="U18" s="1"/>
    </row>
    <row r="19" spans="1:21" x14ac:dyDescent="0.25">
      <c r="A19" s="11">
        <v>45414</v>
      </c>
      <c r="B19" s="6" t="s">
        <v>10</v>
      </c>
      <c r="C19" s="6" t="s">
        <v>11</v>
      </c>
      <c r="D19" s="6">
        <v>-1000</v>
      </c>
      <c r="E19" s="12">
        <v>70.55</v>
      </c>
      <c r="F19" s="1">
        <f t="shared" si="0"/>
        <v>70.33</v>
      </c>
      <c r="G19" s="12">
        <v>-3670.0000000000018</v>
      </c>
      <c r="H19" s="10">
        <f t="shared" si="1"/>
        <v>358.59999999999815</v>
      </c>
      <c r="I19" s="21">
        <f t="shared" si="2"/>
        <v>1939.6999999999753</v>
      </c>
      <c r="J19">
        <f t="shared" si="3"/>
        <v>-4000</v>
      </c>
      <c r="L19">
        <f t="shared" si="4"/>
        <v>-1000</v>
      </c>
      <c r="M19" s="1">
        <f t="shared" si="5"/>
        <v>70.55</v>
      </c>
      <c r="N19" s="33">
        <f t="shared" si="8"/>
        <v>-6000</v>
      </c>
      <c r="O19" s="1">
        <f>SUMPRODUCT(L$10:L19,M$10:M19)/N19</f>
        <v>81.318333333333328</v>
      </c>
      <c r="Q19">
        <f t="shared" si="6"/>
        <v>0</v>
      </c>
      <c r="R19" s="1">
        <f t="shared" si="7"/>
        <v>0</v>
      </c>
      <c r="S19" s="33">
        <f t="shared" si="9"/>
        <v>2000</v>
      </c>
      <c r="T19" s="1">
        <f>SUMPRODUCT(Q$10:Q19,R$10:R19)/S19</f>
        <v>103.625</v>
      </c>
      <c r="U19" s="1"/>
    </row>
    <row r="20" spans="1:21" x14ac:dyDescent="0.25">
      <c r="A20" s="8">
        <v>45414</v>
      </c>
      <c r="B20" s="5" t="s">
        <v>10</v>
      </c>
      <c r="C20" s="5" t="s">
        <v>12</v>
      </c>
      <c r="D20" s="5">
        <v>1000</v>
      </c>
      <c r="E20" s="9">
        <v>70.989999999999995</v>
      </c>
      <c r="F20" s="1">
        <f t="shared" si="0"/>
        <v>70.33</v>
      </c>
      <c r="G20" s="9">
        <v>3230.0000000000041</v>
      </c>
      <c r="H20" s="10">
        <f t="shared" si="1"/>
        <v>-1075.7999999999943</v>
      </c>
      <c r="I20" s="21">
        <f t="shared" si="2"/>
        <v>863.89999999998099</v>
      </c>
      <c r="J20">
        <f t="shared" si="3"/>
        <v>-3000</v>
      </c>
      <c r="L20">
        <f t="shared" si="4"/>
        <v>0</v>
      </c>
      <c r="M20" s="1">
        <f t="shared" si="5"/>
        <v>0</v>
      </c>
      <c r="N20" s="33">
        <f t="shared" si="8"/>
        <v>-6000</v>
      </c>
      <c r="O20" s="1">
        <f>SUMPRODUCT(L$10:L20,M$10:M20)/N20</f>
        <v>81.318333333333328</v>
      </c>
      <c r="Q20">
        <f t="shared" si="6"/>
        <v>1000</v>
      </c>
      <c r="R20" s="1">
        <f t="shared" si="7"/>
        <v>70.989999999999995</v>
      </c>
      <c r="S20" s="33">
        <f t="shared" si="9"/>
        <v>3000</v>
      </c>
      <c r="T20" s="1">
        <f>SUMPRODUCT(Q$10:Q20,R$10:R20)/S20</f>
        <v>92.74666666666667</v>
      </c>
      <c r="U20" s="1"/>
    </row>
    <row r="21" spans="1:21" x14ac:dyDescent="0.25">
      <c r="A21" s="11">
        <v>45414</v>
      </c>
      <c r="B21" s="6" t="s">
        <v>10</v>
      </c>
      <c r="C21" s="6" t="s">
        <v>12</v>
      </c>
      <c r="D21" s="6">
        <v>1000</v>
      </c>
      <c r="E21" s="12">
        <v>70.989999999999995</v>
      </c>
      <c r="F21" s="1">
        <f t="shared" si="0"/>
        <v>70.33</v>
      </c>
      <c r="G21" s="12">
        <v>3230.0000000000041</v>
      </c>
      <c r="H21" s="10">
        <f t="shared" si="1"/>
        <v>-1075.7999999999943</v>
      </c>
      <c r="I21" s="21">
        <f t="shared" si="2"/>
        <v>-211.90000000001328</v>
      </c>
      <c r="J21">
        <f t="shared" si="3"/>
        <v>-2000</v>
      </c>
      <c r="L21">
        <f t="shared" si="4"/>
        <v>0</v>
      </c>
      <c r="M21" s="1">
        <f t="shared" si="5"/>
        <v>0</v>
      </c>
      <c r="N21" s="33">
        <f t="shared" si="8"/>
        <v>-6000</v>
      </c>
      <c r="O21" s="1">
        <f>SUMPRODUCT(L$10:L21,M$10:M21)/N21</f>
        <v>81.318333333333328</v>
      </c>
      <c r="Q21">
        <f t="shared" si="6"/>
        <v>1000</v>
      </c>
      <c r="R21" s="1">
        <f t="shared" si="7"/>
        <v>70.989999999999995</v>
      </c>
      <c r="S21" s="33">
        <f t="shared" si="9"/>
        <v>4000</v>
      </c>
      <c r="T21" s="1">
        <f>SUMPRODUCT(Q$10:Q21,R$10:R21)/S21</f>
        <v>87.307500000000005</v>
      </c>
      <c r="U21" s="1"/>
    </row>
    <row r="22" spans="1:21" x14ac:dyDescent="0.25">
      <c r="A22" s="8">
        <v>45414</v>
      </c>
      <c r="B22" s="5" t="s">
        <v>10</v>
      </c>
      <c r="C22" s="5" t="s">
        <v>12</v>
      </c>
      <c r="D22" s="5">
        <v>1000</v>
      </c>
      <c r="E22" s="9">
        <v>70.97</v>
      </c>
      <c r="F22" s="1">
        <f t="shared" si="0"/>
        <v>70.33</v>
      </c>
      <c r="G22" s="9">
        <v>3250</v>
      </c>
      <c r="H22" s="10">
        <f t="shared" si="1"/>
        <v>-1043.200000000001</v>
      </c>
      <c r="I22" s="21">
        <f t="shared" si="2"/>
        <v>-1255.1000000000142</v>
      </c>
      <c r="J22">
        <f t="shared" si="3"/>
        <v>-1000</v>
      </c>
      <c r="L22">
        <f t="shared" si="4"/>
        <v>0</v>
      </c>
      <c r="M22" s="1">
        <f t="shared" si="5"/>
        <v>0</v>
      </c>
      <c r="N22" s="33">
        <f t="shared" si="8"/>
        <v>-6000</v>
      </c>
      <c r="O22" s="1">
        <f>SUMPRODUCT(L$10:L22,M$10:M22)/N22</f>
        <v>81.318333333333328</v>
      </c>
      <c r="Q22">
        <f t="shared" si="6"/>
        <v>1000</v>
      </c>
      <c r="R22" s="1">
        <f t="shared" si="7"/>
        <v>70.97</v>
      </c>
      <c r="S22" s="33">
        <f t="shared" si="9"/>
        <v>5000</v>
      </c>
      <c r="T22" s="1">
        <f>SUMPRODUCT(Q$10:Q22,R$10:R22)/S22</f>
        <v>84.04</v>
      </c>
      <c r="U22" s="1"/>
    </row>
    <row r="23" spans="1:21" s="52" customFormat="1" ht="15.75" thickBot="1" x14ac:dyDescent="0.3">
      <c r="A23" s="46">
        <v>45415</v>
      </c>
      <c r="B23" s="47" t="s">
        <v>10</v>
      </c>
      <c r="C23" s="47" t="s">
        <v>12</v>
      </c>
      <c r="D23" s="47">
        <v>1000</v>
      </c>
      <c r="E23" s="48">
        <v>72.599999999999994</v>
      </c>
      <c r="F23" s="49">
        <f t="shared" si="0"/>
        <v>70.33</v>
      </c>
      <c r="G23" s="48">
        <v>1620.0000000000045</v>
      </c>
      <c r="H23" s="50">
        <f t="shared" si="1"/>
        <v>-3700.0999999999931</v>
      </c>
      <c r="I23" s="51">
        <f t="shared" si="2"/>
        <v>-4955.2000000000071</v>
      </c>
      <c r="J23" s="52">
        <f t="shared" si="3"/>
        <v>0</v>
      </c>
      <c r="L23" s="52">
        <f t="shared" si="4"/>
        <v>0</v>
      </c>
      <c r="M23" s="49">
        <f t="shared" si="5"/>
        <v>0</v>
      </c>
      <c r="N23" s="53">
        <f t="shared" si="8"/>
        <v>-6000</v>
      </c>
      <c r="O23" s="49">
        <f>SUMPRODUCT(L$10:L23,M$10:M23)/N23</f>
        <v>81.318333333333328</v>
      </c>
      <c r="Q23" s="52">
        <f t="shared" si="6"/>
        <v>1000</v>
      </c>
      <c r="R23" s="49">
        <f t="shared" si="7"/>
        <v>72.599999999999994</v>
      </c>
      <c r="S23" s="53">
        <f t="shared" si="9"/>
        <v>6000</v>
      </c>
      <c r="T23" s="49">
        <f>SUMPRODUCT(Q$10:Q23,R$10:R23)/S23</f>
        <v>82.13333333333334</v>
      </c>
      <c r="U23" s="49"/>
    </row>
    <row r="24" spans="1:21" x14ac:dyDescent="0.25">
      <c r="A24" s="42">
        <v>45415</v>
      </c>
      <c r="B24" s="43" t="s">
        <v>10</v>
      </c>
      <c r="C24" s="43" t="s">
        <v>12</v>
      </c>
      <c r="D24" s="43">
        <v>1000</v>
      </c>
      <c r="E24" s="44">
        <v>72.599999999999994</v>
      </c>
      <c r="F24" s="1">
        <f t="shared" si="0"/>
        <v>70.33</v>
      </c>
      <c r="G24" s="44">
        <v>1620.0000000000045</v>
      </c>
      <c r="H24" s="45">
        <f t="shared" si="1"/>
        <v>-3700.0999999999931</v>
      </c>
      <c r="I24" s="21">
        <f t="shared" si="2"/>
        <v>-8655.2999999999993</v>
      </c>
      <c r="J24">
        <f t="shared" si="3"/>
        <v>1000</v>
      </c>
      <c r="L24">
        <f t="shared" si="4"/>
        <v>0</v>
      </c>
      <c r="M24" s="1">
        <f t="shared" si="5"/>
        <v>0</v>
      </c>
      <c r="N24" s="33">
        <f>L24</f>
        <v>0</v>
      </c>
      <c r="O24" s="54" t="e">
        <f>SUMPRODUCT(L$24:L24,M$24:M24)/N24</f>
        <v>#DIV/0!</v>
      </c>
      <c r="Q24">
        <f t="shared" si="6"/>
        <v>1000</v>
      </c>
      <c r="R24" s="1">
        <f t="shared" si="7"/>
        <v>72.599999999999994</v>
      </c>
      <c r="S24" s="33">
        <f>Q24</f>
        <v>1000</v>
      </c>
      <c r="T24" s="54">
        <f>SUMPRODUCT(Q$24:Q24,R$24:R24)/S24</f>
        <v>72.599999999999994</v>
      </c>
      <c r="U24" s="1"/>
    </row>
    <row r="25" spans="1:21" s="52" customFormat="1" ht="15.75" thickBot="1" x14ac:dyDescent="0.3">
      <c r="A25" s="46">
        <v>45415</v>
      </c>
      <c r="B25" s="47" t="s">
        <v>10</v>
      </c>
      <c r="C25" s="47" t="s">
        <v>11</v>
      </c>
      <c r="D25" s="47">
        <v>-1000</v>
      </c>
      <c r="E25" s="48">
        <v>71.900000000000006</v>
      </c>
      <c r="F25" s="49">
        <f t="shared" si="0"/>
        <v>70.33</v>
      </c>
      <c r="G25" s="48">
        <v>-2319.9999999999932</v>
      </c>
      <c r="H25" s="50">
        <f t="shared" si="1"/>
        <v>2559.1000000000117</v>
      </c>
      <c r="I25" s="51">
        <f t="shared" si="2"/>
        <v>-6096.199999999988</v>
      </c>
      <c r="J25" s="52">
        <f t="shared" si="3"/>
        <v>0</v>
      </c>
      <c r="L25" s="52">
        <f t="shared" si="4"/>
        <v>-1000</v>
      </c>
      <c r="M25" s="49">
        <f t="shared" si="5"/>
        <v>71.900000000000006</v>
      </c>
      <c r="N25" s="53">
        <f>N24+L25</f>
        <v>-1000</v>
      </c>
      <c r="O25" s="55">
        <f>SUMPRODUCT(L$24:L25,M$24:M25)/N25</f>
        <v>71.900000000000006</v>
      </c>
      <c r="Q25" s="52">
        <f t="shared" si="6"/>
        <v>0</v>
      </c>
      <c r="R25" s="49">
        <f t="shared" si="7"/>
        <v>0</v>
      </c>
      <c r="S25" s="53">
        <f>S24+Q25</f>
        <v>1000</v>
      </c>
      <c r="T25" s="55">
        <f>SUMPRODUCT(Q$24:Q25,R$24:R25)/S25</f>
        <v>72.599999999999994</v>
      </c>
      <c r="U25" s="49"/>
    </row>
    <row r="26" spans="1:21" x14ac:dyDescent="0.25">
      <c r="A26" s="42">
        <v>45415</v>
      </c>
      <c r="B26" s="43" t="s">
        <v>10</v>
      </c>
      <c r="C26" s="43" t="s">
        <v>11</v>
      </c>
      <c r="D26" s="43">
        <v>-1000</v>
      </c>
      <c r="E26" s="44">
        <v>71.900000000000006</v>
      </c>
      <c r="F26" s="1">
        <f t="shared" si="0"/>
        <v>70.33</v>
      </c>
      <c r="G26" s="44">
        <v>-2319.9999999999932</v>
      </c>
      <c r="H26" s="45">
        <f t="shared" si="1"/>
        <v>2559.1000000000117</v>
      </c>
      <c r="I26" s="21">
        <f t="shared" si="2"/>
        <v>-3537.0999999999763</v>
      </c>
      <c r="J26">
        <f t="shared" si="3"/>
        <v>-1000</v>
      </c>
      <c r="L26">
        <f t="shared" si="4"/>
        <v>-1000</v>
      </c>
      <c r="M26" s="1">
        <f t="shared" si="5"/>
        <v>71.900000000000006</v>
      </c>
      <c r="N26" s="33">
        <f t="shared" si="8"/>
        <v>-2000</v>
      </c>
      <c r="O26" s="54">
        <f>SUMPRODUCT(L$24:L26,M$24:M26)/N26</f>
        <v>71.900000000000006</v>
      </c>
      <c r="Q26">
        <f t="shared" si="6"/>
        <v>0</v>
      </c>
      <c r="R26" s="1">
        <f t="shared" si="7"/>
        <v>0</v>
      </c>
      <c r="S26" s="33">
        <f t="shared" si="9"/>
        <v>1000</v>
      </c>
      <c r="T26" s="54">
        <f>SUMPRODUCT(Q$24:Q26,R$24:R26)/S26</f>
        <v>72.599999999999994</v>
      </c>
      <c r="U26" s="1"/>
    </row>
    <row r="27" spans="1:21" x14ac:dyDescent="0.25">
      <c r="A27" s="11">
        <v>45415</v>
      </c>
      <c r="B27" s="6" t="s">
        <v>10</v>
      </c>
      <c r="C27" s="6" t="s">
        <v>11</v>
      </c>
      <c r="D27" s="6">
        <v>-1000</v>
      </c>
      <c r="E27" s="12">
        <v>71.760000000000005</v>
      </c>
      <c r="F27" s="1">
        <f t="shared" si="0"/>
        <v>70.33</v>
      </c>
      <c r="G27" s="12">
        <v>-2459.9999999999936</v>
      </c>
      <c r="H27" s="10">
        <f t="shared" si="1"/>
        <v>2330.900000000011</v>
      </c>
      <c r="I27" s="21">
        <f t="shared" si="2"/>
        <v>-1206.1999999999653</v>
      </c>
      <c r="J27">
        <f t="shared" si="3"/>
        <v>-2000</v>
      </c>
      <c r="L27">
        <f t="shared" si="4"/>
        <v>-1000</v>
      </c>
      <c r="M27" s="1">
        <f t="shared" si="5"/>
        <v>71.760000000000005</v>
      </c>
      <c r="N27" s="33">
        <f t="shared" si="8"/>
        <v>-3000</v>
      </c>
      <c r="O27" s="54">
        <f>SUMPRODUCT(L$24:L27,M$24:M27)/N27</f>
        <v>71.853333333333339</v>
      </c>
      <c r="Q27">
        <f t="shared" si="6"/>
        <v>0</v>
      </c>
      <c r="R27" s="1">
        <f t="shared" si="7"/>
        <v>0</v>
      </c>
      <c r="S27" s="33">
        <f t="shared" si="9"/>
        <v>1000</v>
      </c>
      <c r="T27" s="54">
        <f>SUMPRODUCT(Q$24:Q27,R$24:R27)/S27</f>
        <v>72.599999999999994</v>
      </c>
      <c r="U27" s="1"/>
    </row>
    <row r="28" spans="1:21" x14ac:dyDescent="0.25">
      <c r="A28" s="8">
        <v>45415</v>
      </c>
      <c r="B28" s="5" t="s">
        <v>10</v>
      </c>
      <c r="C28" s="5" t="s">
        <v>12</v>
      </c>
      <c r="D28" s="5">
        <v>1000</v>
      </c>
      <c r="E28" s="9">
        <v>72.58</v>
      </c>
      <c r="F28" s="1">
        <f t="shared" si="0"/>
        <v>70.33</v>
      </c>
      <c r="G28" s="9">
        <v>1640.0000000000005</v>
      </c>
      <c r="H28" s="10">
        <f t="shared" si="1"/>
        <v>-3667.4999999999995</v>
      </c>
      <c r="I28" s="21">
        <f t="shared" si="2"/>
        <v>-4873.6999999999643</v>
      </c>
      <c r="J28">
        <f t="shared" si="3"/>
        <v>-1000</v>
      </c>
      <c r="L28">
        <f t="shared" si="4"/>
        <v>0</v>
      </c>
      <c r="M28" s="1">
        <f t="shared" si="5"/>
        <v>0</v>
      </c>
      <c r="N28" s="33">
        <f t="shared" si="8"/>
        <v>-3000</v>
      </c>
      <c r="O28" s="54">
        <f>SUMPRODUCT(L$24:L28,M$24:M28)/N28</f>
        <v>71.853333333333339</v>
      </c>
      <c r="Q28">
        <f t="shared" si="6"/>
        <v>1000</v>
      </c>
      <c r="R28" s="1">
        <f t="shared" si="7"/>
        <v>72.58</v>
      </c>
      <c r="S28" s="33">
        <f t="shared" si="9"/>
        <v>2000</v>
      </c>
      <c r="T28" s="54">
        <f>SUMPRODUCT(Q$24:Q28,R$24:R28)/S28</f>
        <v>72.59</v>
      </c>
      <c r="U28" s="1"/>
    </row>
    <row r="29" spans="1:21" s="52" customFormat="1" ht="15.75" thickBot="1" x14ac:dyDescent="0.3">
      <c r="A29" s="46">
        <v>45415</v>
      </c>
      <c r="B29" s="47" t="s">
        <v>10</v>
      </c>
      <c r="C29" s="47" t="s">
        <v>12</v>
      </c>
      <c r="D29" s="47">
        <v>1000</v>
      </c>
      <c r="E29" s="48">
        <v>72.599999999999994</v>
      </c>
      <c r="F29" s="49">
        <f t="shared" si="0"/>
        <v>70.33</v>
      </c>
      <c r="G29" s="48">
        <v>1620.0000000000045</v>
      </c>
      <c r="H29" s="50">
        <f t="shared" si="1"/>
        <v>-3700.0999999999931</v>
      </c>
      <c r="I29" s="51">
        <f t="shared" si="2"/>
        <v>-8573.7999999999574</v>
      </c>
      <c r="J29" s="52">
        <f t="shared" si="3"/>
        <v>0</v>
      </c>
      <c r="L29" s="52">
        <f t="shared" si="4"/>
        <v>0</v>
      </c>
      <c r="M29" s="49">
        <f t="shared" si="5"/>
        <v>0</v>
      </c>
      <c r="N29" s="53">
        <f t="shared" si="8"/>
        <v>-3000</v>
      </c>
      <c r="O29" s="55">
        <f>SUMPRODUCT(L$24:L29,M$24:M29)/N29</f>
        <v>71.853333333333339</v>
      </c>
      <c r="Q29" s="52">
        <f t="shared" si="6"/>
        <v>1000</v>
      </c>
      <c r="R29" s="49">
        <f t="shared" si="7"/>
        <v>72.599999999999994</v>
      </c>
      <c r="S29" s="53">
        <f t="shared" si="9"/>
        <v>3000</v>
      </c>
      <c r="T29" s="55">
        <f>SUMPRODUCT(Q$24:Q29,R$24:R29)/S29</f>
        <v>72.593333333333334</v>
      </c>
      <c r="U29" s="49"/>
    </row>
    <row r="30" spans="1:21" x14ac:dyDescent="0.25">
      <c r="A30" s="42">
        <v>45415</v>
      </c>
      <c r="B30" s="43" t="s">
        <v>10</v>
      </c>
      <c r="C30" s="43" t="s">
        <v>12</v>
      </c>
      <c r="D30" s="43">
        <v>1000</v>
      </c>
      <c r="E30" s="44">
        <v>72.84</v>
      </c>
      <c r="F30" s="1">
        <f t="shared" si="0"/>
        <v>70.33</v>
      </c>
      <c r="G30" s="44">
        <v>1379.9999999999955</v>
      </c>
      <c r="H30" s="45">
        <f t="shared" si="1"/>
        <v>-4091.3000000000079</v>
      </c>
      <c r="I30" s="21">
        <f t="shared" si="2"/>
        <v>-12665.099999999966</v>
      </c>
      <c r="J30">
        <f t="shared" si="3"/>
        <v>1000</v>
      </c>
      <c r="L30">
        <f t="shared" si="4"/>
        <v>0</v>
      </c>
      <c r="M30" s="1">
        <f t="shared" si="5"/>
        <v>0</v>
      </c>
      <c r="N30" s="33">
        <f>L30</f>
        <v>0</v>
      </c>
      <c r="O30" s="54" t="e">
        <f>SUMPRODUCT(L$30:L30,M$30:M30)/N30</f>
        <v>#DIV/0!</v>
      </c>
      <c r="Q30">
        <f t="shared" si="6"/>
        <v>1000</v>
      </c>
      <c r="R30" s="1">
        <f t="shared" si="7"/>
        <v>72.84</v>
      </c>
      <c r="S30" s="33">
        <f>Q30</f>
        <v>1000</v>
      </c>
      <c r="T30" s="54">
        <f>SUMPRODUCT(Q$30:Q30,R$30:R30)/S30</f>
        <v>72.84</v>
      </c>
      <c r="U30" s="1"/>
    </row>
    <row r="31" spans="1:21" x14ac:dyDescent="0.25">
      <c r="A31" s="11">
        <v>45415</v>
      </c>
      <c r="B31" s="6" t="s">
        <v>10</v>
      </c>
      <c r="C31" s="6" t="s">
        <v>12</v>
      </c>
      <c r="D31" s="6">
        <v>1000</v>
      </c>
      <c r="E31" s="12">
        <v>73.27</v>
      </c>
      <c r="F31" s="1">
        <f t="shared" si="0"/>
        <v>70.33</v>
      </c>
      <c r="G31" s="12">
        <v>950.00000000000284</v>
      </c>
      <c r="H31" s="10">
        <f t="shared" si="1"/>
        <v>-4792.1999999999962</v>
      </c>
      <c r="I31" s="21">
        <f t="shared" si="2"/>
        <v>-17457.299999999963</v>
      </c>
      <c r="J31">
        <f t="shared" si="3"/>
        <v>2000</v>
      </c>
      <c r="L31">
        <f t="shared" si="4"/>
        <v>0</v>
      </c>
      <c r="M31" s="56">
        <f t="shared" si="5"/>
        <v>0</v>
      </c>
      <c r="N31" s="57">
        <f>N30+L31</f>
        <v>0</v>
      </c>
      <c r="O31" s="54" t="e">
        <f>SUMPRODUCT(L$30:L31,M$30:M31)/N31</f>
        <v>#DIV/0!</v>
      </c>
      <c r="Q31">
        <f t="shared" si="6"/>
        <v>1000</v>
      </c>
      <c r="R31" s="56">
        <f t="shared" si="7"/>
        <v>73.27</v>
      </c>
      <c r="S31" s="57">
        <f>S30+Q31</f>
        <v>2000</v>
      </c>
      <c r="T31" s="54">
        <f>SUMPRODUCT(Q$30:Q31,R$30:R31)/S31</f>
        <v>73.055000000000007</v>
      </c>
      <c r="U31" s="1"/>
    </row>
    <row r="32" spans="1:21" x14ac:dyDescent="0.25">
      <c r="A32" s="8">
        <v>45415</v>
      </c>
      <c r="B32" s="5" t="s">
        <v>10</v>
      </c>
      <c r="C32" s="5" t="s">
        <v>12</v>
      </c>
      <c r="D32" s="5">
        <v>1000</v>
      </c>
      <c r="E32" s="9">
        <v>73.55</v>
      </c>
      <c r="F32" s="1">
        <f t="shared" si="0"/>
        <v>70.33</v>
      </c>
      <c r="G32" s="9">
        <v>670.00000000000171</v>
      </c>
      <c r="H32" s="10">
        <f t="shared" si="1"/>
        <v>-5248.5999999999985</v>
      </c>
      <c r="I32" s="21">
        <f t="shared" si="2"/>
        <v>-22705.899999999961</v>
      </c>
      <c r="J32">
        <f t="shared" si="3"/>
        <v>3000</v>
      </c>
      <c r="L32">
        <f t="shared" si="4"/>
        <v>0</v>
      </c>
      <c r="M32" s="56">
        <f t="shared" si="5"/>
        <v>0</v>
      </c>
      <c r="N32" s="57">
        <f t="shared" si="8"/>
        <v>0</v>
      </c>
      <c r="O32" s="54" t="e">
        <f>SUMPRODUCT(L$30:L32,M$30:M32)/N32</f>
        <v>#DIV/0!</v>
      </c>
      <c r="Q32">
        <f t="shared" si="6"/>
        <v>1000</v>
      </c>
      <c r="R32" s="56">
        <f t="shared" si="7"/>
        <v>73.55</v>
      </c>
      <c r="S32" s="57">
        <f t="shared" si="9"/>
        <v>3000</v>
      </c>
      <c r="T32" s="54">
        <f>SUMPRODUCT(Q$30:Q32,R$30:R32)/S32</f>
        <v>73.22</v>
      </c>
      <c r="U32" s="1"/>
    </row>
    <row r="33" spans="1:21" x14ac:dyDescent="0.25">
      <c r="A33" s="11">
        <v>45415</v>
      </c>
      <c r="B33" s="6" t="s">
        <v>10</v>
      </c>
      <c r="C33" s="6" t="s">
        <v>12</v>
      </c>
      <c r="D33" s="6">
        <v>1000</v>
      </c>
      <c r="E33" s="12">
        <v>73.900000000000006</v>
      </c>
      <c r="F33" s="1">
        <f t="shared" si="0"/>
        <v>70.33</v>
      </c>
      <c r="G33" s="12">
        <v>319.99999999999318</v>
      </c>
      <c r="H33" s="10">
        <f t="shared" si="1"/>
        <v>-5819.1000000000113</v>
      </c>
      <c r="I33" s="21">
        <f t="shared" si="2"/>
        <v>-28524.999999999971</v>
      </c>
      <c r="J33">
        <f t="shared" si="3"/>
        <v>4000</v>
      </c>
      <c r="L33">
        <f t="shared" si="4"/>
        <v>0</v>
      </c>
      <c r="M33" s="56">
        <f t="shared" si="5"/>
        <v>0</v>
      </c>
      <c r="N33" s="57">
        <f t="shared" si="8"/>
        <v>0</v>
      </c>
      <c r="O33" s="54" t="e">
        <f>SUMPRODUCT(L$30:L33,M$30:M33)/N33</f>
        <v>#DIV/0!</v>
      </c>
      <c r="Q33">
        <f t="shared" si="6"/>
        <v>1000</v>
      </c>
      <c r="R33" s="56">
        <f t="shared" si="7"/>
        <v>73.900000000000006</v>
      </c>
      <c r="S33" s="57">
        <f t="shared" si="9"/>
        <v>4000</v>
      </c>
      <c r="T33" s="54">
        <f>SUMPRODUCT(Q$30:Q33,R$30:R33)/S33</f>
        <v>73.39</v>
      </c>
      <c r="U33" s="1"/>
    </row>
    <row r="34" spans="1:21" x14ac:dyDescent="0.25">
      <c r="A34" s="8">
        <v>45415</v>
      </c>
      <c r="B34" s="5" t="s">
        <v>10</v>
      </c>
      <c r="C34" s="5" t="s">
        <v>11</v>
      </c>
      <c r="D34" s="5">
        <v>-1000</v>
      </c>
      <c r="E34" s="9">
        <v>73.27</v>
      </c>
      <c r="F34" s="1">
        <f t="shared" ref="F34:F67" si="10">$W$1</f>
        <v>70.33</v>
      </c>
      <c r="G34" s="9">
        <v>-950.00000000000284</v>
      </c>
      <c r="H34" s="10">
        <f t="shared" si="1"/>
        <v>4792.1999999999962</v>
      </c>
      <c r="I34" s="21">
        <f t="shared" si="2"/>
        <v>-23732.799999999974</v>
      </c>
      <c r="J34">
        <f t="shared" si="3"/>
        <v>3000</v>
      </c>
      <c r="L34">
        <f t="shared" si="4"/>
        <v>-1000</v>
      </c>
      <c r="M34" s="1">
        <f t="shared" si="5"/>
        <v>73.27</v>
      </c>
      <c r="N34" s="33">
        <f t="shared" si="8"/>
        <v>-1000</v>
      </c>
      <c r="O34" s="54">
        <f>SUMPRODUCT(L$30:L34,M$30:M34)/N34</f>
        <v>73.27</v>
      </c>
      <c r="Q34">
        <f t="shared" si="6"/>
        <v>0</v>
      </c>
      <c r="R34" s="1">
        <f t="shared" si="7"/>
        <v>0</v>
      </c>
      <c r="S34" s="33">
        <f t="shared" si="9"/>
        <v>4000</v>
      </c>
      <c r="T34" s="54">
        <f>SUMPRODUCT(Q$30:Q34,R$30:R34)/S34</f>
        <v>73.39</v>
      </c>
      <c r="U34" s="1"/>
    </row>
    <row r="35" spans="1:21" x14ac:dyDescent="0.25">
      <c r="A35" s="11">
        <v>45415</v>
      </c>
      <c r="B35" s="6" t="s">
        <v>10</v>
      </c>
      <c r="C35" s="6" t="s">
        <v>11</v>
      </c>
      <c r="D35" s="6">
        <v>-1000</v>
      </c>
      <c r="E35" s="12">
        <v>73.25</v>
      </c>
      <c r="F35" s="1">
        <f t="shared" si="10"/>
        <v>70.33</v>
      </c>
      <c r="G35" s="12">
        <v>-969.99999999999886</v>
      </c>
      <c r="H35" s="10">
        <f t="shared" si="1"/>
        <v>4759.6000000000031</v>
      </c>
      <c r="I35" s="21">
        <f t="shared" ref="I35:I61" si="11">I34+H35</f>
        <v>-18973.199999999972</v>
      </c>
      <c r="J35">
        <f t="shared" si="3"/>
        <v>2000</v>
      </c>
      <c r="L35">
        <f t="shared" si="4"/>
        <v>-1000</v>
      </c>
      <c r="M35" s="1">
        <f t="shared" si="5"/>
        <v>73.25</v>
      </c>
      <c r="N35" s="33">
        <f t="shared" si="8"/>
        <v>-2000</v>
      </c>
      <c r="O35" s="54">
        <f>SUMPRODUCT(L$30:L35,M$30:M35)/N35</f>
        <v>73.260000000000005</v>
      </c>
      <c r="Q35">
        <f t="shared" si="6"/>
        <v>0</v>
      </c>
      <c r="R35" s="1">
        <f t="shared" si="7"/>
        <v>0</v>
      </c>
      <c r="S35" s="33">
        <f t="shared" si="9"/>
        <v>4000</v>
      </c>
      <c r="T35" s="54">
        <f>SUMPRODUCT(Q$30:Q35,R$30:R35)/S35</f>
        <v>73.39</v>
      </c>
      <c r="U35" s="1"/>
    </row>
    <row r="36" spans="1:21" x14ac:dyDescent="0.25">
      <c r="A36" s="8">
        <v>45415</v>
      </c>
      <c r="B36" s="5" t="s">
        <v>10</v>
      </c>
      <c r="C36" s="5" t="s">
        <v>12</v>
      </c>
      <c r="D36" s="5">
        <v>1000</v>
      </c>
      <c r="E36" s="9">
        <v>72.400000000000006</v>
      </c>
      <c r="F36" s="1">
        <f t="shared" si="10"/>
        <v>70.33</v>
      </c>
      <c r="G36" s="9">
        <v>1819.9999999999932</v>
      </c>
      <c r="H36" s="10">
        <f t="shared" si="1"/>
        <v>-3374.1000000000117</v>
      </c>
      <c r="I36" s="21">
        <f t="shared" si="11"/>
        <v>-22347.299999999985</v>
      </c>
      <c r="J36">
        <f t="shared" si="3"/>
        <v>3000</v>
      </c>
      <c r="L36">
        <f t="shared" si="4"/>
        <v>0</v>
      </c>
      <c r="M36" s="1">
        <f t="shared" si="5"/>
        <v>0</v>
      </c>
      <c r="N36" s="33">
        <f t="shared" si="8"/>
        <v>-2000</v>
      </c>
      <c r="O36" s="54">
        <f>SUMPRODUCT(L$30:L36,M$30:M36)/N36</f>
        <v>73.260000000000005</v>
      </c>
      <c r="Q36">
        <f t="shared" si="6"/>
        <v>1000</v>
      </c>
      <c r="R36" s="1">
        <f t="shared" si="7"/>
        <v>72.400000000000006</v>
      </c>
      <c r="S36" s="33">
        <f t="shared" si="9"/>
        <v>5000</v>
      </c>
      <c r="T36" s="54">
        <f>SUMPRODUCT(Q$30:Q36,R$30:R36)/S36</f>
        <v>73.191999999999993</v>
      </c>
      <c r="U36" s="1"/>
    </row>
    <row r="37" spans="1:21" x14ac:dyDescent="0.25">
      <c r="A37" s="11">
        <v>45415</v>
      </c>
      <c r="B37" s="6" t="s">
        <v>10</v>
      </c>
      <c r="C37" s="6" t="s">
        <v>12</v>
      </c>
      <c r="D37" s="6">
        <v>1000</v>
      </c>
      <c r="E37" s="12">
        <v>72.150000000000006</v>
      </c>
      <c r="F37" s="1">
        <f t="shared" si="10"/>
        <v>70.33</v>
      </c>
      <c r="G37" s="12">
        <v>2069.9999999999932</v>
      </c>
      <c r="H37" s="10">
        <f t="shared" si="1"/>
        <v>-2966.6000000000117</v>
      </c>
      <c r="I37" s="21">
        <f t="shared" si="11"/>
        <v>-25313.899999999998</v>
      </c>
      <c r="J37">
        <f t="shared" si="3"/>
        <v>4000</v>
      </c>
      <c r="L37">
        <f t="shared" si="4"/>
        <v>0</v>
      </c>
      <c r="M37" s="1">
        <f t="shared" si="5"/>
        <v>0</v>
      </c>
      <c r="N37" s="33">
        <f t="shared" si="8"/>
        <v>-2000</v>
      </c>
      <c r="O37" s="54">
        <f>SUMPRODUCT(L$30:L37,M$30:M37)/N37</f>
        <v>73.260000000000005</v>
      </c>
      <c r="Q37">
        <f t="shared" si="6"/>
        <v>1000</v>
      </c>
      <c r="R37" s="1">
        <f t="shared" si="7"/>
        <v>72.150000000000006</v>
      </c>
      <c r="S37" s="33">
        <f t="shared" si="9"/>
        <v>6000</v>
      </c>
      <c r="T37" s="54">
        <f>SUMPRODUCT(Q$30:Q37,R$30:R37)/S37</f>
        <v>73.018333333333331</v>
      </c>
      <c r="U37" s="1"/>
    </row>
    <row r="38" spans="1:21" x14ac:dyDescent="0.25">
      <c r="A38" s="8">
        <v>45415</v>
      </c>
      <c r="B38" s="5" t="s">
        <v>10</v>
      </c>
      <c r="C38" s="5" t="s">
        <v>11</v>
      </c>
      <c r="D38" s="5">
        <v>-1000</v>
      </c>
      <c r="E38" s="9">
        <v>71.39</v>
      </c>
      <c r="F38" s="1">
        <f t="shared" si="10"/>
        <v>70.33</v>
      </c>
      <c r="G38" s="9">
        <v>-2829.9999999999982</v>
      </c>
      <c r="H38" s="10">
        <f t="shared" si="1"/>
        <v>1727.8000000000036</v>
      </c>
      <c r="I38" s="21">
        <f t="shared" si="11"/>
        <v>-23586.099999999995</v>
      </c>
      <c r="J38">
        <f t="shared" si="3"/>
        <v>3000</v>
      </c>
      <c r="L38">
        <f t="shared" si="4"/>
        <v>-1000</v>
      </c>
      <c r="M38" s="1">
        <f t="shared" si="5"/>
        <v>71.39</v>
      </c>
      <c r="N38" s="33">
        <f t="shared" si="8"/>
        <v>-3000</v>
      </c>
      <c r="O38" s="54">
        <f>SUMPRODUCT(L$30:L38,M$30:M38)/N38</f>
        <v>72.63666666666667</v>
      </c>
      <c r="Q38">
        <f t="shared" si="6"/>
        <v>0</v>
      </c>
      <c r="R38" s="1">
        <f t="shared" si="7"/>
        <v>0</v>
      </c>
      <c r="S38" s="33">
        <f t="shared" si="9"/>
        <v>6000</v>
      </c>
      <c r="T38" s="54">
        <f>SUMPRODUCT(Q$30:Q38,R$30:R38)/S38</f>
        <v>73.018333333333331</v>
      </c>
    </row>
    <row r="39" spans="1:21" s="52" customFormat="1" ht="15.75" thickBot="1" x14ac:dyDescent="0.3">
      <c r="A39" s="46">
        <v>45415</v>
      </c>
      <c r="B39" s="47" t="s">
        <v>10</v>
      </c>
      <c r="C39" s="47" t="s">
        <v>11</v>
      </c>
      <c r="D39" s="47">
        <v>-3000</v>
      </c>
      <c r="E39" s="48">
        <v>71.540000000000006</v>
      </c>
      <c r="F39" s="49">
        <f t="shared" si="10"/>
        <v>70.33</v>
      </c>
      <c r="G39" s="48">
        <v>-8039.9999999999782</v>
      </c>
      <c r="H39" s="50">
        <f t="shared" si="1"/>
        <v>5916.9000000000378</v>
      </c>
      <c r="I39" s="51">
        <f t="shared" si="11"/>
        <v>-17669.199999999957</v>
      </c>
      <c r="J39" s="52">
        <f t="shared" si="3"/>
        <v>0</v>
      </c>
      <c r="L39" s="52">
        <f t="shared" si="4"/>
        <v>-3000</v>
      </c>
      <c r="M39" s="49">
        <f t="shared" si="5"/>
        <v>71.540000000000006</v>
      </c>
      <c r="N39" s="53">
        <f t="shared" si="8"/>
        <v>-6000</v>
      </c>
      <c r="O39" s="55">
        <f>SUMPRODUCT(L$30:L39,M$30:M39)/N39</f>
        <v>72.088333333333338</v>
      </c>
      <c r="Q39" s="52">
        <f t="shared" si="6"/>
        <v>0</v>
      </c>
      <c r="R39" s="49">
        <f t="shared" si="7"/>
        <v>0</v>
      </c>
      <c r="S39" s="53">
        <f t="shared" si="9"/>
        <v>6000</v>
      </c>
      <c r="T39" s="55">
        <f>SUMPRODUCT(Q$30:Q39,R$30:R39)/S39</f>
        <v>73.018333333333331</v>
      </c>
    </row>
    <row r="40" spans="1:21" x14ac:dyDescent="0.25">
      <c r="A40" s="42">
        <v>45419</v>
      </c>
      <c r="B40" s="59" t="s">
        <v>10</v>
      </c>
      <c r="C40" s="43" t="s">
        <v>11</v>
      </c>
      <c r="D40" s="43">
        <v>-1000</v>
      </c>
      <c r="E40" s="44">
        <v>73.239999999999995</v>
      </c>
      <c r="F40" s="1">
        <f t="shared" si="10"/>
        <v>70.33</v>
      </c>
      <c r="G40" s="44">
        <v>-980.00000000000398</v>
      </c>
      <c r="H40" s="45">
        <f t="shared" si="1"/>
        <v>4743.2999999999938</v>
      </c>
      <c r="I40" s="21">
        <f t="shared" si="11"/>
        <v>-12925.899999999963</v>
      </c>
      <c r="J40">
        <f t="shared" si="3"/>
        <v>-1000</v>
      </c>
      <c r="L40">
        <f t="shared" si="4"/>
        <v>-1000</v>
      </c>
      <c r="M40" s="1">
        <f t="shared" si="5"/>
        <v>73.239999999999995</v>
      </c>
      <c r="N40" s="33">
        <f>L40</f>
        <v>-1000</v>
      </c>
      <c r="O40" s="58">
        <f>SUMPRODUCT(L$40:L40,M$40:M40)/N40</f>
        <v>73.239999999999995</v>
      </c>
      <c r="Q40">
        <f t="shared" si="6"/>
        <v>0</v>
      </c>
      <c r="R40" s="1">
        <f t="shared" si="7"/>
        <v>0</v>
      </c>
      <c r="S40" s="33">
        <f>Q40</f>
        <v>0</v>
      </c>
      <c r="T40" s="58" t="e">
        <f>SUMPRODUCT(Q$40:Q40,R$40:R40)/S40</f>
        <v>#DIV/0!</v>
      </c>
    </row>
    <row r="41" spans="1:21" x14ac:dyDescent="0.25">
      <c r="A41" s="11">
        <v>45419</v>
      </c>
      <c r="B41" s="13" t="s">
        <v>10</v>
      </c>
      <c r="C41" s="6" t="s">
        <v>11</v>
      </c>
      <c r="D41" s="6">
        <v>-1000</v>
      </c>
      <c r="E41" s="12">
        <v>73.150000000000006</v>
      </c>
      <c r="F41" s="1">
        <f t="shared" si="10"/>
        <v>70.33</v>
      </c>
      <c r="G41" s="12">
        <v>-1069.9999999999932</v>
      </c>
      <c r="H41" s="10">
        <f t="shared" si="1"/>
        <v>4596.6000000000113</v>
      </c>
      <c r="I41" s="21">
        <f t="shared" si="11"/>
        <v>-8329.299999999952</v>
      </c>
      <c r="J41">
        <f t="shared" si="3"/>
        <v>-2000</v>
      </c>
      <c r="L41">
        <f t="shared" si="4"/>
        <v>-1000</v>
      </c>
      <c r="M41" s="56">
        <f t="shared" si="5"/>
        <v>73.150000000000006</v>
      </c>
      <c r="N41" s="57">
        <f>N40+L41</f>
        <v>-2000</v>
      </c>
      <c r="O41" s="58">
        <f>SUMPRODUCT(L$40:L41,M$40:M41)/N41</f>
        <v>73.194999999999993</v>
      </c>
      <c r="Q41">
        <f t="shared" si="6"/>
        <v>0</v>
      </c>
      <c r="R41" s="56">
        <f t="shared" si="7"/>
        <v>0</v>
      </c>
      <c r="S41" s="57">
        <f>S40+Q41</f>
        <v>0</v>
      </c>
      <c r="T41" s="58" t="e">
        <f>SUMPRODUCT(Q$40:Q41,R$40:R41)/S41</f>
        <v>#DIV/0!</v>
      </c>
    </row>
    <row r="42" spans="1:21" x14ac:dyDescent="0.25">
      <c r="A42" s="8">
        <v>45419</v>
      </c>
      <c r="B42" s="5" t="s">
        <v>10</v>
      </c>
      <c r="C42" s="5" t="s">
        <v>11</v>
      </c>
      <c r="D42" s="5">
        <v>-1000</v>
      </c>
      <c r="E42" s="9">
        <v>73.599999999999994</v>
      </c>
      <c r="F42" s="1">
        <f t="shared" si="10"/>
        <v>70.33</v>
      </c>
      <c r="G42" s="9">
        <v>-620.00000000000455</v>
      </c>
      <c r="H42" s="10">
        <f t="shared" si="1"/>
        <v>5330.0999999999931</v>
      </c>
      <c r="I42" s="21">
        <f t="shared" si="11"/>
        <v>-2999.1999999999589</v>
      </c>
      <c r="J42">
        <f t="shared" si="3"/>
        <v>-3000</v>
      </c>
      <c r="L42">
        <f t="shared" si="4"/>
        <v>-1000</v>
      </c>
      <c r="M42" s="1">
        <f t="shared" si="5"/>
        <v>73.599999999999994</v>
      </c>
      <c r="N42" s="33">
        <f t="shared" si="8"/>
        <v>-3000</v>
      </c>
      <c r="O42" s="58">
        <f>SUMPRODUCT(L$40:L42,M$40:M42)/N42</f>
        <v>73.33</v>
      </c>
      <c r="Q42">
        <f t="shared" si="6"/>
        <v>0</v>
      </c>
      <c r="R42" s="1">
        <f t="shared" si="7"/>
        <v>0</v>
      </c>
      <c r="S42" s="33">
        <f t="shared" si="9"/>
        <v>0</v>
      </c>
      <c r="T42" s="58" t="e">
        <f>SUMPRODUCT(Q$40:Q42,R$40:R42)/S42</f>
        <v>#DIV/0!</v>
      </c>
    </row>
    <row r="43" spans="1:21" x14ac:dyDescent="0.25">
      <c r="A43" s="11">
        <v>45419</v>
      </c>
      <c r="B43" s="6" t="s">
        <v>10</v>
      </c>
      <c r="C43" s="6" t="s">
        <v>12</v>
      </c>
      <c r="D43" s="6">
        <v>1000</v>
      </c>
      <c r="E43" s="12">
        <v>72.459999999999994</v>
      </c>
      <c r="F43" s="1">
        <f t="shared" si="10"/>
        <v>70.33</v>
      </c>
      <c r="G43" s="12">
        <v>1760.000000000005</v>
      </c>
      <c r="H43" s="10">
        <f t="shared" si="1"/>
        <v>-3471.8999999999924</v>
      </c>
      <c r="I43" s="21">
        <f t="shared" si="11"/>
        <v>-6471.0999999999513</v>
      </c>
      <c r="J43">
        <f t="shared" si="3"/>
        <v>-2000</v>
      </c>
      <c r="L43">
        <f t="shared" si="4"/>
        <v>0</v>
      </c>
      <c r="M43" s="1">
        <f t="shared" si="5"/>
        <v>0</v>
      </c>
      <c r="N43" s="33">
        <f t="shared" si="8"/>
        <v>-3000</v>
      </c>
      <c r="O43" s="58">
        <f>SUMPRODUCT(L$40:L43,M$40:M43)/N43</f>
        <v>73.33</v>
      </c>
      <c r="Q43">
        <f t="shared" si="6"/>
        <v>1000</v>
      </c>
      <c r="R43" s="1">
        <f t="shared" si="7"/>
        <v>72.459999999999994</v>
      </c>
      <c r="S43" s="33">
        <f t="shared" si="9"/>
        <v>1000</v>
      </c>
      <c r="T43" s="58">
        <f>SUMPRODUCT(Q$40:Q43,R$40:R43)/S43</f>
        <v>72.459999999999994</v>
      </c>
    </row>
    <row r="44" spans="1:21" x14ac:dyDescent="0.25">
      <c r="A44" s="8">
        <v>45419</v>
      </c>
      <c r="B44" s="5" t="s">
        <v>10</v>
      </c>
      <c r="C44" s="5" t="s">
        <v>12</v>
      </c>
      <c r="D44" s="5">
        <v>1000</v>
      </c>
      <c r="E44" s="9">
        <v>71.739999999999995</v>
      </c>
      <c r="F44" s="1">
        <f t="shared" si="10"/>
        <v>70.33</v>
      </c>
      <c r="G44" s="9">
        <v>2480.0000000000041</v>
      </c>
      <c r="H44" s="10">
        <f t="shared" si="1"/>
        <v>-2298.2999999999943</v>
      </c>
      <c r="I44" s="21">
        <f t="shared" si="11"/>
        <v>-8769.3999999999451</v>
      </c>
      <c r="J44">
        <f t="shared" si="3"/>
        <v>-1000</v>
      </c>
      <c r="L44">
        <f t="shared" si="4"/>
        <v>0</v>
      </c>
      <c r="M44" s="1">
        <f t="shared" si="5"/>
        <v>0</v>
      </c>
      <c r="N44" s="33">
        <f t="shared" si="8"/>
        <v>-3000</v>
      </c>
      <c r="O44" s="58">
        <f>SUMPRODUCT(L$40:L44,M$40:M44)/N44</f>
        <v>73.33</v>
      </c>
      <c r="Q44">
        <f t="shared" si="6"/>
        <v>1000</v>
      </c>
      <c r="R44" s="1">
        <f t="shared" si="7"/>
        <v>71.739999999999995</v>
      </c>
      <c r="S44" s="33">
        <f t="shared" si="9"/>
        <v>2000</v>
      </c>
      <c r="T44" s="58">
        <f>SUMPRODUCT(Q$40:Q44,R$40:R44)/S44</f>
        <v>72.099999999999994</v>
      </c>
    </row>
    <row r="45" spans="1:21" s="52" customFormat="1" ht="15.75" thickBot="1" x14ac:dyDescent="0.3">
      <c r="A45" s="46">
        <v>45419</v>
      </c>
      <c r="B45" s="47" t="s">
        <v>10</v>
      </c>
      <c r="C45" s="47" t="s">
        <v>12</v>
      </c>
      <c r="D45" s="47">
        <v>1000</v>
      </c>
      <c r="E45" s="48">
        <v>71.099999999999994</v>
      </c>
      <c r="F45" s="49">
        <f t="shared" si="10"/>
        <v>70.33</v>
      </c>
      <c r="G45" s="48">
        <v>3120.0000000000045</v>
      </c>
      <c r="H45" s="50">
        <f t="shared" si="1"/>
        <v>-1255.0999999999935</v>
      </c>
      <c r="I45" s="51">
        <f t="shared" si="11"/>
        <v>-10024.499999999938</v>
      </c>
      <c r="J45" s="52">
        <f t="shared" si="3"/>
        <v>0</v>
      </c>
      <c r="L45" s="52">
        <f t="shared" si="4"/>
        <v>0</v>
      </c>
      <c r="M45" s="49">
        <f t="shared" si="5"/>
        <v>0</v>
      </c>
      <c r="N45" s="53">
        <f t="shared" si="8"/>
        <v>-3000</v>
      </c>
      <c r="O45" s="60">
        <f>SUMPRODUCT(L$40:L45,M$40:M45)/N45</f>
        <v>73.33</v>
      </c>
      <c r="Q45" s="52">
        <f t="shared" si="6"/>
        <v>1000</v>
      </c>
      <c r="R45" s="49">
        <f t="shared" si="7"/>
        <v>71.099999999999994</v>
      </c>
      <c r="S45" s="53">
        <f t="shared" si="9"/>
        <v>3000</v>
      </c>
      <c r="T45" s="60">
        <f>SUMPRODUCT(Q$40:Q45,R$40:R45)/S45</f>
        <v>71.766666666666666</v>
      </c>
    </row>
    <row r="46" spans="1:21" x14ac:dyDescent="0.25">
      <c r="A46" s="42">
        <v>45419</v>
      </c>
      <c r="B46" s="43" t="s">
        <v>10</v>
      </c>
      <c r="C46" s="43" t="s">
        <v>11</v>
      </c>
      <c r="D46" s="43">
        <v>-1000</v>
      </c>
      <c r="E46" s="44">
        <v>71.45</v>
      </c>
      <c r="F46" s="1">
        <f t="shared" si="10"/>
        <v>70.33</v>
      </c>
      <c r="G46" s="44">
        <v>-2769.9999999999959</v>
      </c>
      <c r="H46" s="45">
        <f t="shared" si="1"/>
        <v>1825.6000000000072</v>
      </c>
      <c r="I46" s="21">
        <f t="shared" si="11"/>
        <v>-8198.8999999999305</v>
      </c>
      <c r="J46">
        <f t="shared" si="3"/>
        <v>-1000</v>
      </c>
      <c r="L46">
        <f t="shared" si="4"/>
        <v>-1000</v>
      </c>
      <c r="M46" s="1">
        <f t="shared" si="5"/>
        <v>71.45</v>
      </c>
      <c r="N46" s="33">
        <f>L46</f>
        <v>-1000</v>
      </c>
      <c r="O46" s="58">
        <f>SUMPRODUCT(L$46:L46,M$46:M46)/N46</f>
        <v>71.45</v>
      </c>
      <c r="Q46">
        <f t="shared" si="6"/>
        <v>0</v>
      </c>
      <c r="R46" s="1">
        <f t="shared" si="7"/>
        <v>0</v>
      </c>
      <c r="S46" s="33">
        <f>Q46</f>
        <v>0</v>
      </c>
      <c r="T46" s="58" t="e">
        <f>SUMPRODUCT(Q$46:Q46,R$46:R46)/S46</f>
        <v>#DIV/0!</v>
      </c>
    </row>
    <row r="47" spans="1:21" x14ac:dyDescent="0.25">
      <c r="A47" s="11">
        <v>45419</v>
      </c>
      <c r="B47" s="6" t="s">
        <v>10</v>
      </c>
      <c r="C47" s="6" t="s">
        <v>11</v>
      </c>
      <c r="D47" s="6">
        <v>-1000</v>
      </c>
      <c r="E47" s="12">
        <v>72.22</v>
      </c>
      <c r="F47" s="1">
        <f t="shared" si="10"/>
        <v>70.33</v>
      </c>
      <c r="G47" s="12">
        <v>-2000</v>
      </c>
      <c r="H47" s="10">
        <f t="shared" si="1"/>
        <v>3080.7000000000007</v>
      </c>
      <c r="I47" s="21">
        <f t="shared" si="11"/>
        <v>-5118.1999999999298</v>
      </c>
      <c r="J47">
        <f t="shared" si="3"/>
        <v>-2000</v>
      </c>
      <c r="L47">
        <f t="shared" si="4"/>
        <v>-1000</v>
      </c>
      <c r="M47" s="1">
        <f t="shared" si="5"/>
        <v>72.22</v>
      </c>
      <c r="N47" s="33">
        <f t="shared" si="8"/>
        <v>-2000</v>
      </c>
      <c r="O47" s="58">
        <f>SUMPRODUCT(L$46:L47,M$46:M47)/N47</f>
        <v>71.834999999999994</v>
      </c>
      <c r="Q47">
        <f t="shared" si="6"/>
        <v>0</v>
      </c>
      <c r="R47" s="1">
        <f t="shared" si="7"/>
        <v>0</v>
      </c>
      <c r="S47" s="33">
        <f t="shared" si="9"/>
        <v>0</v>
      </c>
      <c r="T47" s="58" t="e">
        <f>SUMPRODUCT(Q$46:Q47,R$46:R47)/S47</f>
        <v>#DIV/0!</v>
      </c>
    </row>
    <row r="48" spans="1:21" x14ac:dyDescent="0.25">
      <c r="A48" s="8">
        <v>45419</v>
      </c>
      <c r="B48" s="5" t="s">
        <v>10</v>
      </c>
      <c r="C48" s="5" t="s">
        <v>12</v>
      </c>
      <c r="D48" s="5">
        <v>1000</v>
      </c>
      <c r="E48" s="9">
        <v>72.28</v>
      </c>
      <c r="F48" s="1">
        <f t="shared" si="10"/>
        <v>70.33</v>
      </c>
      <c r="G48" s="9">
        <v>1939.9999999999977</v>
      </c>
      <c r="H48" s="10">
        <f t="shared" si="1"/>
        <v>-3178.5000000000041</v>
      </c>
      <c r="I48" s="21">
        <f t="shared" si="11"/>
        <v>-8296.6999999999334</v>
      </c>
      <c r="J48">
        <f t="shared" si="3"/>
        <v>-1000</v>
      </c>
      <c r="L48">
        <f t="shared" si="4"/>
        <v>0</v>
      </c>
      <c r="M48" s="1">
        <f t="shared" si="5"/>
        <v>0</v>
      </c>
      <c r="N48" s="33">
        <f t="shared" si="8"/>
        <v>-2000</v>
      </c>
      <c r="O48" s="58">
        <f>SUMPRODUCT(L$46:L48,M$46:M48)/N48</f>
        <v>71.834999999999994</v>
      </c>
      <c r="Q48">
        <f t="shared" si="6"/>
        <v>1000</v>
      </c>
      <c r="R48" s="1">
        <f t="shared" si="7"/>
        <v>72.28</v>
      </c>
      <c r="S48" s="33">
        <f t="shared" si="9"/>
        <v>1000</v>
      </c>
      <c r="T48" s="58">
        <f>SUMPRODUCT(Q$46:Q48,R$46:R48)/S48</f>
        <v>72.28</v>
      </c>
    </row>
    <row r="49" spans="1:20" x14ac:dyDescent="0.25">
      <c r="A49" s="11">
        <v>45420</v>
      </c>
      <c r="B49" s="6" t="s">
        <v>10</v>
      </c>
      <c r="C49" s="6" t="s">
        <v>11</v>
      </c>
      <c r="D49" s="6">
        <v>-1000</v>
      </c>
      <c r="E49" s="12">
        <v>72.23</v>
      </c>
      <c r="F49" s="1">
        <f t="shared" si="10"/>
        <v>70.33</v>
      </c>
      <c r="G49" s="12">
        <v>-1989.999999999995</v>
      </c>
      <c r="H49" s="10">
        <f t="shared" si="1"/>
        <v>3097.0000000000091</v>
      </c>
      <c r="I49" s="21">
        <f t="shared" si="11"/>
        <v>-5199.6999999999243</v>
      </c>
      <c r="J49">
        <f t="shared" si="3"/>
        <v>-2000</v>
      </c>
      <c r="L49">
        <f t="shared" si="4"/>
        <v>-1000</v>
      </c>
      <c r="M49" s="1">
        <f t="shared" si="5"/>
        <v>72.23</v>
      </c>
      <c r="N49" s="33">
        <f t="shared" si="8"/>
        <v>-3000</v>
      </c>
      <c r="O49" s="58">
        <f>SUMPRODUCT(L$46:L49,M$46:M49)/N49</f>
        <v>71.966666666666669</v>
      </c>
      <c r="Q49">
        <f t="shared" si="6"/>
        <v>0</v>
      </c>
      <c r="R49" s="1">
        <f t="shared" si="7"/>
        <v>0</v>
      </c>
      <c r="S49" s="33">
        <f t="shared" si="9"/>
        <v>1000</v>
      </c>
      <c r="T49" s="58">
        <f>SUMPRODUCT(Q$46:Q49,R$46:R49)/S49</f>
        <v>72.28</v>
      </c>
    </row>
    <row r="50" spans="1:20" x14ac:dyDescent="0.25">
      <c r="A50" s="8">
        <v>45420</v>
      </c>
      <c r="B50" s="5" t="s">
        <v>10</v>
      </c>
      <c r="C50" s="5" t="s">
        <v>11</v>
      </c>
      <c r="D50" s="5">
        <v>-1000</v>
      </c>
      <c r="E50" s="9">
        <v>71.23</v>
      </c>
      <c r="F50" s="1">
        <f t="shared" si="10"/>
        <v>70.33</v>
      </c>
      <c r="G50" s="9">
        <v>-2989.999999999995</v>
      </c>
      <c r="H50" s="10">
        <f t="shared" si="1"/>
        <v>1467.0000000000091</v>
      </c>
      <c r="I50" s="21">
        <f t="shared" si="11"/>
        <v>-3732.6999999999152</v>
      </c>
      <c r="J50">
        <f t="shared" si="3"/>
        <v>-3000</v>
      </c>
      <c r="L50">
        <f t="shared" si="4"/>
        <v>-1000</v>
      </c>
      <c r="M50" s="1">
        <f t="shared" si="5"/>
        <v>71.23</v>
      </c>
      <c r="N50" s="33">
        <f t="shared" si="8"/>
        <v>-4000</v>
      </c>
      <c r="O50" s="58">
        <f>SUMPRODUCT(L$46:L50,M$46:M50)/N50</f>
        <v>71.782499999999999</v>
      </c>
      <c r="Q50">
        <f t="shared" si="6"/>
        <v>0</v>
      </c>
      <c r="R50" s="1">
        <f t="shared" si="7"/>
        <v>0</v>
      </c>
      <c r="S50" s="33">
        <f t="shared" si="9"/>
        <v>1000</v>
      </c>
      <c r="T50" s="58">
        <f>SUMPRODUCT(Q$46:Q50,R$46:R50)/S50</f>
        <v>72.28</v>
      </c>
    </row>
    <row r="51" spans="1:20" x14ac:dyDescent="0.25">
      <c r="A51" s="11">
        <v>45420</v>
      </c>
      <c r="B51" s="6" t="s">
        <v>10</v>
      </c>
      <c r="C51" s="6" t="s">
        <v>11</v>
      </c>
      <c r="D51" s="6">
        <v>-1000</v>
      </c>
      <c r="E51" s="12">
        <v>70.89</v>
      </c>
      <c r="F51" s="1">
        <f t="shared" si="10"/>
        <v>70.33</v>
      </c>
      <c r="G51" s="12">
        <v>-3329.9999999999982</v>
      </c>
      <c r="H51" s="10">
        <f t="shared" si="1"/>
        <v>912.80000000000359</v>
      </c>
      <c r="I51" s="21">
        <f t="shared" si="11"/>
        <v>-2819.8999999999114</v>
      </c>
      <c r="J51">
        <f t="shared" si="3"/>
        <v>-4000</v>
      </c>
      <c r="L51">
        <f t="shared" si="4"/>
        <v>-1000</v>
      </c>
      <c r="M51" s="1">
        <f t="shared" si="5"/>
        <v>70.89</v>
      </c>
      <c r="N51" s="33">
        <f t="shared" si="8"/>
        <v>-5000</v>
      </c>
      <c r="O51" s="58">
        <f>SUMPRODUCT(L$46:L51,M$46:M51)/N51</f>
        <v>71.603999999999999</v>
      </c>
      <c r="Q51">
        <f t="shared" si="6"/>
        <v>0</v>
      </c>
      <c r="R51" s="1">
        <f t="shared" si="7"/>
        <v>0</v>
      </c>
      <c r="S51" s="33">
        <f t="shared" si="9"/>
        <v>1000</v>
      </c>
      <c r="T51" s="58">
        <f>SUMPRODUCT(Q$46:Q51,R$46:R51)/S51</f>
        <v>72.28</v>
      </c>
    </row>
    <row r="52" spans="1:20" x14ac:dyDescent="0.25">
      <c r="A52" s="8">
        <v>45422</v>
      </c>
      <c r="B52" s="5" t="s">
        <v>10</v>
      </c>
      <c r="C52" s="5" t="s">
        <v>12</v>
      </c>
      <c r="D52" s="5">
        <v>2000</v>
      </c>
      <c r="E52" s="9">
        <v>74.459999999999994</v>
      </c>
      <c r="F52" s="1">
        <f t="shared" si="10"/>
        <v>70.33</v>
      </c>
      <c r="G52" s="9">
        <v>-479.99999999998977</v>
      </c>
      <c r="H52" s="10">
        <f t="shared" si="1"/>
        <v>-13463.799999999985</v>
      </c>
      <c r="I52" s="21">
        <f t="shared" si="11"/>
        <v>-16283.699999999895</v>
      </c>
      <c r="J52">
        <f t="shared" si="3"/>
        <v>-2000</v>
      </c>
      <c r="L52">
        <f t="shared" si="4"/>
        <v>0</v>
      </c>
      <c r="M52" s="1">
        <f t="shared" si="5"/>
        <v>0</v>
      </c>
      <c r="N52" s="33">
        <f t="shared" si="8"/>
        <v>-5000</v>
      </c>
      <c r="O52" s="58">
        <f>SUMPRODUCT(L$46:L52,M$46:M52)/N52</f>
        <v>71.603999999999999</v>
      </c>
      <c r="Q52">
        <f t="shared" si="6"/>
        <v>2000</v>
      </c>
      <c r="R52" s="1">
        <f t="shared" si="7"/>
        <v>74.459999999999994</v>
      </c>
      <c r="S52" s="33">
        <f t="shared" si="9"/>
        <v>3000</v>
      </c>
      <c r="T52" s="58">
        <f>SUMPRODUCT(Q$46:Q52,R$46:R52)/S52</f>
        <v>73.733333333333334</v>
      </c>
    </row>
    <row r="53" spans="1:20" x14ac:dyDescent="0.25">
      <c r="A53" s="11">
        <v>45422</v>
      </c>
      <c r="B53" s="6" t="s">
        <v>10</v>
      </c>
      <c r="C53" s="6" t="s">
        <v>11</v>
      </c>
      <c r="D53" s="6">
        <v>-1000</v>
      </c>
      <c r="E53" s="12">
        <v>72.59</v>
      </c>
      <c r="F53" s="1">
        <f t="shared" si="10"/>
        <v>70.33</v>
      </c>
      <c r="G53" s="12">
        <v>-1629.9999999999955</v>
      </c>
      <c r="H53" s="10">
        <f t="shared" si="1"/>
        <v>3683.8000000000079</v>
      </c>
      <c r="I53" s="21">
        <f t="shared" si="11"/>
        <v>-12599.899999999887</v>
      </c>
      <c r="J53">
        <f t="shared" si="3"/>
        <v>-3000</v>
      </c>
      <c r="L53">
        <f t="shared" si="4"/>
        <v>-1000</v>
      </c>
      <c r="M53" s="1">
        <f t="shared" si="5"/>
        <v>72.59</v>
      </c>
      <c r="N53" s="33">
        <f t="shared" si="8"/>
        <v>-6000</v>
      </c>
      <c r="O53" s="58">
        <f>SUMPRODUCT(L$46:L53,M$46:M53)/N53</f>
        <v>71.768333333333331</v>
      </c>
      <c r="Q53">
        <f t="shared" si="6"/>
        <v>0</v>
      </c>
      <c r="R53" s="1">
        <f t="shared" si="7"/>
        <v>0</v>
      </c>
      <c r="S53" s="33">
        <f t="shared" si="9"/>
        <v>3000</v>
      </c>
      <c r="T53" s="58">
        <f>SUMPRODUCT(Q$46:Q53,R$46:R53)/S53</f>
        <v>73.733333333333334</v>
      </c>
    </row>
    <row r="54" spans="1:20" x14ac:dyDescent="0.25">
      <c r="A54" s="8">
        <v>45422</v>
      </c>
      <c r="B54" s="5" t="s">
        <v>10</v>
      </c>
      <c r="C54" s="5" t="s">
        <v>11</v>
      </c>
      <c r="D54" s="5">
        <v>-1000</v>
      </c>
      <c r="E54" s="9">
        <v>72.58</v>
      </c>
      <c r="F54" s="1">
        <f t="shared" si="10"/>
        <v>70.33</v>
      </c>
      <c r="G54" s="9">
        <v>-1640.0000000000005</v>
      </c>
      <c r="H54" s="10">
        <f t="shared" si="1"/>
        <v>3667.4999999999995</v>
      </c>
      <c r="I54" s="21">
        <f t="shared" si="11"/>
        <v>-8932.3999999998869</v>
      </c>
      <c r="J54">
        <f t="shared" si="3"/>
        <v>-4000</v>
      </c>
      <c r="L54">
        <f t="shared" si="4"/>
        <v>-1000</v>
      </c>
      <c r="M54" s="1">
        <f t="shared" si="5"/>
        <v>72.58</v>
      </c>
      <c r="N54" s="33">
        <f t="shared" si="8"/>
        <v>-7000</v>
      </c>
      <c r="O54" s="58">
        <f>SUMPRODUCT(L$46:L54,M$46:M54)/N54</f>
        <v>71.88428571428571</v>
      </c>
      <c r="Q54">
        <f t="shared" si="6"/>
        <v>0</v>
      </c>
      <c r="R54" s="1">
        <f t="shared" si="7"/>
        <v>0</v>
      </c>
      <c r="S54" s="33">
        <f t="shared" si="9"/>
        <v>3000</v>
      </c>
      <c r="T54" s="58">
        <f>SUMPRODUCT(Q$46:Q54,R$46:R54)/S54</f>
        <v>73.733333333333334</v>
      </c>
    </row>
    <row r="55" spans="1:20" x14ac:dyDescent="0.25">
      <c r="A55" s="11">
        <v>45425</v>
      </c>
      <c r="B55" s="6" t="s">
        <v>10</v>
      </c>
      <c r="C55" s="6" t="s">
        <v>12</v>
      </c>
      <c r="D55" s="6">
        <v>1000</v>
      </c>
      <c r="E55" s="12">
        <v>70.790000000000006</v>
      </c>
      <c r="F55" s="1">
        <f t="shared" si="10"/>
        <v>70.33</v>
      </c>
      <c r="G55" s="12">
        <v>3429.9999999999927</v>
      </c>
      <c r="H55" s="10">
        <f t="shared" si="1"/>
        <v>-749.80000000001291</v>
      </c>
      <c r="I55" s="21">
        <f t="shared" si="11"/>
        <v>-9682.1999999998989</v>
      </c>
      <c r="J55">
        <f t="shared" si="3"/>
        <v>-3000</v>
      </c>
      <c r="L55">
        <f t="shared" si="4"/>
        <v>0</v>
      </c>
      <c r="M55" s="1">
        <f t="shared" si="5"/>
        <v>0</v>
      </c>
      <c r="N55" s="33">
        <f t="shared" si="8"/>
        <v>-7000</v>
      </c>
      <c r="O55" s="58">
        <f>SUMPRODUCT(L$46:L55,M$46:M55)/N55</f>
        <v>71.88428571428571</v>
      </c>
      <c r="Q55">
        <f t="shared" si="6"/>
        <v>1000</v>
      </c>
      <c r="R55" s="1">
        <f t="shared" si="7"/>
        <v>70.790000000000006</v>
      </c>
      <c r="S55" s="33">
        <f t="shared" si="9"/>
        <v>4000</v>
      </c>
      <c r="T55" s="58">
        <f>SUMPRODUCT(Q$46:Q55,R$46:R55)/S55</f>
        <v>72.997500000000002</v>
      </c>
    </row>
    <row r="56" spans="1:20" x14ac:dyDescent="0.25">
      <c r="A56" s="8">
        <v>45425</v>
      </c>
      <c r="B56" s="5" t="s">
        <v>10</v>
      </c>
      <c r="C56" s="5" t="s">
        <v>12</v>
      </c>
      <c r="D56" s="5">
        <v>1000</v>
      </c>
      <c r="E56" s="9">
        <v>71.14</v>
      </c>
      <c r="F56" s="1">
        <f t="shared" si="10"/>
        <v>70.33</v>
      </c>
      <c r="G56" s="9">
        <v>3079.9999999999982</v>
      </c>
      <c r="H56" s="10">
        <f t="shared" si="1"/>
        <v>-1320.3000000000036</v>
      </c>
      <c r="I56" s="21">
        <f t="shared" si="11"/>
        <v>-11002.499999999902</v>
      </c>
      <c r="J56">
        <f t="shared" si="3"/>
        <v>-2000</v>
      </c>
      <c r="L56">
        <f t="shared" si="4"/>
        <v>0</v>
      </c>
      <c r="M56" s="1">
        <f t="shared" si="5"/>
        <v>0</v>
      </c>
      <c r="N56" s="33">
        <f t="shared" si="8"/>
        <v>-7000</v>
      </c>
      <c r="O56" s="58">
        <f>SUMPRODUCT(L$46:L56,M$46:M56)/N56</f>
        <v>71.88428571428571</v>
      </c>
      <c r="Q56">
        <f t="shared" si="6"/>
        <v>1000</v>
      </c>
      <c r="R56" s="1">
        <f t="shared" si="7"/>
        <v>71.14</v>
      </c>
      <c r="S56" s="33">
        <f t="shared" si="9"/>
        <v>5000</v>
      </c>
      <c r="T56" s="58">
        <f>SUMPRODUCT(Q$46:Q56,R$46:R56)/S56</f>
        <v>72.626000000000005</v>
      </c>
    </row>
    <row r="57" spans="1:20" x14ac:dyDescent="0.25">
      <c r="A57" s="11">
        <v>45425</v>
      </c>
      <c r="B57" s="6" t="s">
        <v>10</v>
      </c>
      <c r="C57" s="6" t="s">
        <v>11</v>
      </c>
      <c r="D57" s="6">
        <v>-1000</v>
      </c>
      <c r="E57" s="12">
        <v>71</v>
      </c>
      <c r="F57" s="1">
        <f t="shared" si="10"/>
        <v>70.33</v>
      </c>
      <c r="G57" s="12">
        <v>-3219.9999999999991</v>
      </c>
      <c r="H57" s="10">
        <f t="shared" si="1"/>
        <v>1092.1000000000026</v>
      </c>
      <c r="I57" s="21">
        <f t="shared" si="11"/>
        <v>-9910.3999999998996</v>
      </c>
      <c r="J57">
        <f t="shared" si="3"/>
        <v>-3000</v>
      </c>
      <c r="L57">
        <f t="shared" si="4"/>
        <v>-1000</v>
      </c>
      <c r="M57" s="1">
        <f t="shared" si="5"/>
        <v>71</v>
      </c>
      <c r="N57" s="33">
        <f t="shared" si="8"/>
        <v>-8000</v>
      </c>
      <c r="O57" s="58">
        <f>SUMPRODUCT(L$46:L57,M$46:M57)/N57</f>
        <v>71.773750000000007</v>
      </c>
      <c r="Q57">
        <f t="shared" si="6"/>
        <v>0</v>
      </c>
      <c r="R57" s="1">
        <f t="shared" si="7"/>
        <v>0</v>
      </c>
      <c r="S57" s="33">
        <f t="shared" si="9"/>
        <v>5000</v>
      </c>
      <c r="T57" s="58">
        <f>SUMPRODUCT(Q$46:Q57,R$46:R57)/S57</f>
        <v>72.626000000000005</v>
      </c>
    </row>
    <row r="58" spans="1:20" x14ac:dyDescent="0.25">
      <c r="A58" s="8">
        <v>45425</v>
      </c>
      <c r="B58" s="5" t="s">
        <v>10</v>
      </c>
      <c r="C58" s="5" t="s">
        <v>11</v>
      </c>
      <c r="D58" s="5">
        <v>-1000</v>
      </c>
      <c r="E58" s="9">
        <v>70.52</v>
      </c>
      <c r="F58" s="1">
        <f t="shared" si="10"/>
        <v>70.33</v>
      </c>
      <c r="G58" s="9">
        <v>-3700.0000000000027</v>
      </c>
      <c r="H58" s="10">
        <f t="shared" si="1"/>
        <v>309.69999999999629</v>
      </c>
      <c r="I58" s="21">
        <f t="shared" si="11"/>
        <v>-9600.6999999999025</v>
      </c>
      <c r="J58">
        <f t="shared" si="3"/>
        <v>-4000</v>
      </c>
      <c r="L58">
        <f t="shared" si="4"/>
        <v>-1000</v>
      </c>
      <c r="M58" s="1">
        <f t="shared" si="5"/>
        <v>70.52</v>
      </c>
      <c r="N58" s="33">
        <f t="shared" si="8"/>
        <v>-9000</v>
      </c>
      <c r="O58" s="58">
        <f>SUMPRODUCT(L$46:L58,M$46:M58)/N58</f>
        <v>71.634444444444441</v>
      </c>
      <c r="Q58">
        <f t="shared" si="6"/>
        <v>0</v>
      </c>
      <c r="R58" s="1">
        <f t="shared" si="7"/>
        <v>0</v>
      </c>
      <c r="S58" s="33">
        <f t="shared" si="9"/>
        <v>5000</v>
      </c>
      <c r="T58" s="58">
        <f>SUMPRODUCT(Q$46:Q58,R$46:R58)/S58</f>
        <v>72.626000000000005</v>
      </c>
    </row>
    <row r="59" spans="1:20" x14ac:dyDescent="0.25">
      <c r="A59" s="11">
        <v>45425</v>
      </c>
      <c r="B59" s="6" t="s">
        <v>10</v>
      </c>
      <c r="C59" s="6" t="s">
        <v>11</v>
      </c>
      <c r="D59" s="6">
        <v>-1000</v>
      </c>
      <c r="E59" s="12">
        <v>69.63</v>
      </c>
      <c r="F59" s="1">
        <f t="shared" si="10"/>
        <v>70.33</v>
      </c>
      <c r="G59" s="12">
        <v>-4590.0000000000036</v>
      </c>
      <c r="H59" s="10">
        <f t="shared" si="1"/>
        <v>-1141.0000000000045</v>
      </c>
      <c r="I59" s="21">
        <f t="shared" si="11"/>
        <v>-10741.699999999906</v>
      </c>
      <c r="J59">
        <f t="shared" si="3"/>
        <v>-5000</v>
      </c>
      <c r="L59">
        <f t="shared" si="4"/>
        <v>-1000</v>
      </c>
      <c r="M59" s="1">
        <f t="shared" si="5"/>
        <v>69.63</v>
      </c>
      <c r="N59" s="33">
        <f t="shared" si="8"/>
        <v>-10000</v>
      </c>
      <c r="O59" s="58">
        <f>SUMPRODUCT(L$46:L59,M$46:M59)/N59</f>
        <v>71.433999999999997</v>
      </c>
      <c r="Q59">
        <f t="shared" si="6"/>
        <v>0</v>
      </c>
      <c r="R59" s="1">
        <f t="shared" si="7"/>
        <v>0</v>
      </c>
      <c r="S59" s="33">
        <f t="shared" si="9"/>
        <v>5000</v>
      </c>
      <c r="T59" s="58">
        <f>SUMPRODUCT(Q$46:Q59,R$46:R59)/S59</f>
        <v>72.626000000000005</v>
      </c>
    </row>
    <row r="60" spans="1:20" x14ac:dyDescent="0.25">
      <c r="A60" s="8">
        <v>45425</v>
      </c>
      <c r="B60" s="5" t="s">
        <v>10</v>
      </c>
      <c r="C60" s="5" t="s">
        <v>11</v>
      </c>
      <c r="D60" s="5">
        <v>-1000</v>
      </c>
      <c r="E60" s="9">
        <v>68.78</v>
      </c>
      <c r="F60" s="1">
        <f t="shared" si="10"/>
        <v>70.33</v>
      </c>
      <c r="G60" s="9">
        <v>-5439.9999999999982</v>
      </c>
      <c r="H60" s="10">
        <f t="shared" si="1"/>
        <v>-2526.4999999999955</v>
      </c>
      <c r="I60" s="21">
        <f t="shared" si="11"/>
        <v>-13268.199999999903</v>
      </c>
      <c r="J60">
        <f t="shared" si="3"/>
        <v>-6000</v>
      </c>
      <c r="L60">
        <f t="shared" si="4"/>
        <v>-1000</v>
      </c>
      <c r="M60" s="1">
        <f t="shared" si="5"/>
        <v>68.78</v>
      </c>
      <c r="N60" s="33">
        <f t="shared" si="8"/>
        <v>-11000</v>
      </c>
      <c r="O60" s="58">
        <f>SUMPRODUCT(L$46:L60,M$46:M60)/N60</f>
        <v>71.192727272727268</v>
      </c>
      <c r="Q60">
        <f t="shared" si="6"/>
        <v>0</v>
      </c>
      <c r="R60" s="1">
        <f t="shared" si="7"/>
        <v>0</v>
      </c>
      <c r="S60" s="33">
        <f t="shared" si="9"/>
        <v>5000</v>
      </c>
      <c r="T60" s="58">
        <f>SUMPRODUCT(Q$46:Q60,R$46:R60)/S60</f>
        <v>72.626000000000005</v>
      </c>
    </row>
    <row r="61" spans="1:20" x14ac:dyDescent="0.25">
      <c r="A61" s="14">
        <v>45426</v>
      </c>
      <c r="B61" s="7" t="s">
        <v>10</v>
      </c>
      <c r="C61" s="7" t="s">
        <v>11</v>
      </c>
      <c r="D61" s="7">
        <v>-1000</v>
      </c>
      <c r="E61" s="15">
        <v>70.92</v>
      </c>
      <c r="F61" s="1">
        <f t="shared" si="10"/>
        <v>70.33</v>
      </c>
      <c r="G61" s="15">
        <v>-3299.9999999999973</v>
      </c>
      <c r="H61" s="10">
        <f t="shared" si="1"/>
        <v>961.7000000000055</v>
      </c>
      <c r="I61" s="21">
        <f t="shared" si="11"/>
        <v>-12306.499999999896</v>
      </c>
      <c r="J61">
        <f t="shared" si="3"/>
        <v>-7000</v>
      </c>
      <c r="L61">
        <f t="shared" si="4"/>
        <v>-1000</v>
      </c>
      <c r="M61" s="1">
        <f t="shared" si="5"/>
        <v>70.92</v>
      </c>
      <c r="N61" s="33">
        <f t="shared" si="8"/>
        <v>-12000</v>
      </c>
      <c r="O61" s="58">
        <f>SUMPRODUCT(L$46:L61,M$46:M61)/N61</f>
        <v>71.17</v>
      </c>
      <c r="Q61">
        <f t="shared" si="6"/>
        <v>0</v>
      </c>
      <c r="R61" s="1">
        <f t="shared" si="7"/>
        <v>0</v>
      </c>
      <c r="S61" s="33">
        <f t="shared" si="9"/>
        <v>5000</v>
      </c>
      <c r="T61" s="58">
        <f>SUMPRODUCT(Q$46:Q61,R$46:R61)/S61</f>
        <v>72.626000000000005</v>
      </c>
    </row>
    <row r="62" spans="1:20" x14ac:dyDescent="0.25">
      <c r="A62" s="14">
        <v>45439</v>
      </c>
      <c r="B62" s="7" t="s">
        <v>10</v>
      </c>
      <c r="C62" s="7" t="s">
        <v>12</v>
      </c>
      <c r="D62" s="7">
        <v>1000</v>
      </c>
      <c r="E62" s="15">
        <v>76.010000000000005</v>
      </c>
      <c r="F62" s="1">
        <f t="shared" si="10"/>
        <v>70.33</v>
      </c>
      <c r="G62" s="15">
        <v>-3299.9999999999973</v>
      </c>
      <c r="H62" s="10">
        <f>(F62-E62)*D62*1.63</f>
        <v>-9258.4000000000106</v>
      </c>
      <c r="I62" s="21">
        <f>I61+H62</f>
        <v>-21564.899999999907</v>
      </c>
      <c r="J62">
        <f t="shared" si="3"/>
        <v>-6000</v>
      </c>
      <c r="L62">
        <f t="shared" si="4"/>
        <v>0</v>
      </c>
      <c r="M62" s="1">
        <f t="shared" si="5"/>
        <v>0</v>
      </c>
      <c r="N62" s="33">
        <f t="shared" si="8"/>
        <v>-12000</v>
      </c>
      <c r="O62" s="58">
        <f>SUMPRODUCT(L$46:L62,M$46:M62)/N62</f>
        <v>71.17</v>
      </c>
      <c r="P62" s="33"/>
      <c r="Q62">
        <f t="shared" si="6"/>
        <v>1000</v>
      </c>
      <c r="R62" s="1">
        <f t="shared" si="7"/>
        <v>76.010000000000005</v>
      </c>
      <c r="S62" s="33">
        <f t="shared" si="9"/>
        <v>6000</v>
      </c>
      <c r="T62" s="58">
        <f>SUMPRODUCT(Q$46:Q62,R$46:R62)/S62</f>
        <v>73.19</v>
      </c>
    </row>
    <row r="63" spans="1:20" x14ac:dyDescent="0.25">
      <c r="A63" s="14">
        <v>45439</v>
      </c>
      <c r="B63" s="7" t="s">
        <v>10</v>
      </c>
      <c r="C63" s="7" t="s">
        <v>12</v>
      </c>
      <c r="D63" s="7">
        <v>1000</v>
      </c>
      <c r="E63" s="15">
        <v>76.02</v>
      </c>
      <c r="F63" s="1">
        <f t="shared" si="10"/>
        <v>70.33</v>
      </c>
      <c r="G63" s="15">
        <v>-3299.9999999999973</v>
      </c>
      <c r="H63" s="10">
        <f>(F63-E63)*D63*1.63</f>
        <v>-9274.6999999999971</v>
      </c>
      <c r="I63" s="21">
        <f>I62+H63</f>
        <v>-30839.599999999904</v>
      </c>
      <c r="J63">
        <f t="shared" si="3"/>
        <v>-5000</v>
      </c>
      <c r="L63">
        <f t="shared" si="4"/>
        <v>0</v>
      </c>
      <c r="M63" s="1">
        <f t="shared" si="5"/>
        <v>0</v>
      </c>
      <c r="N63" s="33">
        <f t="shared" si="8"/>
        <v>-12000</v>
      </c>
      <c r="O63" s="58">
        <f>SUMPRODUCT(L$46:L63,M$46:M63)/N63</f>
        <v>71.17</v>
      </c>
      <c r="P63" s="33"/>
      <c r="Q63">
        <f t="shared" si="6"/>
        <v>1000</v>
      </c>
      <c r="R63" s="1">
        <f t="shared" si="7"/>
        <v>76.02</v>
      </c>
      <c r="S63" s="33">
        <f t="shared" si="9"/>
        <v>7000</v>
      </c>
      <c r="T63" s="58">
        <f>SUMPRODUCT(Q$46:Q63,R$46:R63)/S63</f>
        <v>73.594285714285718</v>
      </c>
    </row>
    <row r="64" spans="1:20" x14ac:dyDescent="0.25">
      <c r="A64" s="37">
        <v>45446</v>
      </c>
      <c r="B64" s="7" t="s">
        <v>10</v>
      </c>
      <c r="C64" s="7" t="s">
        <v>12</v>
      </c>
      <c r="D64" s="7">
        <v>1000</v>
      </c>
      <c r="E64" s="15">
        <v>75.84</v>
      </c>
      <c r="F64" s="1">
        <f t="shared" si="10"/>
        <v>70.33</v>
      </c>
      <c r="G64" s="15">
        <v>-3299.9999999999973</v>
      </c>
      <c r="H64" s="10">
        <f>(F64-E64)*D64*1.63</f>
        <v>-8981.3000000000084</v>
      </c>
      <c r="I64" s="21">
        <f>I63+H64</f>
        <v>-39820.899999999914</v>
      </c>
      <c r="J64">
        <f t="shared" si="3"/>
        <v>-4000</v>
      </c>
      <c r="L64">
        <f t="shared" si="4"/>
        <v>0</v>
      </c>
      <c r="M64" s="1">
        <f t="shared" si="5"/>
        <v>0</v>
      </c>
      <c r="N64" s="33">
        <f t="shared" si="8"/>
        <v>-12000</v>
      </c>
      <c r="O64" s="58">
        <f>SUMPRODUCT(L$46:L64,M$46:M64)/N64</f>
        <v>71.17</v>
      </c>
      <c r="P64" s="33"/>
      <c r="Q64">
        <f t="shared" si="6"/>
        <v>1000</v>
      </c>
      <c r="R64" s="1">
        <f t="shared" si="7"/>
        <v>75.84</v>
      </c>
      <c r="S64" s="33">
        <f t="shared" si="9"/>
        <v>8000</v>
      </c>
      <c r="T64" s="58">
        <f>SUMPRODUCT(Q$46:Q64,R$46:R64)/S64</f>
        <v>73.875</v>
      </c>
    </row>
    <row r="65" spans="1:20" x14ac:dyDescent="0.25">
      <c r="A65" s="37">
        <v>45447</v>
      </c>
      <c r="B65" s="7" t="s">
        <v>10</v>
      </c>
      <c r="C65" s="7" t="s">
        <v>11</v>
      </c>
      <c r="D65" s="7">
        <v>-1000</v>
      </c>
      <c r="E65" s="15">
        <v>73.83</v>
      </c>
      <c r="F65" s="1">
        <f t="shared" si="10"/>
        <v>70.33</v>
      </c>
      <c r="G65" s="15">
        <v>-3299.9999999999973</v>
      </c>
      <c r="H65" s="10">
        <f>(F65-E65)*D65*1.63</f>
        <v>5705</v>
      </c>
      <c r="I65" s="21">
        <f>I64+H65</f>
        <v>-34115.899999999914</v>
      </c>
      <c r="J65">
        <f t="shared" si="3"/>
        <v>-5000</v>
      </c>
      <c r="L65">
        <f t="shared" si="4"/>
        <v>-1000</v>
      </c>
      <c r="M65" s="1">
        <f t="shared" si="5"/>
        <v>73.83</v>
      </c>
      <c r="N65" s="33">
        <f t="shared" si="8"/>
        <v>-13000</v>
      </c>
      <c r="O65" s="58">
        <f>SUMPRODUCT(L$46:L65,M$46:M65)/N65</f>
        <v>71.374615384615382</v>
      </c>
      <c r="Q65">
        <f t="shared" si="6"/>
        <v>0</v>
      </c>
      <c r="R65" s="1">
        <f t="shared" si="7"/>
        <v>0</v>
      </c>
      <c r="S65" s="33">
        <f t="shared" si="9"/>
        <v>8000</v>
      </c>
      <c r="T65" s="58">
        <f>SUMPRODUCT(Q$46:Q65,R$46:R65)/S65</f>
        <v>73.875</v>
      </c>
    </row>
    <row r="66" spans="1:20" x14ac:dyDescent="0.25">
      <c r="A66" s="37">
        <v>45450</v>
      </c>
      <c r="B66" s="7" t="s">
        <v>10</v>
      </c>
      <c r="C66" s="7" t="s">
        <v>11</v>
      </c>
      <c r="D66" s="7">
        <v>-1000</v>
      </c>
      <c r="E66" s="15">
        <v>71.53</v>
      </c>
      <c r="F66" s="1">
        <f t="shared" si="10"/>
        <v>70.33</v>
      </c>
      <c r="G66" s="15">
        <v>-3299.9999999999973</v>
      </c>
      <c r="H66" s="10">
        <f>(F66-E66)*D66*1.63</f>
        <v>1956.0000000000043</v>
      </c>
      <c r="I66" s="21">
        <f>I65+H66</f>
        <v>-32159.899999999911</v>
      </c>
      <c r="J66">
        <f t="shared" si="3"/>
        <v>-6000</v>
      </c>
      <c r="L66">
        <f t="shared" si="4"/>
        <v>-1000</v>
      </c>
      <c r="M66" s="1">
        <f t="shared" si="5"/>
        <v>71.53</v>
      </c>
      <c r="N66" s="33">
        <f t="shared" si="8"/>
        <v>-14000</v>
      </c>
      <c r="O66" s="58">
        <f>SUMPRODUCT(L$46:L66,M$46:M66)/N66</f>
        <v>71.385714285714286</v>
      </c>
      <c r="Q66">
        <f t="shared" si="6"/>
        <v>0</v>
      </c>
      <c r="R66" s="1">
        <f t="shared" si="7"/>
        <v>0</v>
      </c>
      <c r="S66" s="33">
        <f t="shared" si="9"/>
        <v>8000</v>
      </c>
      <c r="T66" s="58">
        <f>SUMPRODUCT(Q$46:Q66,R$46:R66)/S66</f>
        <v>73.875</v>
      </c>
    </row>
    <row r="67" spans="1:20" x14ac:dyDescent="0.25">
      <c r="A67" s="37">
        <v>45462</v>
      </c>
      <c r="B67" s="7" t="s">
        <v>10</v>
      </c>
      <c r="C67" s="7" t="s">
        <v>12</v>
      </c>
      <c r="D67" s="7">
        <v>5000</v>
      </c>
      <c r="E67" s="15">
        <v>69.16</v>
      </c>
      <c r="F67" s="1">
        <f t="shared" si="10"/>
        <v>70.33</v>
      </c>
      <c r="G67" s="15">
        <v>-3299.9999999999973</v>
      </c>
      <c r="H67" s="10">
        <f>(F67-E67)*D67*1.63</f>
        <v>9535.5000000000127</v>
      </c>
      <c r="I67" s="21">
        <f>I66+H67</f>
        <v>-22624.3999999999</v>
      </c>
      <c r="J67">
        <f t="shared" ref="J67" si="12">J66+D67</f>
        <v>-1000</v>
      </c>
      <c r="L67">
        <f t="shared" si="4"/>
        <v>0</v>
      </c>
      <c r="M67" s="1">
        <f t="shared" si="5"/>
        <v>0</v>
      </c>
      <c r="N67" s="33">
        <f t="shared" ref="N67" si="13">N66+L67</f>
        <v>-14000</v>
      </c>
      <c r="O67" s="58">
        <f>SUMPRODUCT(L$46:L67,M$46:M67)/N67</f>
        <v>71.385714285714286</v>
      </c>
      <c r="Q67">
        <f t="shared" si="6"/>
        <v>5000</v>
      </c>
      <c r="R67" s="1">
        <f t="shared" si="7"/>
        <v>69.16</v>
      </c>
      <c r="S67" s="33">
        <f t="shared" ref="S67" si="14">S66+Q67</f>
        <v>13000</v>
      </c>
      <c r="T67" s="58">
        <f>SUMPRODUCT(Q$46:Q67,R$46:R67)/S67</f>
        <v>72.061538461538461</v>
      </c>
    </row>
  </sheetData>
  <conditionalFormatting sqref="G2:H66">
    <cfRule type="cellIs" dxfId="6" priority="4" operator="lessThan">
      <formula>0</formula>
    </cfRule>
  </conditionalFormatting>
  <conditionalFormatting sqref="J2:J67">
    <cfRule type="cellIs" dxfId="5" priority="3" operator="equal">
      <formula>0</formula>
    </cfRule>
  </conditionalFormatting>
  <conditionalFormatting sqref="G67:H67">
    <cfRule type="cellIs" dxfId="4" priority="2" operator="lessThan">
      <formula>0</formula>
    </cfRule>
  </conditionalFormatting>
  <conditionalFormatting sqref="I2:I67">
    <cfRule type="cellIs" dxfId="0" priority="1" operator="lessThan">
      <formula>0</formula>
    </cfRule>
  </conditionalFormatting>
  <dataValidations count="1">
    <dataValidation type="list" allowBlank="1" showInputMessage="1" showErrorMessage="1" sqref="V1" xr:uid="{08CC39A3-7F0F-491A-8D3F-A0B5F4115131}">
      <formula1>$Y$1:$Y$3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F930B-A90B-4DE2-AD39-B6A527EDDD6D}">
  <sheetPr codeName="Sheet2"/>
  <dimension ref="A1:V59"/>
  <sheetViews>
    <sheetView topLeftCell="A24" workbookViewId="0">
      <selection activeCell="B60" sqref="B60"/>
    </sheetView>
  </sheetViews>
  <sheetFormatPr defaultRowHeight="15" x14ac:dyDescent="0.25"/>
  <cols>
    <col min="2" max="2" width="15.7109375" customWidth="1"/>
    <col min="3" max="3" width="11.42578125" customWidth="1"/>
    <col min="5" max="5" width="13.140625" customWidth="1"/>
    <col min="6" max="6" width="9.5703125" customWidth="1"/>
    <col min="7" max="7" width="12.5703125" bestFit="1" customWidth="1"/>
    <col min="8" max="8" width="17.85546875" customWidth="1"/>
    <col min="13" max="13" width="10.5703125" bestFit="1" customWidth="1"/>
    <col min="19" max="19" width="10" customWidth="1"/>
    <col min="20" max="20" width="11.5703125" bestFit="1" customWidth="1"/>
  </cols>
  <sheetData>
    <row r="1" spans="1:22" ht="15.75" thickBot="1" x14ac:dyDescent="0.3">
      <c r="A1" s="2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4" t="s">
        <v>9</v>
      </c>
      <c r="H1" s="18" t="s">
        <v>26</v>
      </c>
      <c r="L1" t="s">
        <v>7</v>
      </c>
      <c r="M1" s="34" cm="1">
        <f t="array" ref="M1">_xll.BDP(U2,"LAST_PRICE")</f>
        <v>49.37</v>
      </c>
      <c r="U1" t="s">
        <v>21</v>
      </c>
      <c r="V1">
        <v>1.9</v>
      </c>
    </row>
    <row r="2" spans="1:22" ht="15.75" thickTop="1" x14ac:dyDescent="0.25">
      <c r="A2" s="22">
        <v>45413</v>
      </c>
      <c r="B2" s="23" t="s">
        <v>13</v>
      </c>
      <c r="C2" s="23" t="s">
        <v>11</v>
      </c>
      <c r="D2" s="23">
        <v>-100000</v>
      </c>
      <c r="E2" s="24">
        <v>3.05</v>
      </c>
      <c r="F2" s="25">
        <v>6.0799999237060547</v>
      </c>
      <c r="G2" s="26">
        <f t="shared" ref="G2:G33" si="0">(F2-E2)*D2*$V$1</f>
        <v>-575699.98550415039</v>
      </c>
      <c r="H2" s="27"/>
      <c r="I2" t="s">
        <v>24</v>
      </c>
      <c r="M2" cm="1">
        <f t="array" ref="M2">_xll.BQL("UKEZ4 Comdty","px_settle()")</f>
        <v>50.03</v>
      </c>
      <c r="U2" t="s">
        <v>16</v>
      </c>
    </row>
    <row r="3" spans="1:22" x14ac:dyDescent="0.25">
      <c r="A3" s="22">
        <v>45413</v>
      </c>
      <c r="B3" s="23" t="s">
        <v>14</v>
      </c>
      <c r="C3" s="23" t="s">
        <v>12</v>
      </c>
      <c r="D3" s="23">
        <v>100000</v>
      </c>
      <c r="E3" s="24">
        <v>1.45</v>
      </c>
      <c r="F3" s="25">
        <v>3.3299999237060547</v>
      </c>
      <c r="G3" s="26">
        <f t="shared" si="0"/>
        <v>357199.98550415039</v>
      </c>
      <c r="H3" s="27"/>
      <c r="I3" t="s">
        <v>24</v>
      </c>
    </row>
    <row r="4" spans="1:22" x14ac:dyDescent="0.25">
      <c r="A4" s="22">
        <v>45413</v>
      </c>
      <c r="B4" s="23" t="s">
        <v>15</v>
      </c>
      <c r="C4" s="23" t="s">
        <v>12</v>
      </c>
      <c r="D4" s="23">
        <v>15000</v>
      </c>
      <c r="E4" s="24">
        <v>35.450000000000003</v>
      </c>
      <c r="F4" s="25">
        <v>42.88</v>
      </c>
      <c r="G4" s="26">
        <f t="shared" si="0"/>
        <v>211755</v>
      </c>
      <c r="H4" s="27"/>
      <c r="I4" t="s">
        <v>24</v>
      </c>
    </row>
    <row r="5" spans="1:22" x14ac:dyDescent="0.25">
      <c r="A5" s="22">
        <v>45414</v>
      </c>
      <c r="B5" s="23" t="s">
        <v>17</v>
      </c>
      <c r="C5" s="23" t="s">
        <v>12</v>
      </c>
      <c r="D5" s="23">
        <v>50000</v>
      </c>
      <c r="E5" s="24">
        <v>4</v>
      </c>
      <c r="F5" s="25">
        <v>8.25</v>
      </c>
      <c r="G5" s="26">
        <f t="shared" si="0"/>
        <v>403750</v>
      </c>
      <c r="H5" s="27"/>
      <c r="I5" t="s">
        <v>24</v>
      </c>
    </row>
    <row r="6" spans="1:22" x14ac:dyDescent="0.25">
      <c r="A6" s="22">
        <v>45414</v>
      </c>
      <c r="B6" s="23" t="s">
        <v>18</v>
      </c>
      <c r="C6" s="23" t="s">
        <v>11</v>
      </c>
      <c r="D6" s="23">
        <v>-50000</v>
      </c>
      <c r="E6" s="24">
        <v>1.8</v>
      </c>
      <c r="F6" s="25">
        <v>4.4899997711181641</v>
      </c>
      <c r="G6" s="26">
        <f t="shared" si="0"/>
        <v>-255549.97825622559</v>
      </c>
      <c r="H6" s="27"/>
      <c r="I6" t="s">
        <v>24</v>
      </c>
    </row>
    <row r="7" spans="1:22" x14ac:dyDescent="0.25">
      <c r="A7" s="22">
        <v>45414</v>
      </c>
      <c r="B7" s="23" t="s">
        <v>15</v>
      </c>
      <c r="C7" s="23" t="s">
        <v>11</v>
      </c>
      <c r="D7" s="23">
        <v>-10000</v>
      </c>
      <c r="E7" s="24">
        <v>35.450000000000003</v>
      </c>
      <c r="F7" s="25">
        <v>42.88</v>
      </c>
      <c r="G7" s="26">
        <f t="shared" si="0"/>
        <v>-141170</v>
      </c>
      <c r="H7" s="27"/>
      <c r="I7" t="s">
        <v>24</v>
      </c>
    </row>
    <row r="8" spans="1:22" x14ac:dyDescent="0.25">
      <c r="A8" s="22">
        <v>45415</v>
      </c>
      <c r="B8" s="23" t="s">
        <v>15</v>
      </c>
      <c r="C8" s="23" t="s">
        <v>12</v>
      </c>
      <c r="D8" s="23">
        <v>5000</v>
      </c>
      <c r="E8" s="24">
        <v>37.99</v>
      </c>
      <c r="F8" s="25">
        <f t="shared" ref="F8:F59" si="1">$M$1</f>
        <v>49.37</v>
      </c>
      <c r="G8" s="26">
        <f t="shared" si="0"/>
        <v>108109.99999999996</v>
      </c>
      <c r="H8" s="27">
        <f>G8</f>
        <v>108109.99999999996</v>
      </c>
      <c r="I8">
        <f>D8</f>
        <v>5000</v>
      </c>
    </row>
    <row r="9" spans="1:22" x14ac:dyDescent="0.25">
      <c r="A9" s="22">
        <v>45415</v>
      </c>
      <c r="B9" s="23" t="s">
        <v>15</v>
      </c>
      <c r="C9" s="23" t="s">
        <v>12</v>
      </c>
      <c r="D9" s="23">
        <v>5000</v>
      </c>
      <c r="E9" s="24">
        <v>38.1</v>
      </c>
      <c r="F9" s="25">
        <f t="shared" si="1"/>
        <v>49.37</v>
      </c>
      <c r="G9" s="26">
        <f t="shared" si="0"/>
        <v>107064.99999999996</v>
      </c>
      <c r="H9" s="27">
        <f>H8+G9</f>
        <v>215174.99999999991</v>
      </c>
      <c r="I9">
        <f t="shared" ref="I9:I55" si="2">I8+D9</f>
        <v>10000</v>
      </c>
    </row>
    <row r="10" spans="1:22" x14ac:dyDescent="0.25">
      <c r="A10" s="22">
        <v>45419</v>
      </c>
      <c r="B10" s="23" t="s">
        <v>15</v>
      </c>
      <c r="C10" s="23" t="s">
        <v>11</v>
      </c>
      <c r="D10" s="23">
        <v>-5000</v>
      </c>
      <c r="E10" s="24">
        <v>37.5</v>
      </c>
      <c r="F10" s="25">
        <f t="shared" si="1"/>
        <v>49.37</v>
      </c>
      <c r="G10" s="26">
        <f t="shared" si="0"/>
        <v>-112764.99999999997</v>
      </c>
      <c r="H10" s="27">
        <f t="shared" ref="H10:H28" si="3">H9+G10</f>
        <v>102409.99999999994</v>
      </c>
      <c r="I10">
        <f t="shared" si="2"/>
        <v>5000</v>
      </c>
    </row>
    <row r="11" spans="1:22" x14ac:dyDescent="0.25">
      <c r="A11" s="22">
        <v>45420</v>
      </c>
      <c r="B11" s="23" t="s">
        <v>15</v>
      </c>
      <c r="C11" s="23" t="s">
        <v>11</v>
      </c>
      <c r="D11" s="23">
        <v>-2000</v>
      </c>
      <c r="E11" s="24">
        <v>37.22</v>
      </c>
      <c r="F11" s="25">
        <f t="shared" si="1"/>
        <v>49.37</v>
      </c>
      <c r="G11" s="26">
        <f t="shared" si="0"/>
        <v>-46169.999999999993</v>
      </c>
      <c r="H11" s="27">
        <f t="shared" si="3"/>
        <v>56239.999999999949</v>
      </c>
      <c r="I11">
        <f t="shared" si="2"/>
        <v>3000</v>
      </c>
    </row>
    <row r="12" spans="1:22" x14ac:dyDescent="0.25">
      <c r="A12" s="22">
        <v>45421</v>
      </c>
      <c r="B12" s="23" t="s">
        <v>15</v>
      </c>
      <c r="C12" s="23" t="s">
        <v>11</v>
      </c>
      <c r="D12" s="23">
        <v>-1000</v>
      </c>
      <c r="E12" s="24">
        <v>38.07</v>
      </c>
      <c r="F12" s="25">
        <f t="shared" si="1"/>
        <v>49.37</v>
      </c>
      <c r="G12" s="26">
        <f t="shared" si="0"/>
        <v>-21469.999999999993</v>
      </c>
      <c r="H12" s="27">
        <f t="shared" si="3"/>
        <v>34769.999999999956</v>
      </c>
      <c r="I12">
        <f t="shared" si="2"/>
        <v>2000</v>
      </c>
    </row>
    <row r="13" spans="1:22" x14ac:dyDescent="0.25">
      <c r="A13" s="22">
        <v>45421</v>
      </c>
      <c r="B13" s="23" t="s">
        <v>15</v>
      </c>
      <c r="C13" s="23" t="s">
        <v>11</v>
      </c>
      <c r="D13" s="23">
        <v>-1000</v>
      </c>
      <c r="E13" s="24">
        <v>38.14</v>
      </c>
      <c r="F13" s="25">
        <f t="shared" si="1"/>
        <v>49.37</v>
      </c>
      <c r="G13" s="26">
        <f t="shared" si="0"/>
        <v>-21336.999999999993</v>
      </c>
      <c r="H13" s="27">
        <f t="shared" si="3"/>
        <v>13432.999999999964</v>
      </c>
      <c r="I13">
        <f t="shared" si="2"/>
        <v>1000</v>
      </c>
      <c r="N13" t="s">
        <v>31</v>
      </c>
      <c r="S13" t="s">
        <v>32</v>
      </c>
    </row>
    <row r="14" spans="1:22" x14ac:dyDescent="0.25">
      <c r="A14" s="22">
        <v>45421</v>
      </c>
      <c r="B14" s="23" t="s">
        <v>15</v>
      </c>
      <c r="C14" s="23" t="s">
        <v>11</v>
      </c>
      <c r="D14" s="23">
        <v>-1000</v>
      </c>
      <c r="E14" s="24">
        <v>38.18</v>
      </c>
      <c r="F14" s="25">
        <f t="shared" si="1"/>
        <v>49.37</v>
      </c>
      <c r="G14" s="26">
        <f t="shared" si="0"/>
        <v>-21260.999999999996</v>
      </c>
      <c r="H14" s="27">
        <f t="shared" si="3"/>
        <v>-7828.0000000000327</v>
      </c>
      <c r="I14">
        <f t="shared" si="2"/>
        <v>0</v>
      </c>
      <c r="K14">
        <f>IF(Table2[[#This Row],[Buy / Sell]]="Sell",Table2[[#This Row],[Qty]],0)</f>
        <v>-1000</v>
      </c>
      <c r="L14" s="1">
        <f>IF(Table2[[#This Row],[Buy / Sell]]="Sell",Table2[[#This Row],[Trade Price]],0)</f>
        <v>38.18</v>
      </c>
      <c r="M14" s="33">
        <f>K14</f>
        <v>-1000</v>
      </c>
      <c r="N14" s="1">
        <f>L14</f>
        <v>38.18</v>
      </c>
      <c r="P14">
        <f>IF(Table2[[#This Row],[Buy / Sell]]="Buy",Table2[[#This Row],[Qty]],0)</f>
        <v>0</v>
      </c>
      <c r="Q14" s="1">
        <f>IF(Table2[[#This Row],[Buy / Sell]]="Buy",Table2[[#This Row],[Trade Price]],0)</f>
        <v>0</v>
      </c>
      <c r="R14" s="33">
        <f>P14</f>
        <v>0</v>
      </c>
      <c r="S14" s="1">
        <f>Q14</f>
        <v>0</v>
      </c>
    </row>
    <row r="15" spans="1:22" x14ac:dyDescent="0.25">
      <c r="A15" s="22">
        <v>45421</v>
      </c>
      <c r="B15" s="23" t="s">
        <v>15</v>
      </c>
      <c r="C15" s="23" t="s">
        <v>11</v>
      </c>
      <c r="D15" s="23">
        <v>-2000</v>
      </c>
      <c r="E15" s="24">
        <v>38.229999999999997</v>
      </c>
      <c r="F15" s="25">
        <f t="shared" si="1"/>
        <v>49.37</v>
      </c>
      <c r="G15" s="26">
        <f t="shared" si="0"/>
        <v>-42332</v>
      </c>
      <c r="H15" s="27">
        <f t="shared" si="3"/>
        <v>-50160.000000000029</v>
      </c>
      <c r="I15">
        <f t="shared" si="2"/>
        <v>-2000</v>
      </c>
      <c r="K15">
        <f>IF(Table2[[#This Row],[Buy / Sell]]="Sell",Table2[[#This Row],[Qty]],0)</f>
        <v>-2000</v>
      </c>
      <c r="L15" s="1">
        <f>IF(Table2[[#This Row],[Buy / Sell]]="Sell",Table2[[#This Row],[Trade Price]],0)</f>
        <v>38.229999999999997</v>
      </c>
      <c r="M15" s="33">
        <f>SUM($K$14:$K15)</f>
        <v>-3000</v>
      </c>
      <c r="N15" s="1">
        <f>SUMPRODUCT(K$15:K15,L$15:L15)/SUM(K$15:K15)</f>
        <v>38.229999999999997</v>
      </c>
      <c r="P15">
        <f>IF(Table2[[#This Row],[Buy / Sell]]="Buy",Table2[[#This Row],[Qty]],0)</f>
        <v>0</v>
      </c>
      <c r="Q15" s="1">
        <f>IF(Table2[[#This Row],[Buy / Sell]]="Buy",Table2[[#This Row],[Trade Price]],0)</f>
        <v>0</v>
      </c>
      <c r="R15" s="33">
        <f>SUM($P$14:$P15)</f>
        <v>0</v>
      </c>
      <c r="S15" s="1" t="e">
        <f>SUMPRODUCT(P$15:P15,Q$15:Q15)/SUM(P$15:P15)</f>
        <v>#DIV/0!</v>
      </c>
    </row>
    <row r="16" spans="1:22" x14ac:dyDescent="0.25">
      <c r="A16" s="22">
        <v>45422</v>
      </c>
      <c r="B16" s="23" t="s">
        <v>15</v>
      </c>
      <c r="C16" s="23" t="s">
        <v>11</v>
      </c>
      <c r="D16" s="23">
        <v>-2000</v>
      </c>
      <c r="E16" s="24">
        <v>38.450000000000003</v>
      </c>
      <c r="F16" s="25">
        <f t="shared" si="1"/>
        <v>49.37</v>
      </c>
      <c r="G16" s="26">
        <f t="shared" si="0"/>
        <v>-41495.999999999978</v>
      </c>
      <c r="H16" s="27">
        <f t="shared" si="3"/>
        <v>-91656</v>
      </c>
      <c r="I16">
        <f t="shared" si="2"/>
        <v>-4000</v>
      </c>
      <c r="K16">
        <f>IF(Table2[[#This Row],[Buy / Sell]]="Sell",Table2[[#This Row],[Qty]],0)</f>
        <v>-2000</v>
      </c>
      <c r="L16" s="1">
        <f>IF(Table2[[#This Row],[Buy / Sell]]="Sell",Table2[[#This Row],[Trade Price]],0)</f>
        <v>38.450000000000003</v>
      </c>
      <c r="M16" s="33">
        <f>SUM($K$14:$K16)</f>
        <v>-5000</v>
      </c>
      <c r="N16" s="1">
        <f>SUMPRODUCT(K$15:K16,L$15:L16)/SUM(K$15:K16)</f>
        <v>38.340000000000003</v>
      </c>
      <c r="P16">
        <f>IF(Table2[[#This Row],[Buy / Sell]]="Buy",Table2[[#This Row],[Qty]],0)</f>
        <v>0</v>
      </c>
      <c r="Q16" s="1">
        <f>IF(Table2[[#This Row],[Buy / Sell]]="Buy",Table2[[#This Row],[Trade Price]],0)</f>
        <v>0</v>
      </c>
      <c r="R16" s="33">
        <f>SUM($P$14:$P16)</f>
        <v>0</v>
      </c>
      <c r="S16" s="1" t="e">
        <f>SUMPRODUCT(P$15:P16,Q$15:Q16)/SUM(P$15:P16)</f>
        <v>#DIV/0!</v>
      </c>
    </row>
    <row r="17" spans="1:19" x14ac:dyDescent="0.25">
      <c r="A17" s="22">
        <v>45426</v>
      </c>
      <c r="B17" s="23" t="s">
        <v>15</v>
      </c>
      <c r="C17" s="23" t="s">
        <v>11</v>
      </c>
      <c r="D17" s="23">
        <v>-2000</v>
      </c>
      <c r="E17" s="24">
        <v>37.94</v>
      </c>
      <c r="F17" s="25">
        <f t="shared" si="1"/>
        <v>49.37</v>
      </c>
      <c r="G17" s="26">
        <f t="shared" si="0"/>
        <v>-43434</v>
      </c>
      <c r="H17" s="27">
        <f t="shared" si="3"/>
        <v>-135090</v>
      </c>
      <c r="I17">
        <f t="shared" si="2"/>
        <v>-6000</v>
      </c>
      <c r="K17">
        <f>IF(Table2[[#This Row],[Buy / Sell]]="Sell",Table2[[#This Row],[Qty]],0)</f>
        <v>-2000</v>
      </c>
      <c r="L17" s="1">
        <f>IF(Table2[[#This Row],[Buy / Sell]]="Sell",Table2[[#This Row],[Trade Price]],0)</f>
        <v>37.94</v>
      </c>
      <c r="M17" s="33">
        <f>SUM($K$14:$K17)</f>
        <v>-7000</v>
      </c>
      <c r="N17" s="1">
        <f>SUMPRODUCT(K$15:K17,L$15:L17)/SUM(K$15:K17)</f>
        <v>38.206666666666663</v>
      </c>
      <c r="P17">
        <f>IF(Table2[[#This Row],[Buy / Sell]]="Buy",Table2[[#This Row],[Qty]],0)</f>
        <v>0</v>
      </c>
      <c r="Q17" s="1">
        <f>IF(Table2[[#This Row],[Buy / Sell]]="Buy",Table2[[#This Row],[Trade Price]],0)</f>
        <v>0</v>
      </c>
      <c r="R17" s="33">
        <f>SUM($P$14:$P17)</f>
        <v>0</v>
      </c>
      <c r="S17" s="1" t="e">
        <f>SUMPRODUCT(P$15:P17,Q$15:Q17)/SUM(P$15:P17)</f>
        <v>#DIV/0!</v>
      </c>
    </row>
    <row r="18" spans="1:19" x14ac:dyDescent="0.25">
      <c r="A18" s="22">
        <v>45426</v>
      </c>
      <c r="B18" s="23" t="s">
        <v>15</v>
      </c>
      <c r="C18" s="23" t="s">
        <v>12</v>
      </c>
      <c r="D18" s="23">
        <v>1000</v>
      </c>
      <c r="E18" s="24">
        <v>37.25</v>
      </c>
      <c r="F18" s="25">
        <f t="shared" si="1"/>
        <v>49.37</v>
      </c>
      <c r="G18" s="26">
        <f t="shared" si="0"/>
        <v>23027.999999999996</v>
      </c>
      <c r="H18" s="27">
        <f t="shared" si="3"/>
        <v>-112062</v>
      </c>
      <c r="I18">
        <f t="shared" si="2"/>
        <v>-5000</v>
      </c>
      <c r="K18">
        <f>IF(Table2[[#This Row],[Buy / Sell]]="Sell",Table2[[#This Row],[Qty]],0)</f>
        <v>0</v>
      </c>
      <c r="L18" s="1">
        <f>IF(Table2[[#This Row],[Buy / Sell]]="Sell",Table2[[#This Row],[Trade Price]],0)</f>
        <v>0</v>
      </c>
      <c r="M18" s="33">
        <f>SUM($K$14:$K18)</f>
        <v>-7000</v>
      </c>
      <c r="N18" s="1">
        <f>SUMPRODUCT(K$15:K18,L$15:L18)/SUM(K$15:K18)</f>
        <v>38.206666666666663</v>
      </c>
      <c r="P18">
        <f>IF(Table2[[#This Row],[Buy / Sell]]="Buy",Table2[[#This Row],[Qty]],0)</f>
        <v>1000</v>
      </c>
      <c r="Q18" s="1">
        <f>IF(Table2[[#This Row],[Buy / Sell]]="Buy",Table2[[#This Row],[Trade Price]],0)</f>
        <v>37.25</v>
      </c>
      <c r="R18" s="33">
        <f>SUM($P$14:$P18)</f>
        <v>1000</v>
      </c>
      <c r="S18" s="1">
        <f>SUMPRODUCT(P$15:P18,Q$15:Q18)/SUM(P$15:P18)</f>
        <v>37.25</v>
      </c>
    </row>
    <row r="19" spans="1:19" x14ac:dyDescent="0.25">
      <c r="A19" s="22">
        <v>45426</v>
      </c>
      <c r="B19" s="23" t="s">
        <v>15</v>
      </c>
      <c r="C19" s="23" t="s">
        <v>12</v>
      </c>
      <c r="D19" s="23">
        <v>1000</v>
      </c>
      <c r="E19" s="24">
        <v>37.1</v>
      </c>
      <c r="F19" s="25">
        <f t="shared" si="1"/>
        <v>49.37</v>
      </c>
      <c r="G19" s="26">
        <f t="shared" si="0"/>
        <v>23312.999999999993</v>
      </c>
      <c r="H19" s="27">
        <f t="shared" si="3"/>
        <v>-88749</v>
      </c>
      <c r="I19">
        <f t="shared" si="2"/>
        <v>-4000</v>
      </c>
      <c r="K19">
        <f>IF(Table2[[#This Row],[Buy / Sell]]="Sell",Table2[[#This Row],[Qty]],0)</f>
        <v>0</v>
      </c>
      <c r="L19" s="1">
        <f>IF(Table2[[#This Row],[Buy / Sell]]="Sell",Table2[[#This Row],[Trade Price]],0)</f>
        <v>0</v>
      </c>
      <c r="M19" s="33">
        <f>SUM($K$14:$K19)</f>
        <v>-7000</v>
      </c>
      <c r="N19" s="1">
        <f>SUMPRODUCT(K$15:K19,L$15:L19)/SUM(K$15:K19)</f>
        <v>38.206666666666663</v>
      </c>
      <c r="P19">
        <f>IF(Table2[[#This Row],[Buy / Sell]]="Buy",Table2[[#This Row],[Qty]],0)</f>
        <v>1000</v>
      </c>
      <c r="Q19" s="1">
        <f>IF(Table2[[#This Row],[Buy / Sell]]="Buy",Table2[[#This Row],[Trade Price]],0)</f>
        <v>37.1</v>
      </c>
      <c r="R19" s="33">
        <f>SUM($P$14:$P19)</f>
        <v>2000</v>
      </c>
      <c r="S19" s="1">
        <f>SUMPRODUCT(P$15:P19,Q$15:Q19)/SUM(P$15:P19)</f>
        <v>37.174999999999997</v>
      </c>
    </row>
    <row r="20" spans="1:19" x14ac:dyDescent="0.25">
      <c r="A20" s="22">
        <v>45426</v>
      </c>
      <c r="B20" s="23" t="s">
        <v>15</v>
      </c>
      <c r="C20" s="23" t="s">
        <v>11</v>
      </c>
      <c r="D20" s="23">
        <v>-2000</v>
      </c>
      <c r="E20" s="24">
        <v>37.5</v>
      </c>
      <c r="F20" s="25">
        <f t="shared" si="1"/>
        <v>49.37</v>
      </c>
      <c r="G20" s="26">
        <f t="shared" si="0"/>
        <v>-45105.999999999993</v>
      </c>
      <c r="H20" s="27">
        <f t="shared" si="3"/>
        <v>-133855</v>
      </c>
      <c r="I20">
        <f t="shared" si="2"/>
        <v>-6000</v>
      </c>
      <c r="K20">
        <f>IF(Table2[[#This Row],[Buy / Sell]]="Sell",Table2[[#This Row],[Qty]],0)</f>
        <v>-2000</v>
      </c>
      <c r="L20" s="1">
        <f>IF(Table2[[#This Row],[Buy / Sell]]="Sell",Table2[[#This Row],[Trade Price]],0)</f>
        <v>37.5</v>
      </c>
      <c r="M20" s="33">
        <f>SUM($K$14:$K20)</f>
        <v>-9000</v>
      </c>
      <c r="N20" s="1">
        <f>SUMPRODUCT(K$15:K20,L$15:L20)/SUM(K$15:K20)</f>
        <v>38.03</v>
      </c>
      <c r="P20">
        <f>IF(Table2[[#This Row],[Buy / Sell]]="Buy",Table2[[#This Row],[Qty]],0)</f>
        <v>0</v>
      </c>
      <c r="Q20" s="1">
        <f>IF(Table2[[#This Row],[Buy / Sell]]="Buy",Table2[[#This Row],[Trade Price]],0)</f>
        <v>0</v>
      </c>
      <c r="R20" s="33">
        <f>SUM($P$14:$P20)</f>
        <v>2000</v>
      </c>
      <c r="S20" s="1">
        <f>SUMPRODUCT(P$15:P20,Q$15:Q20)/SUM(P$15:P20)</f>
        <v>37.174999999999997</v>
      </c>
    </row>
    <row r="21" spans="1:19" x14ac:dyDescent="0.25">
      <c r="A21" s="22">
        <v>45426</v>
      </c>
      <c r="B21" s="23" t="s">
        <v>15</v>
      </c>
      <c r="C21" s="23" t="s">
        <v>11</v>
      </c>
      <c r="D21" s="23">
        <v>-1000</v>
      </c>
      <c r="E21" s="24">
        <v>37.700000000000003</v>
      </c>
      <c r="F21" s="25">
        <f t="shared" si="1"/>
        <v>49.37</v>
      </c>
      <c r="G21" s="26">
        <f t="shared" si="0"/>
        <v>-22172.999999999989</v>
      </c>
      <c r="H21" s="27">
        <f t="shared" si="3"/>
        <v>-156028</v>
      </c>
      <c r="I21">
        <f t="shared" si="2"/>
        <v>-7000</v>
      </c>
      <c r="K21">
        <f>IF(Table2[[#This Row],[Buy / Sell]]="Sell",Table2[[#This Row],[Qty]],0)</f>
        <v>-1000</v>
      </c>
      <c r="L21" s="1">
        <f>IF(Table2[[#This Row],[Buy / Sell]]="Sell",Table2[[#This Row],[Trade Price]],0)</f>
        <v>37.700000000000003</v>
      </c>
      <c r="M21" s="33">
        <f>SUM($K$14:$K21)</f>
        <v>-10000</v>
      </c>
      <c r="N21" s="1">
        <f>SUMPRODUCT(K$15:K21,L$15:L21)/SUM(K$15:K21)</f>
        <v>37.993333333333332</v>
      </c>
      <c r="P21">
        <f>IF(Table2[[#This Row],[Buy / Sell]]="Buy",Table2[[#This Row],[Qty]],0)</f>
        <v>0</v>
      </c>
      <c r="Q21" s="1">
        <f>IF(Table2[[#This Row],[Buy / Sell]]="Buy",Table2[[#This Row],[Trade Price]],0)</f>
        <v>0</v>
      </c>
      <c r="R21" s="33">
        <f>SUM($P$14:$P21)</f>
        <v>2000</v>
      </c>
      <c r="S21" s="1">
        <f>SUMPRODUCT(P$15:P21,Q$15:Q21)/SUM(P$15:P21)</f>
        <v>37.174999999999997</v>
      </c>
    </row>
    <row r="22" spans="1:19" x14ac:dyDescent="0.25">
      <c r="A22" s="22">
        <v>45426</v>
      </c>
      <c r="B22" s="23" t="s">
        <v>15</v>
      </c>
      <c r="C22" s="23" t="s">
        <v>12</v>
      </c>
      <c r="D22" s="23">
        <v>1000</v>
      </c>
      <c r="E22" s="24">
        <v>37.25</v>
      </c>
      <c r="F22" s="25">
        <f t="shared" si="1"/>
        <v>49.37</v>
      </c>
      <c r="G22" s="26">
        <f t="shared" si="0"/>
        <v>23027.999999999996</v>
      </c>
      <c r="H22" s="27">
        <f t="shared" si="3"/>
        <v>-133000</v>
      </c>
      <c r="I22">
        <f t="shared" si="2"/>
        <v>-6000</v>
      </c>
      <c r="K22">
        <f>IF(Table2[[#This Row],[Buy / Sell]]="Sell",Table2[[#This Row],[Qty]],0)</f>
        <v>0</v>
      </c>
      <c r="L22" s="1">
        <f>IF(Table2[[#This Row],[Buy / Sell]]="Sell",Table2[[#This Row],[Trade Price]],0)</f>
        <v>0</v>
      </c>
      <c r="M22" s="33">
        <f>SUM($K$14:$K22)</f>
        <v>-10000</v>
      </c>
      <c r="N22" s="1">
        <f>SUMPRODUCT(K$15:K22,L$15:L22)/SUM(K$15:K22)</f>
        <v>37.993333333333332</v>
      </c>
      <c r="P22">
        <f>IF(Table2[[#This Row],[Buy / Sell]]="Buy",Table2[[#This Row],[Qty]],0)</f>
        <v>1000</v>
      </c>
      <c r="Q22" s="1">
        <f>IF(Table2[[#This Row],[Buy / Sell]]="Buy",Table2[[#This Row],[Trade Price]],0)</f>
        <v>37.25</v>
      </c>
      <c r="R22" s="33">
        <f>SUM($P$14:$P22)</f>
        <v>3000</v>
      </c>
      <c r="S22" s="1">
        <f>SUMPRODUCT(P$15:P22,Q$15:Q22)/SUM(P$15:P22)</f>
        <v>37.200000000000003</v>
      </c>
    </row>
    <row r="23" spans="1:19" x14ac:dyDescent="0.25">
      <c r="A23" s="22">
        <v>45426</v>
      </c>
      <c r="B23" s="23" t="s">
        <v>15</v>
      </c>
      <c r="C23" s="23" t="s">
        <v>12</v>
      </c>
      <c r="D23" s="23">
        <v>1000</v>
      </c>
      <c r="E23" s="24">
        <v>37.1</v>
      </c>
      <c r="F23" s="25">
        <f t="shared" si="1"/>
        <v>49.37</v>
      </c>
      <c r="G23" s="26">
        <f t="shared" si="0"/>
        <v>23312.999999999993</v>
      </c>
      <c r="H23" s="27">
        <f t="shared" si="3"/>
        <v>-109687</v>
      </c>
      <c r="I23">
        <f t="shared" si="2"/>
        <v>-5000</v>
      </c>
      <c r="K23">
        <f>IF(Table2[[#This Row],[Buy / Sell]]="Sell",Table2[[#This Row],[Qty]],0)</f>
        <v>0</v>
      </c>
      <c r="L23" s="1">
        <f>IF(Table2[[#This Row],[Buy / Sell]]="Sell",Table2[[#This Row],[Trade Price]],0)</f>
        <v>0</v>
      </c>
      <c r="M23" s="33">
        <f>SUM($K$14:$K23)</f>
        <v>-10000</v>
      </c>
      <c r="N23" s="1">
        <f>SUMPRODUCT(K$15:K23,L$15:L23)/SUM(K$15:K23)</f>
        <v>37.993333333333332</v>
      </c>
      <c r="P23">
        <f>IF(Table2[[#This Row],[Buy / Sell]]="Buy",Table2[[#This Row],[Qty]],0)</f>
        <v>1000</v>
      </c>
      <c r="Q23" s="1">
        <f>IF(Table2[[#This Row],[Buy / Sell]]="Buy",Table2[[#This Row],[Trade Price]],0)</f>
        <v>37.1</v>
      </c>
      <c r="R23" s="33">
        <f>SUM($P$14:$P23)</f>
        <v>4000</v>
      </c>
      <c r="S23" s="1">
        <f>SUMPRODUCT(P$15:P23,Q$15:Q23)/SUM(P$15:P23)</f>
        <v>37.174999999999997</v>
      </c>
    </row>
    <row r="24" spans="1:19" x14ac:dyDescent="0.25">
      <c r="A24" s="22">
        <v>45427</v>
      </c>
      <c r="B24" s="23" t="s">
        <v>15</v>
      </c>
      <c r="C24" s="23" t="s">
        <v>11</v>
      </c>
      <c r="D24" s="23">
        <v>-1000</v>
      </c>
      <c r="E24" s="24">
        <v>37.99</v>
      </c>
      <c r="F24" s="25">
        <f t="shared" si="1"/>
        <v>49.37</v>
      </c>
      <c r="G24" s="26">
        <f t="shared" si="0"/>
        <v>-21621.999999999993</v>
      </c>
      <c r="H24" s="27">
        <f t="shared" si="3"/>
        <v>-131309</v>
      </c>
      <c r="I24">
        <f t="shared" si="2"/>
        <v>-6000</v>
      </c>
      <c r="K24">
        <f>IF(Table2[[#This Row],[Buy / Sell]]="Sell",Table2[[#This Row],[Qty]],0)</f>
        <v>-1000</v>
      </c>
      <c r="L24" s="1">
        <f>IF(Table2[[#This Row],[Buy / Sell]]="Sell",Table2[[#This Row],[Trade Price]],0)</f>
        <v>37.99</v>
      </c>
      <c r="M24" s="33">
        <f>SUM($K$14:$K24)</f>
        <v>-11000</v>
      </c>
      <c r="N24" s="1">
        <f>SUMPRODUCT(K$15:K24,L$15:L24)/SUM(K$15:K24)</f>
        <v>37.993000000000002</v>
      </c>
      <c r="P24">
        <f>IF(Table2[[#This Row],[Buy / Sell]]="Buy",Table2[[#This Row],[Qty]],0)</f>
        <v>0</v>
      </c>
      <c r="Q24" s="1">
        <f>IF(Table2[[#This Row],[Buy / Sell]]="Buy",Table2[[#This Row],[Trade Price]],0)</f>
        <v>0</v>
      </c>
      <c r="R24" s="33">
        <f>SUM($P$14:$P24)</f>
        <v>4000</v>
      </c>
      <c r="S24" s="1">
        <f>SUMPRODUCT(P$15:P24,Q$15:Q24)/SUM(P$15:P24)</f>
        <v>37.174999999999997</v>
      </c>
    </row>
    <row r="25" spans="1:19" x14ac:dyDescent="0.25">
      <c r="A25" s="22">
        <v>45427</v>
      </c>
      <c r="B25" s="23" t="s">
        <v>15</v>
      </c>
      <c r="C25" s="23" t="s">
        <v>11</v>
      </c>
      <c r="D25" s="23">
        <v>-1000</v>
      </c>
      <c r="E25" s="24">
        <v>38.229999999999997</v>
      </c>
      <c r="F25" s="25">
        <f t="shared" si="1"/>
        <v>49.37</v>
      </c>
      <c r="G25" s="26">
        <f t="shared" si="0"/>
        <v>-21166</v>
      </c>
      <c r="H25" s="27">
        <f t="shared" si="3"/>
        <v>-152475</v>
      </c>
      <c r="I25">
        <f t="shared" si="2"/>
        <v>-7000</v>
      </c>
      <c r="K25">
        <f>IF(Table2[[#This Row],[Buy / Sell]]="Sell",Table2[[#This Row],[Qty]],0)</f>
        <v>-1000</v>
      </c>
      <c r="L25" s="1">
        <f>IF(Table2[[#This Row],[Buy / Sell]]="Sell",Table2[[#This Row],[Trade Price]],0)</f>
        <v>38.229999999999997</v>
      </c>
      <c r="M25" s="33">
        <f>SUM($K$14:$K25)</f>
        <v>-12000</v>
      </c>
      <c r="N25" s="1">
        <f>SUMPRODUCT(K$15:K25,L$15:L25)/SUM(K$15:K25)</f>
        <v>38.014545454545456</v>
      </c>
      <c r="P25">
        <f>IF(Table2[[#This Row],[Buy / Sell]]="Buy",Table2[[#This Row],[Qty]],0)</f>
        <v>0</v>
      </c>
      <c r="Q25" s="1">
        <f>IF(Table2[[#This Row],[Buy / Sell]]="Buy",Table2[[#This Row],[Trade Price]],0)</f>
        <v>0</v>
      </c>
      <c r="R25" s="33">
        <f>SUM($P$14:$P25)</f>
        <v>4000</v>
      </c>
      <c r="S25" s="1">
        <f>SUMPRODUCT(P$15:P25,Q$15:Q25)/SUM(P$15:P25)</f>
        <v>37.174999999999997</v>
      </c>
    </row>
    <row r="26" spans="1:19" x14ac:dyDescent="0.25">
      <c r="A26" s="22">
        <v>45427</v>
      </c>
      <c r="B26" s="23" t="s">
        <v>15</v>
      </c>
      <c r="C26" s="23" t="s">
        <v>11</v>
      </c>
      <c r="D26" s="23">
        <v>-2000</v>
      </c>
      <c r="E26" s="24">
        <v>38.39</v>
      </c>
      <c r="F26" s="25">
        <f t="shared" si="1"/>
        <v>49.37</v>
      </c>
      <c r="G26" s="26">
        <f t="shared" si="0"/>
        <v>-41723.999999999985</v>
      </c>
      <c r="H26" s="27">
        <f t="shared" si="3"/>
        <v>-194199</v>
      </c>
      <c r="I26">
        <f t="shared" si="2"/>
        <v>-9000</v>
      </c>
      <c r="K26">
        <f>IF(Table2[[#This Row],[Buy / Sell]]="Sell",Table2[[#This Row],[Qty]],0)</f>
        <v>-2000</v>
      </c>
      <c r="L26" s="1">
        <f>IF(Table2[[#This Row],[Buy / Sell]]="Sell",Table2[[#This Row],[Trade Price]],0)</f>
        <v>38.39</v>
      </c>
      <c r="M26" s="33">
        <f>SUM($K$14:$K26)</f>
        <v>-14000</v>
      </c>
      <c r="N26" s="1">
        <f>SUMPRODUCT(K$15:K26,L$15:L26)/SUM(K$15:K26)</f>
        <v>38.072307692307689</v>
      </c>
      <c r="P26">
        <f>IF(Table2[[#This Row],[Buy / Sell]]="Buy",Table2[[#This Row],[Qty]],0)</f>
        <v>0</v>
      </c>
      <c r="Q26" s="1">
        <f>IF(Table2[[#This Row],[Buy / Sell]]="Buy",Table2[[#This Row],[Trade Price]],0)</f>
        <v>0</v>
      </c>
      <c r="R26" s="33">
        <f>SUM($P$14:$P26)</f>
        <v>4000</v>
      </c>
      <c r="S26" s="1">
        <f>SUMPRODUCT(P$15:P26,Q$15:Q26)/SUM(P$15:P26)</f>
        <v>37.174999999999997</v>
      </c>
    </row>
    <row r="27" spans="1:19" x14ac:dyDescent="0.25">
      <c r="A27" s="22">
        <v>45429</v>
      </c>
      <c r="B27" s="28" t="s">
        <v>15</v>
      </c>
      <c r="C27" s="23" t="s">
        <v>11</v>
      </c>
      <c r="D27" s="23">
        <v>-2000</v>
      </c>
      <c r="E27" s="24">
        <v>39.65</v>
      </c>
      <c r="F27" s="25">
        <f t="shared" si="1"/>
        <v>49.37</v>
      </c>
      <c r="G27" s="26">
        <f t="shared" si="0"/>
        <v>-36935.999999999993</v>
      </c>
      <c r="H27" s="27">
        <f t="shared" si="3"/>
        <v>-231135</v>
      </c>
      <c r="I27">
        <f t="shared" si="2"/>
        <v>-11000</v>
      </c>
      <c r="K27">
        <f>IF(Table2[[#This Row],[Buy / Sell]]="Sell",Table2[[#This Row],[Qty]],0)</f>
        <v>-2000</v>
      </c>
      <c r="L27" s="1">
        <f>IF(Table2[[#This Row],[Buy / Sell]]="Sell",Table2[[#This Row],[Trade Price]],0)</f>
        <v>39.65</v>
      </c>
      <c r="M27" s="33">
        <f>SUM($K$14:$K27)</f>
        <v>-16000</v>
      </c>
      <c r="N27" s="1">
        <f>SUMPRODUCT(K$15:K27,L$15:L27)/SUM(K$15:K27)</f>
        <v>38.282666666666664</v>
      </c>
      <c r="P27">
        <f>IF(Table2[[#This Row],[Buy / Sell]]="Buy",Table2[[#This Row],[Qty]],0)</f>
        <v>0</v>
      </c>
      <c r="Q27" s="1">
        <f>IF(Table2[[#This Row],[Buy / Sell]]="Buy",Table2[[#This Row],[Trade Price]],0)</f>
        <v>0</v>
      </c>
      <c r="R27" s="33">
        <f>SUM($P$14:$P27)</f>
        <v>4000</v>
      </c>
      <c r="S27" s="1">
        <f>SUMPRODUCT(P$15:P27,Q$15:Q27)/SUM(P$15:P27)</f>
        <v>37.174999999999997</v>
      </c>
    </row>
    <row r="28" spans="1:19" x14ac:dyDescent="0.25">
      <c r="A28" s="29">
        <v>45429</v>
      </c>
      <c r="B28" s="30" t="s">
        <v>15</v>
      </c>
      <c r="C28" s="31" t="s">
        <v>11</v>
      </c>
      <c r="D28" s="31">
        <v>-1000</v>
      </c>
      <c r="E28" s="32">
        <v>39.4</v>
      </c>
      <c r="F28" s="25">
        <f t="shared" si="1"/>
        <v>49.37</v>
      </c>
      <c r="G28" s="26">
        <f t="shared" si="0"/>
        <v>-18942.999999999996</v>
      </c>
      <c r="H28" s="27">
        <f t="shared" si="3"/>
        <v>-250078</v>
      </c>
      <c r="I28">
        <f t="shared" si="2"/>
        <v>-12000</v>
      </c>
      <c r="K28">
        <f>IF(Table2[[#This Row],[Buy / Sell]]="Sell",Table2[[#This Row],[Qty]],0)</f>
        <v>-1000</v>
      </c>
      <c r="L28" s="1">
        <f>IF(Table2[[#This Row],[Buy / Sell]]="Sell",Table2[[#This Row],[Trade Price]],0)</f>
        <v>39.4</v>
      </c>
      <c r="M28" s="33">
        <f>SUM($K$14:$K28)</f>
        <v>-17000</v>
      </c>
      <c r="N28" s="1">
        <f>SUMPRODUCT(K$15:K28,L$15:L28)/SUM(K$15:K28)</f>
        <v>38.352499999999999</v>
      </c>
      <c r="P28">
        <f>IF(Table2[[#This Row],[Buy / Sell]]="Buy",Table2[[#This Row],[Qty]],0)</f>
        <v>0</v>
      </c>
      <c r="Q28" s="1">
        <f>IF(Table2[[#This Row],[Buy / Sell]]="Buy",Table2[[#This Row],[Trade Price]],0)</f>
        <v>0</v>
      </c>
      <c r="R28" s="33">
        <f>SUM($P$14:$P28)</f>
        <v>4000</v>
      </c>
      <c r="S28" s="1">
        <f>SUMPRODUCT(P$15:P28,Q$15:Q28)/SUM(P$15:P28)</f>
        <v>37.174999999999997</v>
      </c>
    </row>
    <row r="29" spans="1:19" x14ac:dyDescent="0.25">
      <c r="A29" s="29">
        <v>45433</v>
      </c>
      <c r="B29" s="30" t="s">
        <v>15</v>
      </c>
      <c r="C29" s="31" t="s">
        <v>11</v>
      </c>
      <c r="D29">
        <v>-1000</v>
      </c>
      <c r="E29" s="25">
        <v>42.41</v>
      </c>
      <c r="F29" s="25">
        <f t="shared" si="1"/>
        <v>49.37</v>
      </c>
      <c r="G29" s="26">
        <f t="shared" si="0"/>
        <v>-13224.000000000002</v>
      </c>
      <c r="H29" s="27">
        <f t="shared" ref="H29:H47" si="4">H28+G29</f>
        <v>-263302</v>
      </c>
      <c r="I29">
        <f t="shared" si="2"/>
        <v>-13000</v>
      </c>
      <c r="K29">
        <f>IF(Table2[[#This Row],[Buy / Sell]]="Sell",Table2[[#This Row],[Qty]],0)</f>
        <v>-1000</v>
      </c>
      <c r="L29" s="1">
        <f>IF(Table2[[#This Row],[Buy / Sell]]="Sell",Table2[[#This Row],[Trade Price]],0)</f>
        <v>42.41</v>
      </c>
      <c r="M29" s="33">
        <f>SUM($K$14:$K29)</f>
        <v>-18000</v>
      </c>
      <c r="N29" s="1">
        <f>SUMPRODUCT(K$15:K29,L$15:L29)/SUM(K$15:K29)</f>
        <v>38.591176470588238</v>
      </c>
      <c r="P29">
        <f>IF(Table2[[#This Row],[Buy / Sell]]="Buy",Table2[[#This Row],[Qty]],0)</f>
        <v>0</v>
      </c>
      <c r="Q29" s="1">
        <f>IF(Table2[[#This Row],[Buy / Sell]]="Buy",Table2[[#This Row],[Trade Price]],0)</f>
        <v>0</v>
      </c>
      <c r="R29" s="33">
        <f>SUM($P$14:$P29)</f>
        <v>4000</v>
      </c>
      <c r="S29" s="1">
        <f>SUMPRODUCT(P$15:P29,Q$15:Q29)/SUM(P$15:P29)</f>
        <v>37.174999999999997</v>
      </c>
    </row>
    <row r="30" spans="1:19" x14ac:dyDescent="0.25">
      <c r="A30" s="29">
        <v>45433</v>
      </c>
      <c r="B30" s="30" t="s">
        <v>15</v>
      </c>
      <c r="C30" s="31" t="s">
        <v>11</v>
      </c>
      <c r="D30">
        <v>-1000</v>
      </c>
      <c r="E30" s="25">
        <v>42.54</v>
      </c>
      <c r="F30" s="25">
        <f t="shared" si="1"/>
        <v>49.37</v>
      </c>
      <c r="G30" s="26">
        <f t="shared" si="0"/>
        <v>-12976.999999999996</v>
      </c>
      <c r="H30" s="27">
        <f t="shared" si="4"/>
        <v>-276279</v>
      </c>
      <c r="I30">
        <f t="shared" si="2"/>
        <v>-14000</v>
      </c>
      <c r="K30">
        <f>IF(Table2[[#This Row],[Buy / Sell]]="Sell",Table2[[#This Row],[Qty]],0)</f>
        <v>-1000</v>
      </c>
      <c r="L30" s="1">
        <f>IF(Table2[[#This Row],[Buy / Sell]]="Sell",Table2[[#This Row],[Trade Price]],0)</f>
        <v>42.54</v>
      </c>
      <c r="M30" s="33">
        <f>SUM($K$14:$K30)</f>
        <v>-19000</v>
      </c>
      <c r="N30" s="1">
        <f>SUMPRODUCT(K$15:K30,L$15:L30)/SUM(K$15:K30)</f>
        <v>38.810555555555553</v>
      </c>
      <c r="P30">
        <f>IF(Table2[[#This Row],[Buy / Sell]]="Buy",Table2[[#This Row],[Qty]],0)</f>
        <v>0</v>
      </c>
      <c r="Q30" s="1">
        <f>IF(Table2[[#This Row],[Buy / Sell]]="Buy",Table2[[#This Row],[Trade Price]],0)</f>
        <v>0</v>
      </c>
      <c r="R30" s="33">
        <f>SUM($P$14:$P30)</f>
        <v>4000</v>
      </c>
      <c r="S30" s="1">
        <f>SUMPRODUCT(P$15:P30,Q$15:Q30)/SUM(P$15:P30)</f>
        <v>37.174999999999997</v>
      </c>
    </row>
    <row r="31" spans="1:19" x14ac:dyDescent="0.25">
      <c r="A31" s="29">
        <v>45433</v>
      </c>
      <c r="B31" s="30" t="s">
        <v>15</v>
      </c>
      <c r="C31" s="31" t="s">
        <v>11</v>
      </c>
      <c r="D31">
        <v>-1000</v>
      </c>
      <c r="E31" s="25">
        <v>42.38</v>
      </c>
      <c r="F31" s="25">
        <f t="shared" si="1"/>
        <v>49.37</v>
      </c>
      <c r="G31" s="26">
        <f t="shared" si="0"/>
        <v>-13280.999999999989</v>
      </c>
      <c r="H31" s="27">
        <f t="shared" si="4"/>
        <v>-289560</v>
      </c>
      <c r="I31">
        <f t="shared" si="2"/>
        <v>-15000</v>
      </c>
      <c r="K31">
        <f>IF(Table2[[#This Row],[Buy / Sell]]="Sell",Table2[[#This Row],[Qty]],0)</f>
        <v>-1000</v>
      </c>
      <c r="L31" s="1">
        <f>IF(Table2[[#This Row],[Buy / Sell]]="Sell",Table2[[#This Row],[Trade Price]],0)</f>
        <v>42.38</v>
      </c>
      <c r="M31" s="33">
        <f>SUM($K$14:$K31)</f>
        <v>-20000</v>
      </c>
      <c r="N31" s="1">
        <f>SUMPRODUCT(K$15:K31,L$15:L31)/SUM(K$15:K31)</f>
        <v>38.998421052631578</v>
      </c>
      <c r="P31">
        <f>IF(Table2[[#This Row],[Buy / Sell]]="Buy",Table2[[#This Row],[Qty]],0)</f>
        <v>0</v>
      </c>
      <c r="Q31" s="1">
        <f>IF(Table2[[#This Row],[Buy / Sell]]="Buy",Table2[[#This Row],[Trade Price]],0)</f>
        <v>0</v>
      </c>
      <c r="R31" s="33">
        <f>SUM($P$14:$P31)</f>
        <v>4000</v>
      </c>
      <c r="S31" s="1">
        <f>SUMPRODUCT(P$15:P31,Q$15:Q31)/SUM(P$15:P31)</f>
        <v>37.174999999999997</v>
      </c>
    </row>
    <row r="32" spans="1:19" x14ac:dyDescent="0.25">
      <c r="A32" s="29">
        <v>45433</v>
      </c>
      <c r="B32" s="30" t="s">
        <v>15</v>
      </c>
      <c r="C32" s="31" t="s">
        <v>11</v>
      </c>
      <c r="D32">
        <v>-2000</v>
      </c>
      <c r="E32" s="25">
        <v>42.69</v>
      </c>
      <c r="F32" s="25">
        <f t="shared" si="1"/>
        <v>49.37</v>
      </c>
      <c r="G32" s="26">
        <f t="shared" si="0"/>
        <v>-25384</v>
      </c>
      <c r="H32" s="27">
        <f t="shared" si="4"/>
        <v>-314944</v>
      </c>
      <c r="I32">
        <f t="shared" si="2"/>
        <v>-17000</v>
      </c>
      <c r="K32">
        <f>IF(Table2[[#This Row],[Buy / Sell]]="Sell",Table2[[#This Row],[Qty]],0)</f>
        <v>-2000</v>
      </c>
      <c r="L32" s="1">
        <f>IF(Table2[[#This Row],[Buy / Sell]]="Sell",Table2[[#This Row],[Trade Price]],0)</f>
        <v>42.69</v>
      </c>
      <c r="M32" s="33">
        <f>SUM($K$14:$K32)</f>
        <v>-22000</v>
      </c>
      <c r="N32" s="1">
        <f>SUMPRODUCT(K$15:K32,L$15:L32)/SUM(K$15:K32)</f>
        <v>39.35</v>
      </c>
      <c r="P32">
        <f>IF(Table2[[#This Row],[Buy / Sell]]="Buy",Table2[[#This Row],[Qty]],0)</f>
        <v>0</v>
      </c>
      <c r="Q32" s="1">
        <f>IF(Table2[[#This Row],[Buy / Sell]]="Buy",Table2[[#This Row],[Trade Price]],0)</f>
        <v>0</v>
      </c>
      <c r="R32" s="33">
        <f>SUM($P$14:$P32)</f>
        <v>4000</v>
      </c>
      <c r="S32" s="1">
        <f>SUMPRODUCT(P$15:P32,Q$15:Q32)/SUM(P$15:P32)</f>
        <v>37.174999999999997</v>
      </c>
    </row>
    <row r="33" spans="1:21" x14ac:dyDescent="0.25">
      <c r="A33" s="29">
        <v>45435</v>
      </c>
      <c r="B33" s="30" t="s">
        <v>15</v>
      </c>
      <c r="C33" s="31" t="s">
        <v>12</v>
      </c>
      <c r="D33">
        <v>2000</v>
      </c>
      <c r="E33" s="25">
        <v>43.95</v>
      </c>
      <c r="F33" s="25">
        <f t="shared" si="1"/>
        <v>49.37</v>
      </c>
      <c r="G33" s="26">
        <f t="shared" si="0"/>
        <v>20595.999999999978</v>
      </c>
      <c r="H33" s="27">
        <f t="shared" si="4"/>
        <v>-294348</v>
      </c>
      <c r="I33">
        <f t="shared" si="2"/>
        <v>-15000</v>
      </c>
      <c r="K33">
        <f>IF(Table2[[#This Row],[Buy / Sell]]="Sell",Table2[[#This Row],[Qty]],0)</f>
        <v>0</v>
      </c>
      <c r="L33" s="1">
        <f>IF(Table2[[#This Row],[Buy / Sell]]="Sell",Table2[[#This Row],[Trade Price]],0)</f>
        <v>0</v>
      </c>
      <c r="M33" s="33">
        <f>SUM($K$14:$K33)</f>
        <v>-22000</v>
      </c>
      <c r="N33" s="1">
        <f>SUMPRODUCT(K$15:K33,L$15:L33)/SUM(K$15:K33)</f>
        <v>39.35</v>
      </c>
      <c r="P33">
        <f>IF(Table2[[#This Row],[Buy / Sell]]="Buy",Table2[[#This Row],[Qty]],0)</f>
        <v>2000</v>
      </c>
      <c r="Q33" s="1">
        <f>IF(Table2[[#This Row],[Buy / Sell]]="Buy",Table2[[#This Row],[Trade Price]],0)</f>
        <v>43.95</v>
      </c>
      <c r="R33" s="33">
        <f>SUM($P$14:$P33)</f>
        <v>6000</v>
      </c>
      <c r="S33" s="1">
        <f>SUMPRODUCT(P$15:P33,Q$15:Q33)/SUM(P$15:P33)</f>
        <v>39.43333333333333</v>
      </c>
      <c r="T33" s="33"/>
      <c r="U33" s="1"/>
    </row>
    <row r="34" spans="1:21" x14ac:dyDescent="0.25">
      <c r="A34" s="29">
        <v>45435</v>
      </c>
      <c r="B34" s="30" t="s">
        <v>15</v>
      </c>
      <c r="C34" s="31" t="s">
        <v>12</v>
      </c>
      <c r="D34">
        <v>1000</v>
      </c>
      <c r="E34" s="25">
        <v>43.76</v>
      </c>
      <c r="F34" s="25">
        <f t="shared" si="1"/>
        <v>49.37</v>
      </c>
      <c r="G34" s="26">
        <f t="shared" ref="G34:G55" si="5">(F34-E34)*D34*$V$1</f>
        <v>10658.999999999998</v>
      </c>
      <c r="H34" s="27">
        <f t="shared" si="4"/>
        <v>-283689</v>
      </c>
      <c r="I34">
        <f t="shared" si="2"/>
        <v>-14000</v>
      </c>
      <c r="K34">
        <f>IF(Table2[[#This Row],[Buy / Sell]]="Sell",Table2[[#This Row],[Qty]],0)</f>
        <v>0</v>
      </c>
      <c r="L34" s="1">
        <f>IF(Table2[[#This Row],[Buy / Sell]]="Sell",Table2[[#This Row],[Trade Price]],0)</f>
        <v>0</v>
      </c>
      <c r="M34" s="33">
        <f>SUM($K$14:$K34)</f>
        <v>-22000</v>
      </c>
      <c r="N34" s="1">
        <f>SUMPRODUCT(K$15:K34,L$15:L34)/SUM(K$15:K34)</f>
        <v>39.35</v>
      </c>
      <c r="P34">
        <f>IF(Table2[[#This Row],[Buy / Sell]]="Buy",Table2[[#This Row],[Qty]],0)</f>
        <v>1000</v>
      </c>
      <c r="Q34" s="1">
        <f>IF(Table2[[#This Row],[Buy / Sell]]="Buy",Table2[[#This Row],[Trade Price]],0)</f>
        <v>43.76</v>
      </c>
      <c r="R34" s="33">
        <f>SUM($P$14:$P34)</f>
        <v>7000</v>
      </c>
      <c r="S34" s="1">
        <f>SUMPRODUCT(P$15:P34,Q$15:Q34)/SUM(P$15:P34)</f>
        <v>40.051428571428573</v>
      </c>
      <c r="T34" s="33"/>
      <c r="U34" s="1"/>
    </row>
    <row r="35" spans="1:21" x14ac:dyDescent="0.25">
      <c r="A35" s="29">
        <v>45435</v>
      </c>
      <c r="B35" s="30" t="s">
        <v>15</v>
      </c>
      <c r="C35" s="31" t="s">
        <v>12</v>
      </c>
      <c r="D35">
        <v>1000</v>
      </c>
      <c r="E35" s="25">
        <v>44.3</v>
      </c>
      <c r="F35" s="25">
        <f t="shared" si="1"/>
        <v>49.37</v>
      </c>
      <c r="G35" s="26">
        <f t="shared" si="5"/>
        <v>9633</v>
      </c>
      <c r="H35" s="27">
        <f t="shared" si="4"/>
        <v>-274056</v>
      </c>
      <c r="I35">
        <f t="shared" si="2"/>
        <v>-13000</v>
      </c>
      <c r="K35">
        <f>IF(Table2[[#This Row],[Buy / Sell]]="Sell",Table2[[#This Row],[Qty]],0)</f>
        <v>0</v>
      </c>
      <c r="L35" s="1">
        <f>IF(Table2[[#This Row],[Buy / Sell]]="Sell",Table2[[#This Row],[Trade Price]],0)</f>
        <v>0</v>
      </c>
      <c r="M35" s="33">
        <f>SUM($K$14:$K35)</f>
        <v>-22000</v>
      </c>
      <c r="N35" s="1">
        <f>SUMPRODUCT(K$15:K35,L$15:L35)/SUM(K$15:K35)</f>
        <v>39.35</v>
      </c>
      <c r="P35">
        <f>IF(Table2[[#This Row],[Buy / Sell]]="Buy",Table2[[#This Row],[Qty]],0)</f>
        <v>1000</v>
      </c>
      <c r="Q35" s="1">
        <f>IF(Table2[[#This Row],[Buy / Sell]]="Buy",Table2[[#This Row],[Trade Price]],0)</f>
        <v>44.3</v>
      </c>
      <c r="R35" s="33">
        <f>SUM($P$14:$P35)</f>
        <v>8000</v>
      </c>
      <c r="S35" s="1">
        <f>SUMPRODUCT(P$15:P35,Q$15:Q35)/SUM(P$15:P35)</f>
        <v>40.582500000000003</v>
      </c>
      <c r="T35" s="33"/>
      <c r="U35" s="1"/>
    </row>
    <row r="36" spans="1:21" x14ac:dyDescent="0.25">
      <c r="A36" s="29">
        <v>45440</v>
      </c>
      <c r="B36" s="30" t="s">
        <v>15</v>
      </c>
      <c r="C36" s="31" t="s">
        <v>11</v>
      </c>
      <c r="D36">
        <v>-1000</v>
      </c>
      <c r="E36" s="25">
        <v>44.65</v>
      </c>
      <c r="F36" s="25">
        <f t="shared" si="1"/>
        <v>49.37</v>
      </c>
      <c r="G36" s="26">
        <f t="shared" si="5"/>
        <v>-8967.9999999999982</v>
      </c>
      <c r="H36" s="27">
        <f t="shared" si="4"/>
        <v>-283024</v>
      </c>
      <c r="I36">
        <f t="shared" si="2"/>
        <v>-14000</v>
      </c>
      <c r="K36">
        <f>IF(Table2[[#This Row],[Buy / Sell]]="Sell",Table2[[#This Row],[Qty]],0)</f>
        <v>-1000</v>
      </c>
      <c r="L36" s="1">
        <f>IF(Table2[[#This Row],[Buy / Sell]]="Sell",Table2[[#This Row],[Trade Price]],0)</f>
        <v>44.65</v>
      </c>
      <c r="M36" s="33">
        <f>SUM($K$14:$K36)</f>
        <v>-23000</v>
      </c>
      <c r="N36" s="1">
        <f>SUMPRODUCT(K$15:K36,L$15:L36)/SUM(K$15:K36)</f>
        <v>39.590909090909093</v>
      </c>
      <c r="P36">
        <f>IF(Table2[[#This Row],[Buy / Sell]]="Buy",Table2[[#This Row],[Qty]],0)</f>
        <v>0</v>
      </c>
      <c r="Q36" s="1">
        <f>IF(Table2[[#This Row],[Buy / Sell]]="Buy",Table2[[#This Row],[Trade Price]],0)</f>
        <v>0</v>
      </c>
      <c r="R36" s="33">
        <f>SUM($P$14:$P36)</f>
        <v>8000</v>
      </c>
      <c r="S36" s="1">
        <f>SUMPRODUCT(P$15:P36,Q$15:Q36)/SUM(P$15:P36)</f>
        <v>40.582500000000003</v>
      </c>
    </row>
    <row r="37" spans="1:21" x14ac:dyDescent="0.25">
      <c r="A37" s="29">
        <v>45440</v>
      </c>
      <c r="B37" s="30" t="s">
        <v>15</v>
      </c>
      <c r="C37" s="31" t="s">
        <v>11</v>
      </c>
      <c r="D37">
        <v>-1000</v>
      </c>
      <c r="E37" s="35">
        <v>44.65</v>
      </c>
      <c r="F37" s="35">
        <f t="shared" si="1"/>
        <v>49.37</v>
      </c>
      <c r="G37" s="36">
        <f t="shared" si="5"/>
        <v>-8967.9999999999982</v>
      </c>
      <c r="H37" s="27">
        <f t="shared" si="4"/>
        <v>-291992</v>
      </c>
      <c r="I37">
        <f t="shared" si="2"/>
        <v>-15000</v>
      </c>
      <c r="K37">
        <f>IF(Table2[[#This Row],[Buy / Sell]]="Sell",Table2[[#This Row],[Qty]],0)</f>
        <v>-1000</v>
      </c>
      <c r="L37" s="1">
        <f>IF(Table2[[#This Row],[Buy / Sell]]="Sell",Table2[[#This Row],[Trade Price]],0)</f>
        <v>44.65</v>
      </c>
      <c r="M37" s="33">
        <f>SUM($K$14:$K37)</f>
        <v>-24000</v>
      </c>
      <c r="N37" s="1">
        <f>SUMPRODUCT(K$15:K37,L$15:L37)/SUM(K$15:K37)</f>
        <v>39.810869565217388</v>
      </c>
      <c r="P37">
        <f>IF(Table2[[#This Row],[Buy / Sell]]="Buy",Table2[[#This Row],[Qty]],0)</f>
        <v>0</v>
      </c>
      <c r="Q37" s="1">
        <f>IF(Table2[[#This Row],[Buy / Sell]]="Buy",Table2[[#This Row],[Trade Price]],0)</f>
        <v>0</v>
      </c>
      <c r="R37" s="33">
        <f>SUM($P$14:$P37)</f>
        <v>8000</v>
      </c>
      <c r="S37" s="1">
        <f>SUMPRODUCT(P$15:P37,Q$15:Q37)/SUM(P$15:P37)</f>
        <v>40.582500000000003</v>
      </c>
    </row>
    <row r="38" spans="1:21" x14ac:dyDescent="0.25">
      <c r="A38" s="29">
        <v>45440</v>
      </c>
      <c r="B38" s="30" t="s">
        <v>15</v>
      </c>
      <c r="C38" s="31" t="s">
        <v>11</v>
      </c>
      <c r="D38">
        <v>-1000</v>
      </c>
      <c r="E38" s="35">
        <v>44.66</v>
      </c>
      <c r="F38" s="35">
        <f t="shared" si="1"/>
        <v>49.37</v>
      </c>
      <c r="G38" s="26">
        <f t="shared" si="5"/>
        <v>-8949.0000000000018</v>
      </c>
      <c r="H38" s="27">
        <f t="shared" si="4"/>
        <v>-300941</v>
      </c>
      <c r="I38">
        <f t="shared" si="2"/>
        <v>-16000</v>
      </c>
      <c r="K38">
        <f>IF(Table2[[#This Row],[Buy / Sell]]="Sell",Table2[[#This Row],[Qty]],0)</f>
        <v>-1000</v>
      </c>
      <c r="L38" s="1">
        <f>IF(Table2[[#This Row],[Buy / Sell]]="Sell",Table2[[#This Row],[Trade Price]],0)</f>
        <v>44.66</v>
      </c>
      <c r="M38" s="33">
        <f>SUM($K$14:$K38)</f>
        <v>-25000</v>
      </c>
      <c r="N38" s="1">
        <f>SUMPRODUCT(K$15:K38,L$15:L38)/SUM(K$15:K38)</f>
        <v>40.012916666666669</v>
      </c>
      <c r="P38">
        <f>IF(Table2[[#This Row],[Buy / Sell]]="Buy",Table2[[#This Row],[Qty]],0)</f>
        <v>0</v>
      </c>
      <c r="Q38" s="1">
        <f>IF(Table2[[#This Row],[Buy / Sell]]="Buy",Table2[[#This Row],[Trade Price]],0)</f>
        <v>0</v>
      </c>
      <c r="R38" s="33">
        <f>SUM($P$14:$P38)</f>
        <v>8000</v>
      </c>
      <c r="S38" s="1">
        <f>SUMPRODUCT(P$15:P38,Q$15:Q38)/SUM(P$15:P38)</f>
        <v>40.582500000000003</v>
      </c>
      <c r="T38" s="17"/>
    </row>
    <row r="39" spans="1:21" x14ac:dyDescent="0.25">
      <c r="A39" s="29">
        <v>45440</v>
      </c>
      <c r="B39" s="30" t="s">
        <v>15</v>
      </c>
      <c r="C39" s="31" t="s">
        <v>11</v>
      </c>
      <c r="D39">
        <v>-1000</v>
      </c>
      <c r="E39" s="35">
        <v>44.61</v>
      </c>
      <c r="F39" s="35">
        <f t="shared" si="1"/>
        <v>49.37</v>
      </c>
      <c r="G39" s="36">
        <f t="shared" si="5"/>
        <v>-9043.9999999999964</v>
      </c>
      <c r="H39" s="27">
        <f t="shared" si="4"/>
        <v>-309985</v>
      </c>
      <c r="I39">
        <f t="shared" si="2"/>
        <v>-17000</v>
      </c>
      <c r="K39">
        <f>IF(Table2[[#This Row],[Buy / Sell]]="Sell",Table2[[#This Row],[Qty]],0)</f>
        <v>-1000</v>
      </c>
      <c r="L39" s="1">
        <f>IF(Table2[[#This Row],[Buy / Sell]]="Sell",Table2[[#This Row],[Trade Price]],0)</f>
        <v>44.61</v>
      </c>
      <c r="M39" s="33">
        <f>SUM($K$14:$K39)</f>
        <v>-26000</v>
      </c>
      <c r="N39" s="1">
        <f>SUMPRODUCT(K$15:K39,L$15:L39)/SUM(K$15:K39)</f>
        <v>40.196800000000003</v>
      </c>
      <c r="P39">
        <f>IF(Table2[[#This Row],[Buy / Sell]]="Buy",Table2[[#This Row],[Qty]],0)</f>
        <v>0</v>
      </c>
      <c r="Q39" s="1">
        <f>IF(Table2[[#This Row],[Buy / Sell]]="Buy",Table2[[#This Row],[Trade Price]],0)</f>
        <v>0</v>
      </c>
      <c r="R39" s="33">
        <f>SUM($P$14:$P39)</f>
        <v>8000</v>
      </c>
      <c r="S39" s="1">
        <f>SUMPRODUCT(P$15:P39,Q$15:Q39)/SUM(P$15:P39)</f>
        <v>40.582500000000003</v>
      </c>
    </row>
    <row r="40" spans="1:21" x14ac:dyDescent="0.25">
      <c r="A40" s="29">
        <v>45440</v>
      </c>
      <c r="B40" s="30" t="s">
        <v>15</v>
      </c>
      <c r="C40" s="31" t="s">
        <v>11</v>
      </c>
      <c r="D40">
        <v>-2000</v>
      </c>
      <c r="E40" s="35">
        <v>44.74</v>
      </c>
      <c r="F40" s="35">
        <f t="shared" si="1"/>
        <v>49.37</v>
      </c>
      <c r="G40" s="36">
        <f t="shared" si="5"/>
        <v>-17593.999999999982</v>
      </c>
      <c r="H40" s="27">
        <f t="shared" si="4"/>
        <v>-327579</v>
      </c>
      <c r="I40">
        <f t="shared" si="2"/>
        <v>-19000</v>
      </c>
      <c r="K40">
        <f>IF(Table2[[#This Row],[Buy / Sell]]="Sell",Table2[[#This Row],[Qty]],0)</f>
        <v>-2000</v>
      </c>
      <c r="L40" s="1">
        <f>IF(Table2[[#This Row],[Buy / Sell]]="Sell",Table2[[#This Row],[Trade Price]],0)</f>
        <v>44.74</v>
      </c>
      <c r="M40" s="33">
        <f>SUM($K$14:$K40)</f>
        <v>-28000</v>
      </c>
      <c r="N40" s="1">
        <f>SUMPRODUCT(K$15:K40,L$15:L40)/SUM(K$15:K40)</f>
        <v>40.533333333333331</v>
      </c>
      <c r="P40">
        <f>IF(Table2[[#This Row],[Buy / Sell]]="Buy",Table2[[#This Row],[Qty]],0)</f>
        <v>0</v>
      </c>
      <c r="Q40" s="1">
        <f>IF(Table2[[#This Row],[Buy / Sell]]="Buy",Table2[[#This Row],[Trade Price]],0)</f>
        <v>0</v>
      </c>
      <c r="R40" s="33">
        <f>SUM($P$14:$P40)</f>
        <v>8000</v>
      </c>
      <c r="S40" s="1">
        <f>SUMPRODUCT(P$15:P40,Q$15:Q40)/SUM(P$15:P40)</f>
        <v>40.582500000000003</v>
      </c>
    </row>
    <row r="41" spans="1:21" x14ac:dyDescent="0.25">
      <c r="A41" s="29">
        <v>45440</v>
      </c>
      <c r="B41" s="30" t="s">
        <v>15</v>
      </c>
      <c r="C41" s="31" t="s">
        <v>12</v>
      </c>
      <c r="D41">
        <v>2000</v>
      </c>
      <c r="E41" s="35">
        <v>45.88</v>
      </c>
      <c r="F41" s="35">
        <f t="shared" si="1"/>
        <v>49.37</v>
      </c>
      <c r="G41" s="26">
        <f t="shared" si="5"/>
        <v>13261.99999999998</v>
      </c>
      <c r="H41" s="27">
        <f t="shared" si="4"/>
        <v>-314317</v>
      </c>
      <c r="I41">
        <f t="shared" si="2"/>
        <v>-17000</v>
      </c>
      <c r="K41">
        <f>IF(Table2[[#This Row],[Buy / Sell]]="Sell",Table2[[#This Row],[Qty]],0)</f>
        <v>0</v>
      </c>
      <c r="L41" s="1">
        <f>IF(Table2[[#This Row],[Buy / Sell]]="Sell",Table2[[#This Row],[Trade Price]],0)</f>
        <v>0</v>
      </c>
      <c r="M41" s="33">
        <f>SUM($K$14:$K41)</f>
        <v>-28000</v>
      </c>
      <c r="N41" s="1">
        <f>SUMPRODUCT(K$15:K41,L$15:L41)/SUM(K$15:K41)</f>
        <v>40.533333333333331</v>
      </c>
      <c r="P41">
        <f>IF(Table2[[#This Row],[Buy / Sell]]="Buy",Table2[[#This Row],[Qty]],0)</f>
        <v>2000</v>
      </c>
      <c r="Q41" s="1">
        <f>IF(Table2[[#This Row],[Buy / Sell]]="Buy",Table2[[#This Row],[Trade Price]],0)</f>
        <v>45.88</v>
      </c>
      <c r="R41" s="33">
        <f>SUM($P$14:$P41)</f>
        <v>10000</v>
      </c>
      <c r="S41" s="1">
        <f>SUMPRODUCT(P$15:P41,Q$15:Q41)/SUM(P$15:P41)</f>
        <v>41.642000000000003</v>
      </c>
    </row>
    <row r="42" spans="1:21" x14ac:dyDescent="0.25">
      <c r="A42" s="29">
        <v>45440</v>
      </c>
      <c r="B42" s="30" t="s">
        <v>15</v>
      </c>
      <c r="C42" s="31" t="s">
        <v>12</v>
      </c>
      <c r="D42">
        <v>1000</v>
      </c>
      <c r="E42" s="35">
        <v>46.13</v>
      </c>
      <c r="F42" s="35">
        <f t="shared" si="1"/>
        <v>49.37</v>
      </c>
      <c r="G42" s="26">
        <f t="shared" si="5"/>
        <v>6155.99999999999</v>
      </c>
      <c r="H42" s="27">
        <f t="shared" si="4"/>
        <v>-308161</v>
      </c>
      <c r="I42">
        <f t="shared" si="2"/>
        <v>-16000</v>
      </c>
      <c r="K42">
        <f>IF(Table2[[#This Row],[Buy / Sell]]="Sell",Table2[[#This Row],[Qty]],0)</f>
        <v>0</v>
      </c>
      <c r="L42" s="1">
        <f>IF(Table2[[#This Row],[Buy / Sell]]="Sell",Table2[[#This Row],[Trade Price]],0)</f>
        <v>0</v>
      </c>
      <c r="M42" s="33">
        <f>SUM($K$14:$K42)</f>
        <v>-28000</v>
      </c>
      <c r="N42" s="1">
        <f>SUMPRODUCT(K$15:K42,L$15:L42)/SUM(K$15:K42)</f>
        <v>40.533333333333331</v>
      </c>
      <c r="P42">
        <f>IF(Table2[[#This Row],[Buy / Sell]]="Buy",Table2[[#This Row],[Qty]],0)</f>
        <v>1000</v>
      </c>
      <c r="Q42" s="1">
        <f>IF(Table2[[#This Row],[Buy / Sell]]="Buy",Table2[[#This Row],[Trade Price]],0)</f>
        <v>46.13</v>
      </c>
      <c r="R42" s="33">
        <f>SUM($P$14:$P42)</f>
        <v>11000</v>
      </c>
      <c r="S42" s="1">
        <f>SUMPRODUCT(P$15:P42,Q$15:Q42)/SUM(P$15:P42)</f>
        <v>42.05</v>
      </c>
    </row>
    <row r="43" spans="1:21" x14ac:dyDescent="0.25">
      <c r="A43" s="29">
        <v>45440</v>
      </c>
      <c r="B43" s="30" t="s">
        <v>15</v>
      </c>
      <c r="C43" s="31" t="s">
        <v>12</v>
      </c>
      <c r="D43">
        <v>2000</v>
      </c>
      <c r="E43" s="35">
        <v>46.35</v>
      </c>
      <c r="F43" s="35">
        <f t="shared" si="1"/>
        <v>49.37</v>
      </c>
      <c r="G43" s="26">
        <f t="shared" si="5"/>
        <v>11475.999999999984</v>
      </c>
      <c r="H43" s="27">
        <f t="shared" si="4"/>
        <v>-296685</v>
      </c>
      <c r="I43">
        <f t="shared" si="2"/>
        <v>-14000</v>
      </c>
      <c r="K43">
        <f>IF(Table2[[#This Row],[Buy / Sell]]="Sell",Table2[[#This Row],[Qty]],0)</f>
        <v>0</v>
      </c>
      <c r="L43" s="1">
        <f>IF(Table2[[#This Row],[Buy / Sell]]="Sell",Table2[[#This Row],[Trade Price]],0)</f>
        <v>0</v>
      </c>
      <c r="M43" s="33">
        <f>SUM($K$14:$K43)</f>
        <v>-28000</v>
      </c>
      <c r="N43" s="1">
        <f>SUMPRODUCT(K$15:K43,L$15:L43)/SUM(K$15:K43)</f>
        <v>40.533333333333331</v>
      </c>
      <c r="P43">
        <f>IF(Table2[[#This Row],[Buy / Sell]]="Buy",Table2[[#This Row],[Qty]],0)</f>
        <v>2000</v>
      </c>
      <c r="Q43" s="1">
        <f>IF(Table2[[#This Row],[Buy / Sell]]="Buy",Table2[[#This Row],[Trade Price]],0)</f>
        <v>46.35</v>
      </c>
      <c r="R43" s="33">
        <f>SUM($P$14:$P43)</f>
        <v>13000</v>
      </c>
      <c r="S43" s="1">
        <f>SUMPRODUCT(P$15:P43,Q$15:Q43)/SUM(P$15:P43)</f>
        <v>42.71153846153846</v>
      </c>
    </row>
    <row r="44" spans="1:21" x14ac:dyDescent="0.25">
      <c r="A44" s="29">
        <v>45440</v>
      </c>
      <c r="B44" s="30" t="s">
        <v>15</v>
      </c>
      <c r="C44" s="31" t="s">
        <v>12</v>
      </c>
      <c r="D44">
        <v>1000</v>
      </c>
      <c r="E44" s="35">
        <v>46.65</v>
      </c>
      <c r="F44" s="35">
        <f t="shared" si="1"/>
        <v>49.37</v>
      </c>
      <c r="G44" s="26">
        <f t="shared" si="5"/>
        <v>5167.9999999999982</v>
      </c>
      <c r="H44" s="27">
        <f t="shared" si="4"/>
        <v>-291517</v>
      </c>
      <c r="I44">
        <f t="shared" si="2"/>
        <v>-13000</v>
      </c>
      <c r="K44">
        <f>IF(Table2[[#This Row],[Buy / Sell]]="Sell",Table2[[#This Row],[Qty]],0)</f>
        <v>0</v>
      </c>
      <c r="L44" s="1">
        <f>IF(Table2[[#This Row],[Buy / Sell]]="Sell",Table2[[#This Row],[Trade Price]],0)</f>
        <v>0</v>
      </c>
      <c r="M44" s="33">
        <f>SUM($K$14:$K44)</f>
        <v>-28000</v>
      </c>
      <c r="N44" s="1">
        <f>SUMPRODUCT(K$15:K44,L$15:L44)/SUM(K$15:K44)</f>
        <v>40.533333333333331</v>
      </c>
      <c r="P44">
        <f>IF(Table2[[#This Row],[Buy / Sell]]="Buy",Table2[[#This Row],[Qty]],0)</f>
        <v>1000</v>
      </c>
      <c r="Q44" s="1">
        <f>IF(Table2[[#This Row],[Buy / Sell]]="Buy",Table2[[#This Row],[Trade Price]],0)</f>
        <v>46.65</v>
      </c>
      <c r="R44" s="33">
        <f>SUM($P$14:$P44)</f>
        <v>14000</v>
      </c>
      <c r="S44" s="1">
        <f>SUMPRODUCT(P$15:P44,Q$15:Q44)/SUM(P$15:P44)</f>
        <v>42.99285714285714</v>
      </c>
    </row>
    <row r="45" spans="1:21" x14ac:dyDescent="0.25">
      <c r="A45" s="29">
        <v>45442</v>
      </c>
      <c r="B45" s="30" t="s">
        <v>15</v>
      </c>
      <c r="C45" s="31" t="s">
        <v>12</v>
      </c>
      <c r="D45">
        <v>2000</v>
      </c>
      <c r="E45" s="35">
        <v>46.1</v>
      </c>
      <c r="F45" s="35">
        <f t="shared" si="1"/>
        <v>49.37</v>
      </c>
      <c r="G45" s="26">
        <f t="shared" si="5"/>
        <v>12425.999999999984</v>
      </c>
      <c r="H45" s="27">
        <f t="shared" si="4"/>
        <v>-279091</v>
      </c>
      <c r="I45">
        <f t="shared" si="2"/>
        <v>-11000</v>
      </c>
      <c r="K45">
        <f>IF(Table2[[#This Row],[Buy / Sell]]="Sell",Table2[[#This Row],[Qty]],0)</f>
        <v>0</v>
      </c>
      <c r="L45" s="1">
        <f>IF(Table2[[#This Row],[Buy / Sell]]="Sell",Table2[[#This Row],[Trade Price]],0)</f>
        <v>0</v>
      </c>
      <c r="M45" s="33">
        <f>SUM($K$14:$K45)</f>
        <v>-28000</v>
      </c>
      <c r="N45" s="1">
        <f>SUMPRODUCT(K$15:K45,L$15:L45)/SUM(K$15:K45)</f>
        <v>40.533333333333331</v>
      </c>
      <c r="P45">
        <f>IF(Table2[[#This Row],[Buy / Sell]]="Buy",Table2[[#This Row],[Qty]],0)</f>
        <v>2000</v>
      </c>
      <c r="Q45" s="1">
        <f>IF(Table2[[#This Row],[Buy / Sell]]="Buy",Table2[[#This Row],[Trade Price]],0)</f>
        <v>46.1</v>
      </c>
      <c r="R45" s="33">
        <f>SUM($P$14:$P45)</f>
        <v>16000</v>
      </c>
      <c r="S45" s="1">
        <f>SUMPRODUCT(P$15:P45,Q$15:Q45)/SUM(P$15:P45)</f>
        <v>43.381250000000001</v>
      </c>
    </row>
    <row r="46" spans="1:21" x14ac:dyDescent="0.25">
      <c r="A46" s="29">
        <v>45442</v>
      </c>
      <c r="B46" s="30" t="s">
        <v>15</v>
      </c>
      <c r="C46" s="31" t="s">
        <v>12</v>
      </c>
      <c r="D46">
        <v>1000</v>
      </c>
      <c r="E46" s="35">
        <v>46.42</v>
      </c>
      <c r="F46" s="35">
        <f t="shared" si="1"/>
        <v>49.37</v>
      </c>
      <c r="G46" s="26">
        <f t="shared" si="5"/>
        <v>5604.9999999999918</v>
      </c>
      <c r="H46" s="27">
        <f t="shared" si="4"/>
        <v>-273486</v>
      </c>
      <c r="I46">
        <f t="shared" si="2"/>
        <v>-10000</v>
      </c>
      <c r="K46">
        <f>IF(Table2[[#This Row],[Buy / Sell]]="Sell",Table2[[#This Row],[Qty]],0)</f>
        <v>0</v>
      </c>
      <c r="L46" s="1">
        <f>IF(Table2[[#This Row],[Buy / Sell]]="Sell",Table2[[#This Row],[Trade Price]],0)</f>
        <v>0</v>
      </c>
      <c r="M46" s="33">
        <f>SUM($K$14:$K46)</f>
        <v>-28000</v>
      </c>
      <c r="N46" s="1">
        <f>SUMPRODUCT(K$15:K46,L$15:L46)/SUM(K$15:K46)</f>
        <v>40.533333333333331</v>
      </c>
      <c r="P46">
        <f>IF(Table2[[#This Row],[Buy / Sell]]="Buy",Table2[[#This Row],[Qty]],0)</f>
        <v>1000</v>
      </c>
      <c r="Q46" s="1">
        <f>IF(Table2[[#This Row],[Buy / Sell]]="Buy",Table2[[#This Row],[Trade Price]],0)</f>
        <v>46.42</v>
      </c>
      <c r="R46" s="33">
        <f>SUM($P$14:$P46)</f>
        <v>17000</v>
      </c>
      <c r="S46" s="1">
        <f>SUMPRODUCT(P$15:P46,Q$15:Q46)/SUM(P$15:P46)</f>
        <v>43.56</v>
      </c>
    </row>
    <row r="47" spans="1:21" x14ac:dyDescent="0.25">
      <c r="A47" s="29">
        <v>45443</v>
      </c>
      <c r="B47" s="30" t="s">
        <v>15</v>
      </c>
      <c r="C47" s="31" t="s">
        <v>12</v>
      </c>
      <c r="D47">
        <v>2000</v>
      </c>
      <c r="E47" s="35">
        <v>46.67</v>
      </c>
      <c r="F47" s="35">
        <f t="shared" si="1"/>
        <v>49.37</v>
      </c>
      <c r="G47" s="26">
        <f t="shared" si="5"/>
        <v>10259.999999999984</v>
      </c>
      <c r="H47" s="27">
        <f t="shared" si="4"/>
        <v>-263226</v>
      </c>
      <c r="I47">
        <f t="shared" si="2"/>
        <v>-8000</v>
      </c>
      <c r="K47">
        <f>IF(Table2[[#This Row],[Buy / Sell]]="Sell",Table2[[#This Row],[Qty]],0)</f>
        <v>0</v>
      </c>
      <c r="L47" s="1">
        <f>IF(Table2[[#This Row],[Buy / Sell]]="Sell",Table2[[#This Row],[Trade Price]],0)</f>
        <v>0</v>
      </c>
      <c r="M47" s="33">
        <f>SUM($K$14:$K47)</f>
        <v>-28000</v>
      </c>
      <c r="N47" s="1">
        <f>SUMPRODUCT(K$15:K47,L$15:L47)/SUM(K$15:K47)</f>
        <v>40.533333333333331</v>
      </c>
      <c r="P47">
        <f>IF(Table2[[#This Row],[Buy / Sell]]="Buy",Table2[[#This Row],[Qty]],0)</f>
        <v>2000</v>
      </c>
      <c r="Q47" s="1">
        <f>IF(Table2[[#This Row],[Buy / Sell]]="Buy",Table2[[#This Row],[Trade Price]],0)</f>
        <v>46.67</v>
      </c>
      <c r="R47" s="33">
        <f>SUM($P$14:$P47)</f>
        <v>19000</v>
      </c>
      <c r="S47" s="1">
        <f>SUMPRODUCT(P$15:P47,Q$15:Q47)/SUM(P$15:P47)</f>
        <v>43.887368421052635</v>
      </c>
    </row>
    <row r="48" spans="1:21" x14ac:dyDescent="0.25">
      <c r="A48" s="29">
        <v>45446</v>
      </c>
      <c r="B48" s="30" t="s">
        <v>15</v>
      </c>
      <c r="C48" s="31" t="s">
        <v>12</v>
      </c>
      <c r="D48">
        <v>1000</v>
      </c>
      <c r="E48" s="35">
        <v>49.35</v>
      </c>
      <c r="F48" s="35">
        <f t="shared" si="1"/>
        <v>49.37</v>
      </c>
      <c r="G48" s="26">
        <f t="shared" si="5"/>
        <v>37.99999999999244</v>
      </c>
      <c r="H48" s="27">
        <f t="shared" ref="H48:H53" si="6">H47+G48</f>
        <v>-263188</v>
      </c>
      <c r="I48">
        <f t="shared" si="2"/>
        <v>-7000</v>
      </c>
      <c r="K48">
        <f>IF(Table2[[#This Row],[Buy / Sell]]="Sell",Table2[[#This Row],[Qty]],0)</f>
        <v>0</v>
      </c>
      <c r="L48" s="1">
        <f>IF(Table2[[#This Row],[Buy / Sell]]="Sell",Table2[[#This Row],[Trade Price]],0)</f>
        <v>0</v>
      </c>
      <c r="M48" s="33">
        <f>SUM($K$14:$K48)</f>
        <v>-28000</v>
      </c>
      <c r="N48" s="1">
        <f>SUMPRODUCT(K$15:K48,L$15:L48)/SUM(K$15:K48)</f>
        <v>40.533333333333331</v>
      </c>
      <c r="P48">
        <f>IF(Table2[[#This Row],[Buy / Sell]]="Buy",Table2[[#This Row],[Qty]],0)</f>
        <v>1000</v>
      </c>
      <c r="Q48" s="1">
        <f>IF(Table2[[#This Row],[Buy / Sell]]="Buy",Table2[[#This Row],[Trade Price]],0)</f>
        <v>49.35</v>
      </c>
      <c r="R48" s="33">
        <f>SUM($P$14:$P48)</f>
        <v>20000</v>
      </c>
      <c r="S48" s="1">
        <f>SUMPRODUCT(P$15:P48,Q$15:Q48)/SUM(P$15:P48)</f>
        <v>44.160499999999999</v>
      </c>
    </row>
    <row r="49" spans="1:19" x14ac:dyDescent="0.25">
      <c r="A49" s="29">
        <v>45446</v>
      </c>
      <c r="B49" s="30" t="s">
        <v>15</v>
      </c>
      <c r="C49" s="31" t="s">
        <v>12</v>
      </c>
      <c r="D49">
        <v>1000</v>
      </c>
      <c r="E49" s="35">
        <v>49.75</v>
      </c>
      <c r="F49" s="35">
        <f t="shared" si="1"/>
        <v>49.37</v>
      </c>
      <c r="G49" s="26">
        <f t="shared" si="5"/>
        <v>-722.00000000000477</v>
      </c>
      <c r="H49" s="27">
        <f t="shared" si="6"/>
        <v>-263910</v>
      </c>
      <c r="I49">
        <f t="shared" si="2"/>
        <v>-6000</v>
      </c>
      <c r="K49">
        <f>IF(Table2[[#This Row],[Buy / Sell]]="Sell",Table2[[#This Row],[Qty]],0)</f>
        <v>0</v>
      </c>
      <c r="L49" s="1">
        <f>IF(Table2[[#This Row],[Buy / Sell]]="Sell",Table2[[#This Row],[Trade Price]],0)</f>
        <v>0</v>
      </c>
      <c r="M49" s="33">
        <f>SUM($K$14:$K49)</f>
        <v>-28000</v>
      </c>
      <c r="N49" s="1">
        <f>SUMPRODUCT(K$15:K49,L$15:L49)/SUM(K$15:K49)</f>
        <v>40.533333333333331</v>
      </c>
      <c r="P49">
        <f>IF(Table2[[#This Row],[Buy / Sell]]="Buy",Table2[[#This Row],[Qty]],0)</f>
        <v>1000</v>
      </c>
      <c r="Q49" s="1">
        <f>IF(Table2[[#This Row],[Buy / Sell]]="Buy",Table2[[#This Row],[Trade Price]],0)</f>
        <v>49.75</v>
      </c>
      <c r="R49" s="33">
        <f>SUM($P$14:$P49)</f>
        <v>21000</v>
      </c>
      <c r="S49" s="1">
        <f>SUMPRODUCT(P$15:P49,Q$15:Q49)/SUM(P$15:P49)</f>
        <v>44.426666666666669</v>
      </c>
    </row>
    <row r="50" spans="1:19" x14ac:dyDescent="0.25">
      <c r="A50" s="29">
        <v>45446</v>
      </c>
      <c r="B50" s="30" t="s">
        <v>15</v>
      </c>
      <c r="C50" s="31" t="s">
        <v>11</v>
      </c>
      <c r="D50">
        <v>-1000</v>
      </c>
      <c r="E50" s="35">
        <v>48.73</v>
      </c>
      <c r="F50" s="35">
        <f t="shared" si="1"/>
        <v>49.37</v>
      </c>
      <c r="G50" s="26">
        <f t="shared" si="5"/>
        <v>-1216.0000000000009</v>
      </c>
      <c r="H50" s="27">
        <f t="shared" si="6"/>
        <v>-265126</v>
      </c>
      <c r="I50">
        <f t="shared" si="2"/>
        <v>-7000</v>
      </c>
      <c r="K50">
        <f>IF(Table2[[#This Row],[Buy / Sell]]="Sell",Table2[[#This Row],[Qty]],0)</f>
        <v>-1000</v>
      </c>
      <c r="L50" s="1">
        <f>IF(Table2[[#This Row],[Buy / Sell]]="Sell",Table2[[#This Row],[Trade Price]],0)</f>
        <v>48.73</v>
      </c>
      <c r="M50" s="33">
        <f>SUM($K$14:$K50)</f>
        <v>-29000</v>
      </c>
      <c r="N50" s="1">
        <f>SUMPRODUCT(K$15:K50,L$15:L50)/SUM(K$15:K50)</f>
        <v>40.826071428571431</v>
      </c>
      <c r="P50">
        <f>IF(Table2[[#This Row],[Buy / Sell]]="Buy",Table2[[#This Row],[Qty]],0)</f>
        <v>0</v>
      </c>
      <c r="Q50" s="1">
        <f>IF(Table2[[#This Row],[Buy / Sell]]="Buy",Table2[[#This Row],[Trade Price]],0)</f>
        <v>0</v>
      </c>
      <c r="R50" s="33">
        <f>SUM($P$14:$P50)</f>
        <v>21000</v>
      </c>
      <c r="S50" s="1">
        <f>SUMPRODUCT(P$15:P50,Q$15:Q50)/SUM(P$15:P50)</f>
        <v>44.426666666666669</v>
      </c>
    </row>
    <row r="51" spans="1:19" x14ac:dyDescent="0.25">
      <c r="A51" s="29">
        <v>45447</v>
      </c>
      <c r="B51" s="30" t="s">
        <v>15</v>
      </c>
      <c r="C51" s="31" t="s">
        <v>11</v>
      </c>
      <c r="D51">
        <v>-1000</v>
      </c>
      <c r="E51" s="35">
        <v>48.23</v>
      </c>
      <c r="F51" s="35">
        <f t="shared" si="1"/>
        <v>49.37</v>
      </c>
      <c r="G51" s="26">
        <f t="shared" si="5"/>
        <v>-2166.0000000000009</v>
      </c>
      <c r="H51" s="27">
        <f t="shared" si="6"/>
        <v>-267292</v>
      </c>
      <c r="I51">
        <f t="shared" si="2"/>
        <v>-8000</v>
      </c>
      <c r="K51">
        <f>IF(Table2[[#This Row],[Buy / Sell]]="Sell",Table2[[#This Row],[Qty]],0)</f>
        <v>-1000</v>
      </c>
      <c r="L51" s="1">
        <f>IF(Table2[[#This Row],[Buy / Sell]]="Sell",Table2[[#This Row],[Trade Price]],0)</f>
        <v>48.23</v>
      </c>
      <c r="M51" s="33">
        <f>SUM($K$14:$K51)</f>
        <v>-30000</v>
      </c>
      <c r="N51" s="1">
        <f>SUMPRODUCT(K$15:K51,L$15:L51)/SUM(K$15:K51)</f>
        <v>41.081379310344829</v>
      </c>
      <c r="P51">
        <f>IF(Table2[[#This Row],[Buy / Sell]]="Buy",Table2[[#This Row],[Qty]],0)</f>
        <v>0</v>
      </c>
      <c r="Q51" s="1">
        <f>IF(Table2[[#This Row],[Buy / Sell]]="Buy",Table2[[#This Row],[Trade Price]],0)</f>
        <v>0</v>
      </c>
      <c r="R51" s="33">
        <f>SUM($P$14:$P51)</f>
        <v>21000</v>
      </c>
      <c r="S51" s="1">
        <f>SUMPRODUCT(P$15:P51,Q$15:Q51)/SUM(P$15:P51)</f>
        <v>44.426666666666669</v>
      </c>
    </row>
    <row r="52" spans="1:19" x14ac:dyDescent="0.25">
      <c r="A52" s="29">
        <v>45447</v>
      </c>
      <c r="B52" s="30" t="s">
        <v>15</v>
      </c>
      <c r="C52" s="31" t="s">
        <v>11</v>
      </c>
      <c r="D52">
        <v>-2000</v>
      </c>
      <c r="E52" s="35">
        <v>47.41</v>
      </c>
      <c r="F52" s="35">
        <f t="shared" si="1"/>
        <v>49.37</v>
      </c>
      <c r="G52" s="26">
        <f t="shared" si="5"/>
        <v>-7448.0000000000027</v>
      </c>
      <c r="H52" s="27">
        <f t="shared" si="6"/>
        <v>-274740</v>
      </c>
      <c r="I52">
        <f t="shared" si="2"/>
        <v>-10000</v>
      </c>
      <c r="K52">
        <f>IF(Table2[[#This Row],[Buy / Sell]]="Sell",Table2[[#This Row],[Qty]],0)</f>
        <v>-2000</v>
      </c>
      <c r="L52" s="1">
        <f>IF(Table2[[#This Row],[Buy / Sell]]="Sell",Table2[[#This Row],[Trade Price]],0)</f>
        <v>47.41</v>
      </c>
      <c r="M52" s="33">
        <f>SUM($K$14:$K52)</f>
        <v>-32000</v>
      </c>
      <c r="N52" s="1">
        <f>SUMPRODUCT(K$15:K52,L$15:L52)/SUM(K$15:K52)</f>
        <v>41.489677419354841</v>
      </c>
      <c r="P52">
        <f>IF(Table2[[#This Row],[Buy / Sell]]="Buy",Table2[[#This Row],[Qty]],0)</f>
        <v>0</v>
      </c>
      <c r="Q52" s="1">
        <f>IF(Table2[[#This Row],[Buy / Sell]]="Buy",Table2[[#This Row],[Trade Price]],0)</f>
        <v>0</v>
      </c>
      <c r="R52" s="33">
        <f>SUM($P$14:$P52)</f>
        <v>21000</v>
      </c>
      <c r="S52" s="1">
        <f>SUMPRODUCT(P$15:P52,Q$15:Q52)/SUM(P$15:P52)</f>
        <v>44.426666666666669</v>
      </c>
    </row>
    <row r="53" spans="1:19" x14ac:dyDescent="0.25">
      <c r="A53" s="29">
        <v>45447</v>
      </c>
      <c r="B53" s="30" t="s">
        <v>15</v>
      </c>
      <c r="C53" s="31" t="s">
        <v>11</v>
      </c>
      <c r="D53">
        <v>-1000</v>
      </c>
      <c r="E53" s="35">
        <v>47.16</v>
      </c>
      <c r="F53" s="35">
        <f t="shared" si="1"/>
        <v>49.37</v>
      </c>
      <c r="G53" s="36">
        <f t="shared" si="5"/>
        <v>-4199.0000000000018</v>
      </c>
      <c r="H53" s="27">
        <f t="shared" si="6"/>
        <v>-278939</v>
      </c>
      <c r="I53">
        <f t="shared" si="2"/>
        <v>-11000</v>
      </c>
      <c r="K53">
        <f>IF(Table2[[#This Row],[Buy / Sell]]="Sell",Table2[[#This Row],[Qty]],0)</f>
        <v>-1000</v>
      </c>
      <c r="L53" s="1">
        <f>IF(Table2[[#This Row],[Buy / Sell]]="Sell",Table2[[#This Row],[Trade Price]],0)</f>
        <v>47.16</v>
      </c>
      <c r="M53" s="33">
        <f>SUM($K$14:$K53)</f>
        <v>-33000</v>
      </c>
      <c r="N53" s="1">
        <f>SUMPRODUCT(K$15:K53,L$15:L53)/SUM(K$15:K53)</f>
        <v>41.666874999999997</v>
      </c>
      <c r="P53">
        <f>IF(Table2[[#This Row],[Buy / Sell]]="Buy",Table2[[#This Row],[Qty]],0)</f>
        <v>0</v>
      </c>
      <c r="Q53" s="1">
        <f>IF(Table2[[#This Row],[Buy / Sell]]="Buy",Table2[[#This Row],[Trade Price]],0)</f>
        <v>0</v>
      </c>
      <c r="R53" s="33">
        <f>SUM($P$14:$P53)</f>
        <v>21000</v>
      </c>
      <c r="S53" s="1">
        <f>SUMPRODUCT(P$15:P53,Q$15:Q53)/SUM(P$15:P53)</f>
        <v>44.426666666666669</v>
      </c>
    </row>
    <row r="54" spans="1:19" x14ac:dyDescent="0.25">
      <c r="A54" s="29">
        <v>45448</v>
      </c>
      <c r="B54" s="30" t="s">
        <v>15</v>
      </c>
      <c r="C54" s="31" t="s">
        <v>11</v>
      </c>
      <c r="D54">
        <v>-1000</v>
      </c>
      <c r="E54" s="35">
        <v>46.84</v>
      </c>
      <c r="F54" s="35">
        <f t="shared" si="1"/>
        <v>49.37</v>
      </c>
      <c r="G54" s="36">
        <f t="shared" si="5"/>
        <v>-4806.9999999999882</v>
      </c>
      <c r="H54" s="27">
        <f>H53+G54</f>
        <v>-283746</v>
      </c>
      <c r="I54">
        <f t="shared" si="2"/>
        <v>-12000</v>
      </c>
      <c r="K54">
        <f>IF(Table2[[#This Row],[Buy / Sell]]="Sell",Table2[[#This Row],[Qty]],0)</f>
        <v>-1000</v>
      </c>
      <c r="L54" s="1">
        <f>IF(Table2[[#This Row],[Buy / Sell]]="Sell",Table2[[#This Row],[Trade Price]],0)</f>
        <v>46.84</v>
      </c>
      <c r="M54" s="33">
        <f>SUM($K$14:$K54)</f>
        <v>-34000</v>
      </c>
      <c r="N54" s="1">
        <f>SUMPRODUCT(K$15:K54,L$15:L54)/SUM(K$15:K54)</f>
        <v>41.823636363636361</v>
      </c>
      <c r="P54">
        <f>IF(Table2[[#This Row],[Buy / Sell]]="Buy",Table2[[#This Row],[Qty]],0)</f>
        <v>0</v>
      </c>
      <c r="Q54" s="1">
        <f>IF(Table2[[#This Row],[Buy / Sell]]="Buy",Table2[[#This Row],[Trade Price]],0)</f>
        <v>0</v>
      </c>
      <c r="R54" s="33">
        <f>SUM($P$14:$P54)</f>
        <v>21000</v>
      </c>
      <c r="S54" s="1">
        <f>SUMPRODUCT(P$15:P54,Q$15:Q54)/SUM(P$15:P54)</f>
        <v>44.426666666666669</v>
      </c>
    </row>
    <row r="55" spans="1:19" x14ac:dyDescent="0.25">
      <c r="A55" s="29">
        <v>45448</v>
      </c>
      <c r="B55" s="30" t="s">
        <v>15</v>
      </c>
      <c r="C55" s="31" t="s">
        <v>11</v>
      </c>
      <c r="D55">
        <v>-1000</v>
      </c>
      <c r="E55" s="35">
        <v>46.34</v>
      </c>
      <c r="F55" s="35">
        <f t="shared" si="1"/>
        <v>49.37</v>
      </c>
      <c r="G55" s="36">
        <f t="shared" si="5"/>
        <v>-5756.9999999999882</v>
      </c>
      <c r="H55" s="27">
        <f>H54+G55</f>
        <v>-289503</v>
      </c>
      <c r="I55">
        <f t="shared" si="2"/>
        <v>-13000</v>
      </c>
      <c r="K55">
        <f>IF(Table2[[#This Row],[Buy / Sell]]="Sell",Table2[[#This Row],[Qty]],0)</f>
        <v>-1000</v>
      </c>
      <c r="L55" s="1">
        <f>IF(Table2[[#This Row],[Buy / Sell]]="Sell",Table2[[#This Row],[Trade Price]],0)</f>
        <v>46.34</v>
      </c>
      <c r="M55" s="33">
        <f>SUM($K$14:$K55)</f>
        <v>-35000</v>
      </c>
      <c r="N55" s="1">
        <f>SUMPRODUCT(K$15:K55,L$15:L55)/SUM(K$15:K55)</f>
        <v>41.956470588235291</v>
      </c>
      <c r="P55">
        <f>IF(Table2[[#This Row],[Buy / Sell]]="Buy",Table2[[#This Row],[Qty]],0)</f>
        <v>0</v>
      </c>
      <c r="Q55" s="1">
        <f>IF(Table2[[#This Row],[Buy / Sell]]="Buy",Table2[[#This Row],[Trade Price]],0)</f>
        <v>0</v>
      </c>
      <c r="R55" s="33">
        <f>SUM($P$14:$P55)</f>
        <v>21000</v>
      </c>
      <c r="S55" s="1">
        <f>SUMPRODUCT(P$15:P55,Q$15:Q55)/SUM(P$15:P55)</f>
        <v>44.426666666666669</v>
      </c>
    </row>
    <row r="56" spans="1:19" x14ac:dyDescent="0.25">
      <c r="A56" s="29">
        <v>45456</v>
      </c>
      <c r="B56" s="30" t="s">
        <v>15</v>
      </c>
      <c r="C56" s="31" t="s">
        <v>12</v>
      </c>
      <c r="D56">
        <v>1000</v>
      </c>
      <c r="E56" s="35">
        <v>48.8</v>
      </c>
      <c r="F56" s="35">
        <f t="shared" si="1"/>
        <v>49.37</v>
      </c>
      <c r="G56" s="26">
        <f t="shared" ref="G56:G58" si="7">(F56-E56)*D56*$V$1</f>
        <v>1083.0000000000005</v>
      </c>
      <c r="H56" s="27">
        <f t="shared" ref="H56:H58" si="8">H55+G56</f>
        <v>-288420</v>
      </c>
      <c r="I56">
        <f t="shared" ref="I56:I58" si="9">I55+D56</f>
        <v>-12000</v>
      </c>
      <c r="K56">
        <f>IF(Table2[[#This Row],[Buy / Sell]]="Sell",Table2[[#This Row],[Qty]],0)</f>
        <v>0</v>
      </c>
      <c r="L56" s="1">
        <f>IF(Table2[[#This Row],[Buy / Sell]]="Sell",Table2[[#This Row],[Trade Price]],0)</f>
        <v>0</v>
      </c>
      <c r="M56" s="33">
        <f>SUM($K$14:$K56)</f>
        <v>-35000</v>
      </c>
      <c r="N56" s="1">
        <f>SUMPRODUCT(K$15:K56,L$15:L56)/SUM(K$15:K56)</f>
        <v>41.956470588235291</v>
      </c>
      <c r="P56">
        <f>IF(Table2[[#This Row],[Buy / Sell]]="Buy",Table2[[#This Row],[Qty]],0)</f>
        <v>1000</v>
      </c>
      <c r="Q56" s="1">
        <f>IF(Table2[[#This Row],[Buy / Sell]]="Buy",Table2[[#This Row],[Trade Price]],0)</f>
        <v>48.8</v>
      </c>
      <c r="R56" s="33">
        <f>SUM($P$14:$P56)</f>
        <v>22000</v>
      </c>
      <c r="S56" s="1">
        <f>SUMPRODUCT(P$15:P56,Q$15:Q56)/SUM(P$15:P56)</f>
        <v>44.625454545454545</v>
      </c>
    </row>
    <row r="57" spans="1:19" x14ac:dyDescent="0.25">
      <c r="A57" s="29">
        <v>45456</v>
      </c>
      <c r="B57" s="30" t="s">
        <v>15</v>
      </c>
      <c r="C57" s="31" t="s">
        <v>12</v>
      </c>
      <c r="D57">
        <v>1000</v>
      </c>
      <c r="E57" s="35">
        <v>48.72</v>
      </c>
      <c r="F57" s="35">
        <f t="shared" si="1"/>
        <v>49.37</v>
      </c>
      <c r="G57" s="26">
        <f t="shared" si="7"/>
        <v>1234.9999999999973</v>
      </c>
      <c r="H57" s="27">
        <f t="shared" si="8"/>
        <v>-287185</v>
      </c>
      <c r="I57">
        <f t="shared" si="9"/>
        <v>-11000</v>
      </c>
      <c r="K57">
        <f>IF(Table2[[#This Row],[Buy / Sell]]="Sell",Table2[[#This Row],[Qty]],0)</f>
        <v>0</v>
      </c>
      <c r="L57" s="1">
        <f>IF(Table2[[#This Row],[Buy / Sell]]="Sell",Table2[[#This Row],[Trade Price]],0)</f>
        <v>0</v>
      </c>
      <c r="M57" s="33">
        <f>SUM($K$14:$K57)</f>
        <v>-35000</v>
      </c>
      <c r="N57" s="1">
        <f>SUMPRODUCT(K$15:K57,L$15:L57)/SUM(K$15:K57)</f>
        <v>41.956470588235291</v>
      </c>
      <c r="P57">
        <f>IF(Table2[[#This Row],[Buy / Sell]]="Buy",Table2[[#This Row],[Qty]],0)</f>
        <v>1000</v>
      </c>
      <c r="Q57" s="1">
        <f>IF(Table2[[#This Row],[Buy / Sell]]="Buy",Table2[[#This Row],[Trade Price]],0)</f>
        <v>48.72</v>
      </c>
      <c r="R57" s="33">
        <f>SUM($P$14:$P57)</f>
        <v>23000</v>
      </c>
      <c r="S57" s="1">
        <f>SUMPRODUCT(P$15:P57,Q$15:Q57)/SUM(P$15:P57)</f>
        <v>44.803478260869568</v>
      </c>
    </row>
    <row r="58" spans="1:19" x14ac:dyDescent="0.25">
      <c r="A58" s="29">
        <v>45457</v>
      </c>
      <c r="B58" s="30" t="s">
        <v>15</v>
      </c>
      <c r="C58" s="31" t="s">
        <v>12</v>
      </c>
      <c r="D58">
        <v>1000</v>
      </c>
      <c r="E58" s="35">
        <v>49.2</v>
      </c>
      <c r="F58" s="35">
        <f t="shared" si="1"/>
        <v>49.37</v>
      </c>
      <c r="G58" s="36">
        <f t="shared" si="7"/>
        <v>322.99999999998971</v>
      </c>
      <c r="H58" s="27">
        <f t="shared" si="8"/>
        <v>-286862</v>
      </c>
      <c r="I58">
        <f t="shared" si="9"/>
        <v>-10000</v>
      </c>
      <c r="K58">
        <f>IF(Table2[[#This Row],[Buy / Sell]]="Sell",Table2[[#This Row],[Qty]],0)</f>
        <v>0</v>
      </c>
      <c r="L58" s="1">
        <f>IF(Table2[[#This Row],[Buy / Sell]]="Sell",Table2[[#This Row],[Trade Price]],0)</f>
        <v>0</v>
      </c>
      <c r="M58" s="33">
        <f>SUM($K$14:$K58)</f>
        <v>-35000</v>
      </c>
      <c r="N58" s="1">
        <f>SUMPRODUCT(K$15:K58,L$15:L58)/SUM(K$15:K58)</f>
        <v>41.956470588235291</v>
      </c>
      <c r="P58">
        <f>IF(Table2[[#This Row],[Buy / Sell]]="Buy",Table2[[#This Row],[Qty]],0)</f>
        <v>1000</v>
      </c>
      <c r="Q58" s="1">
        <f>IF(Table2[[#This Row],[Buy / Sell]]="Buy",Table2[[#This Row],[Trade Price]],0)</f>
        <v>49.2</v>
      </c>
      <c r="R58" s="33">
        <f>SUM($P$14:$P58)</f>
        <v>24000</v>
      </c>
      <c r="S58" s="1">
        <f>SUMPRODUCT(P$15:P58,Q$15:Q58)/SUM(P$15:P58)</f>
        <v>44.986666666666665</v>
      </c>
    </row>
    <row r="59" spans="1:19" x14ac:dyDescent="0.25">
      <c r="A59" s="66">
        <v>45462</v>
      </c>
      <c r="B59" s="30" t="s">
        <v>15</v>
      </c>
      <c r="C59" s="31" t="s">
        <v>12</v>
      </c>
      <c r="D59">
        <v>1000</v>
      </c>
      <c r="E59" s="35">
        <v>50.09</v>
      </c>
      <c r="F59" s="35">
        <f t="shared" si="1"/>
        <v>49.37</v>
      </c>
      <c r="G59" s="36">
        <f t="shared" ref="G59" si="10">(F59-E59)*D59*$V$1</f>
        <v>-1368.0000000000111</v>
      </c>
      <c r="H59" s="27">
        <f t="shared" ref="H59" si="11">H58+G59</f>
        <v>-288230</v>
      </c>
      <c r="I59">
        <f t="shared" ref="I59" si="12">I58+D59</f>
        <v>-9000</v>
      </c>
      <c r="K59">
        <f>IF(Table2[[#This Row],[Buy / Sell]]="Sell",Table2[[#This Row],[Qty]],0)</f>
        <v>0</v>
      </c>
      <c r="L59" s="1">
        <f>IF(Table2[[#This Row],[Buy / Sell]]="Sell",Table2[[#This Row],[Trade Price]],0)</f>
        <v>0</v>
      </c>
      <c r="M59" s="33">
        <f>SUM($K$14:$K59)</f>
        <v>-35000</v>
      </c>
      <c r="N59" s="1">
        <f>SUMPRODUCT(K$15:K59,L$15:L59)/SUM(K$15:K59)</f>
        <v>41.956470588235291</v>
      </c>
      <c r="P59">
        <f>IF(Table2[[#This Row],[Buy / Sell]]="Buy",Table2[[#This Row],[Qty]],0)</f>
        <v>1000</v>
      </c>
      <c r="Q59" s="1">
        <f>IF(Table2[[#This Row],[Buy / Sell]]="Buy",Table2[[#This Row],[Trade Price]],0)</f>
        <v>50.09</v>
      </c>
      <c r="R59" s="33">
        <f>SUM($P$14:$P59)</f>
        <v>25000</v>
      </c>
      <c r="S59" s="1">
        <f>SUMPRODUCT(P$15:P59,Q$15:Q59)/SUM(P$15:P59)</f>
        <v>45.190800000000003</v>
      </c>
    </row>
  </sheetData>
  <conditionalFormatting sqref="C2:C59">
    <cfRule type="containsText" dxfId="19" priority="41" operator="containsText" text="Buy">
      <formula>NOT(ISERROR(SEARCH("Buy",C2)))</formula>
    </cfRule>
    <cfRule type="containsText" dxfId="18" priority="42" operator="containsText" text="Sell">
      <formula>NOT(ISERROR(SEARCH("Sell",C2)))</formula>
    </cfRule>
  </conditionalFormatting>
  <conditionalFormatting sqref="G2:H59">
    <cfRule type="cellIs" dxfId="17" priority="1" operator="lessThan">
      <formula>0</formula>
    </cfRule>
  </conditionalFormatting>
  <conditionalFormatting sqref="H10:H59">
    <cfRule type="cellIs" dxfId="16" priority="149" operator="lessThan">
      <formula>0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61823-222B-44E9-93BA-7150D64E7CA7}">
  <sheetPr codeName="Sheet3"/>
  <dimension ref="A1:N9"/>
  <sheetViews>
    <sheetView workbookViewId="0">
      <selection activeCell="N23" sqref="N23"/>
    </sheetView>
  </sheetViews>
  <sheetFormatPr defaultRowHeight="15" x14ac:dyDescent="0.25"/>
  <cols>
    <col min="7" max="7" width="0" hidden="1" customWidth="1"/>
    <col min="8" max="9" width="12.7109375" customWidth="1"/>
  </cols>
  <sheetData>
    <row r="1" spans="1:14" ht="15.75" thickBot="1" x14ac:dyDescent="0.3">
      <c r="A1" s="2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4" t="s">
        <v>9</v>
      </c>
      <c r="I1" s="18" t="s">
        <v>30</v>
      </c>
      <c r="M1" t="s">
        <v>7</v>
      </c>
      <c r="N1" s="40">
        <f>[1]Daily_MTM!$J$60</f>
        <v>36.520000000000003</v>
      </c>
    </row>
    <row r="2" spans="1:14" ht="15.75" thickTop="1" x14ac:dyDescent="0.25">
      <c r="A2" s="8">
        <v>45418</v>
      </c>
      <c r="B2" s="5" t="s">
        <v>20</v>
      </c>
      <c r="C2" s="5" t="s">
        <v>12</v>
      </c>
      <c r="D2" s="5">
        <v>2000</v>
      </c>
      <c r="E2" s="9">
        <v>39.450000000000003</v>
      </c>
      <c r="F2" s="9">
        <f>$N$1</f>
        <v>36.520000000000003</v>
      </c>
      <c r="G2" s="9">
        <v>1099.9999999999943</v>
      </c>
      <c r="H2" s="10">
        <f t="shared" ref="H2:H9" si="0">(F2-E2)*D2*1.5</f>
        <v>-8789.9999999999982</v>
      </c>
      <c r="I2" s="20">
        <f>H2</f>
        <v>-8789.9999999999982</v>
      </c>
      <c r="J2">
        <f>D2</f>
        <v>2000</v>
      </c>
    </row>
    <row r="3" spans="1:14" x14ac:dyDescent="0.25">
      <c r="A3" s="11">
        <v>45419</v>
      </c>
      <c r="B3" s="6" t="s">
        <v>20</v>
      </c>
      <c r="C3" s="6" t="s">
        <v>12</v>
      </c>
      <c r="D3" s="6">
        <v>2000</v>
      </c>
      <c r="E3" s="12">
        <v>40.1</v>
      </c>
      <c r="F3" s="9">
        <f t="shared" ref="F3:F9" si="1">$N$1</f>
        <v>36.520000000000003</v>
      </c>
      <c r="G3" s="12">
        <v>-243439790.16897666</v>
      </c>
      <c r="H3" s="10">
        <f t="shared" si="0"/>
        <v>-10739.999999999995</v>
      </c>
      <c r="I3" s="20">
        <f t="shared" ref="I3:I9" si="2">I2+H3</f>
        <v>-19529.999999999993</v>
      </c>
      <c r="J3">
        <f t="shared" ref="J3:J9" si="3">J2+D3</f>
        <v>4000</v>
      </c>
    </row>
    <row r="4" spans="1:14" x14ac:dyDescent="0.25">
      <c r="A4" s="8">
        <v>45419</v>
      </c>
      <c r="B4" s="5" t="s">
        <v>20</v>
      </c>
      <c r="C4" s="5" t="s">
        <v>12</v>
      </c>
      <c r="D4" s="5">
        <v>2000</v>
      </c>
      <c r="E4" s="9">
        <v>39.950000000000003</v>
      </c>
      <c r="F4" s="9">
        <f t="shared" si="1"/>
        <v>36.520000000000003</v>
      </c>
      <c r="G4" s="9">
        <v>-243439490.16897666</v>
      </c>
      <c r="H4" s="10">
        <f t="shared" si="0"/>
        <v>-10289.999999999998</v>
      </c>
      <c r="I4" s="20">
        <f t="shared" si="2"/>
        <v>-29819.999999999993</v>
      </c>
      <c r="J4">
        <f t="shared" si="3"/>
        <v>6000</v>
      </c>
    </row>
    <row r="5" spans="1:14" x14ac:dyDescent="0.25">
      <c r="A5" s="11">
        <v>45422</v>
      </c>
      <c r="B5" s="6" t="s">
        <v>20</v>
      </c>
      <c r="C5" s="6" t="s">
        <v>12</v>
      </c>
      <c r="D5" s="6">
        <v>1000</v>
      </c>
      <c r="E5" s="12">
        <v>39.75</v>
      </c>
      <c r="F5" s="9">
        <f t="shared" si="1"/>
        <v>36.520000000000003</v>
      </c>
      <c r="G5" s="12">
        <v>-121719545.08448833</v>
      </c>
      <c r="H5" s="10">
        <f t="shared" si="0"/>
        <v>-4844.9999999999955</v>
      </c>
      <c r="I5" s="20">
        <f t="shared" si="2"/>
        <v>-34664.999999999985</v>
      </c>
      <c r="J5">
        <f t="shared" si="3"/>
        <v>7000</v>
      </c>
    </row>
    <row r="6" spans="1:14" x14ac:dyDescent="0.25">
      <c r="A6" s="8">
        <v>45422</v>
      </c>
      <c r="B6" s="5" t="s">
        <v>20</v>
      </c>
      <c r="C6" s="5" t="s">
        <v>12</v>
      </c>
      <c r="D6" s="5">
        <v>1000</v>
      </c>
      <c r="E6" s="9">
        <v>39.42</v>
      </c>
      <c r="F6" s="9">
        <f t="shared" si="1"/>
        <v>36.520000000000003</v>
      </c>
      <c r="G6" s="9">
        <v>-121719215.08448833</v>
      </c>
      <c r="H6" s="10">
        <f t="shared" si="0"/>
        <v>-4349.9999999999982</v>
      </c>
      <c r="I6" s="20">
        <f t="shared" si="2"/>
        <v>-39014.999999999985</v>
      </c>
      <c r="J6">
        <f t="shared" si="3"/>
        <v>8000</v>
      </c>
      <c r="K6" s="1">
        <f>SUMPRODUCT(D2:D6,E2:E6)/SUM(D2:D6)</f>
        <v>39.771250000000002</v>
      </c>
    </row>
    <row r="7" spans="1:14" x14ac:dyDescent="0.25">
      <c r="A7" s="8">
        <v>45442</v>
      </c>
      <c r="B7" s="5" t="s">
        <v>20</v>
      </c>
      <c r="C7" s="5" t="s">
        <v>12</v>
      </c>
      <c r="D7" s="5">
        <v>3000</v>
      </c>
      <c r="E7" s="9">
        <v>38.75</v>
      </c>
      <c r="F7" s="9">
        <f t="shared" si="1"/>
        <v>36.520000000000003</v>
      </c>
      <c r="G7" s="9">
        <v>-121719215.08448833</v>
      </c>
      <c r="H7" s="10">
        <f t="shared" si="0"/>
        <v>-10034.999999999985</v>
      </c>
      <c r="I7" s="20">
        <f t="shared" si="2"/>
        <v>-49049.999999999971</v>
      </c>
      <c r="J7">
        <f t="shared" si="3"/>
        <v>11000</v>
      </c>
      <c r="K7" s="1">
        <f>SUMPRODUCT(D3:D7,E3:E7)/SUM(D3:D7)</f>
        <v>39.502222222222223</v>
      </c>
    </row>
    <row r="8" spans="1:14" x14ac:dyDescent="0.25">
      <c r="A8" s="37">
        <v>45446</v>
      </c>
      <c r="B8" s="5" t="s">
        <v>20</v>
      </c>
      <c r="C8" t="s">
        <v>12</v>
      </c>
      <c r="D8" s="38">
        <v>1000</v>
      </c>
      <c r="E8" s="39">
        <v>38.51</v>
      </c>
      <c r="F8" s="9">
        <f t="shared" si="1"/>
        <v>36.520000000000003</v>
      </c>
      <c r="H8" s="10">
        <f t="shared" si="0"/>
        <v>-2984.9999999999927</v>
      </c>
      <c r="I8" s="20">
        <f t="shared" si="2"/>
        <v>-52034.999999999964</v>
      </c>
      <c r="J8">
        <f t="shared" si="3"/>
        <v>12000</v>
      </c>
      <c r="K8" s="1">
        <f>SUMPRODUCT(D4:D8,E4:E8)/SUM(D4:D8)</f>
        <v>39.228749999999998</v>
      </c>
    </row>
    <row r="9" spans="1:14" x14ac:dyDescent="0.25">
      <c r="A9" s="37">
        <v>45446</v>
      </c>
      <c r="B9" s="5" t="s">
        <v>20</v>
      </c>
      <c r="C9" t="s">
        <v>12</v>
      </c>
      <c r="D9" s="38">
        <v>3000</v>
      </c>
      <c r="E9" s="39">
        <v>38.26</v>
      </c>
      <c r="F9" s="9">
        <f t="shared" si="1"/>
        <v>36.520000000000003</v>
      </c>
      <c r="H9" s="10">
        <f t="shared" si="0"/>
        <v>-7829.9999999999764</v>
      </c>
      <c r="I9" s="20">
        <f t="shared" si="2"/>
        <v>-59864.999999999942</v>
      </c>
      <c r="J9">
        <f t="shared" si="3"/>
        <v>15000</v>
      </c>
      <c r="K9" s="1">
        <f>SUMPRODUCT(D5:D9,E5:E9)/SUM(D5:D9)</f>
        <v>38.745555555555555</v>
      </c>
    </row>
  </sheetData>
  <conditionalFormatting sqref="G2:I7">
    <cfRule type="cellIs" dxfId="15" priority="2" operator="lessThan">
      <formula>0</formula>
    </cfRule>
  </conditionalFormatting>
  <conditionalFormatting sqref="H8:I9">
    <cfRule type="cellIs" dxfId="14" priority="1" operator="lessThan">
      <formula>0</formula>
    </cfRule>
  </conditionalFormatting>
  <conditionalFormatting sqref="I3:I9">
    <cfRule type="cellIs" dxfId="13" priority="3" operator="lessThan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F0208-BB05-48CA-94C2-2C0E96B6DACA}">
  <sheetPr codeName="Sheet4"/>
  <dimension ref="A1:O8"/>
  <sheetViews>
    <sheetView workbookViewId="0">
      <selection activeCell="C17" sqref="C17"/>
    </sheetView>
  </sheetViews>
  <sheetFormatPr defaultRowHeight="15" x14ac:dyDescent="0.25"/>
  <cols>
    <col min="9" max="10" width="12.5703125" customWidth="1"/>
  </cols>
  <sheetData>
    <row r="1" spans="1:15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9</v>
      </c>
      <c r="J1" s="18" t="s">
        <v>25</v>
      </c>
      <c r="N1" t="s">
        <v>7</v>
      </c>
      <c r="O1" s="19">
        <v>18.5</v>
      </c>
    </row>
    <row r="2" spans="1:15" ht="15.75" thickTop="1" x14ac:dyDescent="0.25">
      <c r="A2" s="8">
        <v>45422</v>
      </c>
      <c r="B2" s="5" t="s">
        <v>23</v>
      </c>
      <c r="C2" s="5" t="s">
        <v>19</v>
      </c>
      <c r="D2" s="5" t="s">
        <v>23</v>
      </c>
      <c r="E2" s="5" t="s">
        <v>12</v>
      </c>
      <c r="F2" s="5">
        <v>2000</v>
      </c>
      <c r="G2" s="9">
        <v>21.4</v>
      </c>
      <c r="H2" s="9">
        <f>$O$1</f>
        <v>18.5</v>
      </c>
      <c r="I2" s="10">
        <f>(H2-G2)*F2*1.5</f>
        <v>-8699.9999999999964</v>
      </c>
      <c r="J2" s="20">
        <f>I2</f>
        <v>-8699.9999999999964</v>
      </c>
      <c r="K2">
        <f>F2</f>
        <v>2000</v>
      </c>
    </row>
    <row r="3" spans="1:15" x14ac:dyDescent="0.25">
      <c r="A3" s="8">
        <v>45433</v>
      </c>
      <c r="B3" s="5" t="s">
        <v>23</v>
      </c>
      <c r="C3" s="5" t="s">
        <v>19</v>
      </c>
      <c r="D3" s="5" t="s">
        <v>23</v>
      </c>
      <c r="E3" s="5" t="s">
        <v>12</v>
      </c>
      <c r="F3" s="5">
        <v>2000</v>
      </c>
      <c r="G3" s="9">
        <v>22.02</v>
      </c>
      <c r="H3" s="9">
        <f>$O$1</f>
        <v>18.5</v>
      </c>
      <c r="I3" s="10">
        <f>(H3-G3)*F3*1.5</f>
        <v>-10559.999999999998</v>
      </c>
      <c r="J3" s="20">
        <f>J2+I3</f>
        <v>-19259.999999999993</v>
      </c>
      <c r="K3">
        <f>K2+F3</f>
        <v>4000</v>
      </c>
    </row>
    <row r="4" spans="1:15" x14ac:dyDescent="0.25">
      <c r="A4" s="8">
        <v>45433</v>
      </c>
      <c r="B4" s="5" t="s">
        <v>23</v>
      </c>
      <c r="C4" s="5" t="s">
        <v>19</v>
      </c>
      <c r="D4" s="5" t="s">
        <v>23</v>
      </c>
      <c r="E4" s="5" t="s">
        <v>12</v>
      </c>
      <c r="F4" s="5">
        <v>2000</v>
      </c>
      <c r="G4" s="9">
        <v>21.76</v>
      </c>
      <c r="H4" s="9">
        <f>$O$1</f>
        <v>18.5</v>
      </c>
      <c r="I4" s="10">
        <f>(H4-G4)*F4*1.5</f>
        <v>-9780.0000000000036</v>
      </c>
      <c r="J4" s="20">
        <f>J3+I4</f>
        <v>-29039.999999999996</v>
      </c>
      <c r="K4">
        <f>K3+F4</f>
        <v>6000</v>
      </c>
      <c r="L4" s="1">
        <f>SUMPRODUCT(F$2:F4,G$2:G4)/SUM(F$2:F4)</f>
        <v>21.726666666666667</v>
      </c>
    </row>
    <row r="5" spans="1:15" x14ac:dyDescent="0.25">
      <c r="A5" s="8">
        <v>45433</v>
      </c>
      <c r="B5" s="5" t="s">
        <v>23</v>
      </c>
      <c r="C5" s="5" t="s">
        <v>19</v>
      </c>
      <c r="D5" s="5" t="s">
        <v>23</v>
      </c>
      <c r="E5" s="5" t="s">
        <v>12</v>
      </c>
      <c r="F5" s="5">
        <v>1000</v>
      </c>
      <c r="G5" s="9">
        <v>21.26</v>
      </c>
      <c r="H5" s="9">
        <f>$O$1</f>
        <v>18.5</v>
      </c>
      <c r="I5" s="10">
        <f>(H5-G5)*F5*1.5</f>
        <v>-4140.0000000000018</v>
      </c>
      <c r="J5" s="20">
        <f>J4+I5</f>
        <v>-33180</v>
      </c>
      <c r="K5">
        <f>K4+F5</f>
        <v>7000</v>
      </c>
      <c r="L5" s="1">
        <f>SUMPRODUCT(F$2:F5,G$2:G5)/SUM(F$2:F5)</f>
        <v>21.66</v>
      </c>
    </row>
    <row r="6" spans="1:15" x14ac:dyDescent="0.25">
      <c r="A6" s="8">
        <v>45447</v>
      </c>
      <c r="B6" s="5" t="s">
        <v>23</v>
      </c>
      <c r="C6" s="5" t="s">
        <v>19</v>
      </c>
      <c r="D6" s="5" t="s">
        <v>23</v>
      </c>
      <c r="E6" s="5" t="s">
        <v>12</v>
      </c>
      <c r="F6" s="5">
        <v>2000</v>
      </c>
      <c r="G6" s="9">
        <v>21.01</v>
      </c>
      <c r="H6" s="9">
        <f>$O$1</f>
        <v>18.5</v>
      </c>
      <c r="I6" s="10">
        <f>(H6-G6)*F6*1.5</f>
        <v>-7530.0000000000036</v>
      </c>
      <c r="J6" s="20">
        <f>J5+I6</f>
        <v>-40710</v>
      </c>
      <c r="K6">
        <f>K5+F6</f>
        <v>9000</v>
      </c>
      <c r="L6" s="1">
        <f>SUMPRODUCT(F$2:F6,G$2:G6)/SUM(F$2:F6)</f>
        <v>21.515555555555554</v>
      </c>
    </row>
    <row r="7" spans="1:15" x14ac:dyDescent="0.25">
      <c r="A7" s="8"/>
      <c r="B7" s="5"/>
      <c r="C7" s="5"/>
      <c r="D7" s="5"/>
      <c r="E7" s="5"/>
      <c r="F7" s="5"/>
      <c r="G7" s="9"/>
      <c r="H7" s="9"/>
      <c r="I7" s="10"/>
      <c r="J7" s="20"/>
      <c r="K7">
        <f>K6+F7</f>
        <v>9000</v>
      </c>
      <c r="L7" s="1">
        <f>SUMPRODUCT(F$2:F7,G$2:G7)/SUM(F$2:F7)</f>
        <v>21.515555555555554</v>
      </c>
    </row>
    <row r="8" spans="1:15" x14ac:dyDescent="0.25">
      <c r="A8" s="8"/>
      <c r="B8" s="5"/>
      <c r="C8" s="5"/>
      <c r="D8" s="5"/>
      <c r="E8" s="5"/>
      <c r="F8" s="5"/>
      <c r="G8" s="9"/>
      <c r="H8" s="9"/>
      <c r="I8" s="10"/>
      <c r="J8" s="20"/>
      <c r="L8" s="1"/>
    </row>
  </sheetData>
  <conditionalFormatting sqref="I2:J8">
    <cfRule type="cellIs" dxfId="12" priority="1" operator="lessThan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CB75B-6F05-4940-B2FE-C92E5A7ED54B}">
  <sheetPr codeName="Sheet5"/>
  <dimension ref="A1:X10"/>
  <sheetViews>
    <sheetView workbookViewId="0">
      <selection activeCell="A9" sqref="A9"/>
    </sheetView>
  </sheetViews>
  <sheetFormatPr defaultRowHeight="15" x14ac:dyDescent="0.25"/>
  <cols>
    <col min="5" max="5" width="12.5703125" customWidth="1"/>
    <col min="6" max="6" width="15.5703125" customWidth="1"/>
    <col min="7" max="7" width="11.5703125" bestFit="1" customWidth="1"/>
    <col min="8" max="8" width="15.28515625" bestFit="1" customWidth="1"/>
    <col min="9" max="9" width="6.7109375" customWidth="1"/>
    <col min="22" max="22" width="11.5703125" bestFit="1" customWidth="1"/>
  </cols>
  <sheetData>
    <row r="1" spans="1:24" ht="15.75" thickBot="1" x14ac:dyDescent="0.3">
      <c r="A1" s="2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4" t="s">
        <v>9</v>
      </c>
      <c r="H1" s="18" t="s">
        <v>25</v>
      </c>
    </row>
    <row r="2" spans="1:24" ht="15.75" thickTop="1" x14ac:dyDescent="0.25">
      <c r="A2" s="8">
        <v>45432</v>
      </c>
      <c r="B2" s="5" t="s">
        <v>22</v>
      </c>
      <c r="C2" s="5" t="s">
        <v>12</v>
      </c>
      <c r="D2" s="5">
        <v>5000</v>
      </c>
      <c r="E2" s="9">
        <v>44</v>
      </c>
      <c r="F2" s="9">
        <f t="shared" ref="F2:F8" si="0">$X$3</f>
        <v>48</v>
      </c>
      <c r="G2" s="10">
        <f t="shared" ref="G2:G9" si="1">(F2-E2)*D2*0.9</f>
        <v>18000</v>
      </c>
      <c r="H2" s="20">
        <f>G2</f>
        <v>18000</v>
      </c>
      <c r="I2">
        <f>D2</f>
        <v>5000</v>
      </c>
      <c r="L2">
        <f>IF($C2="Sell",$D2,0)</f>
        <v>0</v>
      </c>
      <c r="M2" s="1">
        <f>IF($C2="Sell",$E2,0)</f>
        <v>0</v>
      </c>
      <c r="N2" s="33">
        <f>L2</f>
        <v>0</v>
      </c>
      <c r="O2" s="1">
        <f>M2</f>
        <v>0</v>
      </c>
      <c r="Q2">
        <f>IF($C2="Buy",$D2,0)</f>
        <v>5000</v>
      </c>
      <c r="R2" s="1">
        <f>IF($C2="Buy",$E2,0)</f>
        <v>44</v>
      </c>
      <c r="S2" s="33">
        <f>Q2</f>
        <v>5000</v>
      </c>
      <c r="T2" s="1">
        <f>R2</f>
        <v>44</v>
      </c>
    </row>
    <row r="3" spans="1:24" x14ac:dyDescent="0.25">
      <c r="A3" s="8">
        <v>45433</v>
      </c>
      <c r="B3" s="5" t="s">
        <v>22</v>
      </c>
      <c r="C3" s="5" t="s">
        <v>12</v>
      </c>
      <c r="D3" s="5">
        <v>10000</v>
      </c>
      <c r="E3" s="9">
        <v>47</v>
      </c>
      <c r="F3" s="9">
        <f t="shared" si="0"/>
        <v>48</v>
      </c>
      <c r="G3" s="10">
        <f t="shared" si="1"/>
        <v>9000</v>
      </c>
      <c r="H3" s="20">
        <f t="shared" ref="H3:H9" si="2">H2+G3</f>
        <v>27000</v>
      </c>
      <c r="I3">
        <f>I2+D3</f>
        <v>15000</v>
      </c>
      <c r="J3" s="1"/>
      <c r="L3">
        <f>IF($C3="Sell",$D3,0)</f>
        <v>0</v>
      </c>
      <c r="M3" s="1">
        <f>IF($C3="Sell",$E3,0)</f>
        <v>0</v>
      </c>
      <c r="N3" s="33">
        <f>SUM(L$2:L3)</f>
        <v>0</v>
      </c>
      <c r="O3" s="1" t="e">
        <f>SUMPRODUCT(L$2:L3,M$2:M3)/N3</f>
        <v>#DIV/0!</v>
      </c>
      <c r="Q3">
        <f>IF($C3="Buy",$D3,0)</f>
        <v>10000</v>
      </c>
      <c r="R3" s="1">
        <f>IF($C3="Buy",$E3,0)</f>
        <v>47</v>
      </c>
      <c r="S3" s="33">
        <f>S2+Q3</f>
        <v>15000</v>
      </c>
      <c r="T3" s="1">
        <f>SUMPRODUCT(Q$2:Q3,R$2:R3)/S3</f>
        <v>46</v>
      </c>
      <c r="W3" t="s">
        <v>7</v>
      </c>
      <c r="X3" s="40">
        <f>[1]Daily_MTM_live!$J$44</f>
        <v>48</v>
      </c>
    </row>
    <row r="4" spans="1:24" x14ac:dyDescent="0.25">
      <c r="A4" s="8">
        <v>45435</v>
      </c>
      <c r="B4" s="5" t="s">
        <v>22</v>
      </c>
      <c r="C4" s="5" t="s">
        <v>11</v>
      </c>
      <c r="D4" s="5">
        <v>-10000</v>
      </c>
      <c r="E4" s="9">
        <v>46</v>
      </c>
      <c r="F4" s="9">
        <f t="shared" si="0"/>
        <v>48</v>
      </c>
      <c r="G4" s="10">
        <f t="shared" si="1"/>
        <v>-18000</v>
      </c>
      <c r="H4" s="20">
        <f t="shared" si="2"/>
        <v>9000</v>
      </c>
      <c r="I4">
        <f t="shared" ref="I4:I9" si="3">I3+D4</f>
        <v>5000</v>
      </c>
      <c r="J4" s="1"/>
      <c r="L4">
        <f>IF($C4="Sell",$D4,0)</f>
        <v>-10000</v>
      </c>
      <c r="M4" s="1">
        <f>IF($C4="Sell",$E4,0)</f>
        <v>46</v>
      </c>
      <c r="N4" s="33">
        <f>SUM(L$2:L4)</f>
        <v>-10000</v>
      </c>
      <c r="O4" s="1">
        <f>SUMPRODUCT(L$2:L4,M$2:M4)/N4</f>
        <v>46</v>
      </c>
      <c r="Q4">
        <f>IF($C4="Buy",$D4,0)</f>
        <v>0</v>
      </c>
      <c r="R4" s="1">
        <f>IF($C4="Buy",$E4,0)</f>
        <v>0</v>
      </c>
      <c r="S4" s="33">
        <f>S3+Q4</f>
        <v>15000</v>
      </c>
      <c r="T4" s="1">
        <f>SUMPRODUCT(Q$2:Q4,R$2:R4)/S4</f>
        <v>46</v>
      </c>
    </row>
    <row r="5" spans="1:24" x14ac:dyDescent="0.25">
      <c r="A5" s="8">
        <v>45439</v>
      </c>
      <c r="B5" s="5" t="s">
        <v>22</v>
      </c>
      <c r="C5" s="5" t="s">
        <v>12</v>
      </c>
      <c r="D5" s="5">
        <v>5000</v>
      </c>
      <c r="E5" s="9">
        <v>45.45</v>
      </c>
      <c r="F5" s="9">
        <f t="shared" si="0"/>
        <v>48</v>
      </c>
      <c r="G5" s="10">
        <f t="shared" si="1"/>
        <v>11474.999999999987</v>
      </c>
      <c r="H5" s="20">
        <f t="shared" si="2"/>
        <v>20474.999999999985</v>
      </c>
      <c r="I5">
        <f t="shared" si="3"/>
        <v>10000</v>
      </c>
      <c r="J5" s="1"/>
      <c r="L5">
        <f t="shared" ref="L5:L9" si="4">IF($C5="Sell",$D5,0)</f>
        <v>0</v>
      </c>
      <c r="M5" s="1">
        <f t="shared" ref="M5:M9" si="5">IF($C5="Sell",$E5,0)</f>
        <v>0</v>
      </c>
      <c r="N5" s="33">
        <f>SUM(L$2:L5)</f>
        <v>-10000</v>
      </c>
      <c r="O5" s="1">
        <f>SUMPRODUCT(L$2:L5,M$2:M5)/N5</f>
        <v>46</v>
      </c>
      <c r="Q5">
        <f t="shared" ref="Q5:Q9" si="6">IF($C5="Buy",$D5,0)</f>
        <v>5000</v>
      </c>
      <c r="R5" s="1">
        <f t="shared" ref="R5:R9" si="7">IF($C5="Buy",$E5,0)</f>
        <v>45.45</v>
      </c>
      <c r="S5" s="33">
        <f t="shared" ref="S5:S8" si="8">S4+Q5</f>
        <v>20000</v>
      </c>
      <c r="T5" s="1">
        <f>SUMPRODUCT(Q$2:Q5,R$2:R5)/S5</f>
        <v>45.862499999999997</v>
      </c>
    </row>
    <row r="6" spans="1:24" x14ac:dyDescent="0.25">
      <c r="A6" s="8">
        <v>45442</v>
      </c>
      <c r="B6" s="5" t="s">
        <v>22</v>
      </c>
      <c r="C6" s="5" t="s">
        <v>12</v>
      </c>
      <c r="D6" s="5">
        <v>5000</v>
      </c>
      <c r="E6" s="9">
        <v>48.5</v>
      </c>
      <c r="F6" s="9">
        <f t="shared" si="0"/>
        <v>48</v>
      </c>
      <c r="G6" s="10">
        <f t="shared" si="1"/>
        <v>-2250</v>
      </c>
      <c r="H6" s="20">
        <f t="shared" si="2"/>
        <v>18224.999999999985</v>
      </c>
      <c r="I6">
        <f t="shared" si="3"/>
        <v>15000</v>
      </c>
      <c r="J6" s="1"/>
      <c r="L6">
        <f t="shared" si="4"/>
        <v>0</v>
      </c>
      <c r="M6" s="1">
        <f t="shared" si="5"/>
        <v>0</v>
      </c>
      <c r="N6" s="33">
        <f>SUM(L$2:L6)</f>
        <v>-10000</v>
      </c>
      <c r="O6" s="1">
        <f>SUMPRODUCT(L$2:L6,M$2:M6)/N6</f>
        <v>46</v>
      </c>
      <c r="Q6">
        <f t="shared" si="6"/>
        <v>5000</v>
      </c>
      <c r="R6" s="1">
        <f t="shared" si="7"/>
        <v>48.5</v>
      </c>
      <c r="S6" s="33">
        <f t="shared" si="8"/>
        <v>25000</v>
      </c>
      <c r="T6" s="1">
        <f>SUMPRODUCT(Q$2:Q6,R$2:R6)/S6</f>
        <v>46.39</v>
      </c>
    </row>
    <row r="7" spans="1:24" x14ac:dyDescent="0.25">
      <c r="A7" s="8">
        <v>45447</v>
      </c>
      <c r="B7" s="5" t="s">
        <v>22</v>
      </c>
      <c r="C7" s="5" t="s">
        <v>11</v>
      </c>
      <c r="D7" s="5">
        <v>-10000</v>
      </c>
      <c r="E7" s="9">
        <v>54.5</v>
      </c>
      <c r="F7" s="9">
        <f t="shared" si="0"/>
        <v>48</v>
      </c>
      <c r="G7" s="10">
        <f t="shared" si="1"/>
        <v>58500</v>
      </c>
      <c r="H7" s="20">
        <f t="shared" si="2"/>
        <v>76724.999999999985</v>
      </c>
      <c r="I7">
        <f t="shared" si="3"/>
        <v>5000</v>
      </c>
      <c r="J7" s="1"/>
      <c r="L7">
        <f t="shared" si="4"/>
        <v>-10000</v>
      </c>
      <c r="M7" s="1">
        <f t="shared" si="5"/>
        <v>54.5</v>
      </c>
      <c r="N7" s="33">
        <f>SUM(L$2:L7)</f>
        <v>-20000</v>
      </c>
      <c r="O7" s="1">
        <f>SUMPRODUCT(L$2:L7,M$2:M7)/N7</f>
        <v>50.25</v>
      </c>
      <c r="Q7">
        <f t="shared" si="6"/>
        <v>0</v>
      </c>
      <c r="R7" s="1">
        <f t="shared" si="7"/>
        <v>0</v>
      </c>
      <c r="S7" s="33">
        <f t="shared" si="8"/>
        <v>25000</v>
      </c>
      <c r="T7" s="1">
        <f>SUMPRODUCT(Q$2:Q7,R$2:R7)/S7</f>
        <v>46.39</v>
      </c>
    </row>
    <row r="8" spans="1:24" s="52" customFormat="1" ht="15.75" thickBot="1" x14ac:dyDescent="0.3">
      <c r="A8" s="61">
        <v>45449</v>
      </c>
      <c r="B8" s="62" t="s">
        <v>22</v>
      </c>
      <c r="C8" s="62" t="s">
        <v>11</v>
      </c>
      <c r="D8" s="62">
        <v>-5000</v>
      </c>
      <c r="E8" s="63">
        <v>53</v>
      </c>
      <c r="F8" s="63">
        <f t="shared" si="0"/>
        <v>48</v>
      </c>
      <c r="G8" s="50">
        <f t="shared" si="1"/>
        <v>22500</v>
      </c>
      <c r="H8" s="64">
        <f t="shared" si="2"/>
        <v>99224.999999999985</v>
      </c>
      <c r="I8" s="52">
        <f t="shared" si="3"/>
        <v>0</v>
      </c>
      <c r="J8" s="49"/>
      <c r="L8" s="52">
        <f t="shared" si="4"/>
        <v>-5000</v>
      </c>
      <c r="M8" s="49">
        <f t="shared" si="5"/>
        <v>53</v>
      </c>
      <c r="N8" s="53">
        <f>SUM(L$2:L8)</f>
        <v>-25000</v>
      </c>
      <c r="O8" s="49">
        <f>SUMPRODUCT(L$2:L8,M$2:M8)/N8</f>
        <v>50.8</v>
      </c>
      <c r="Q8" s="52">
        <f t="shared" si="6"/>
        <v>0</v>
      </c>
      <c r="R8" s="49">
        <f t="shared" si="7"/>
        <v>0</v>
      </c>
      <c r="S8" s="53">
        <f t="shared" si="8"/>
        <v>25000</v>
      </c>
      <c r="T8" s="49">
        <f>SUMPRODUCT(Q$2:Q8,R$2:R8)/S8</f>
        <v>46.39</v>
      </c>
      <c r="V8" s="49"/>
    </row>
    <row r="9" spans="1:24" x14ac:dyDescent="0.25">
      <c r="A9" s="37">
        <v>45454</v>
      </c>
      <c r="B9" s="38" t="s">
        <v>22</v>
      </c>
      <c r="C9" s="38" t="s">
        <v>12</v>
      </c>
      <c r="D9" s="38">
        <v>5000</v>
      </c>
      <c r="E9" s="39">
        <v>48.75</v>
      </c>
      <c r="F9" s="17">
        <f>X3</f>
        <v>48</v>
      </c>
      <c r="G9" s="65">
        <f t="shared" si="1"/>
        <v>-3375</v>
      </c>
      <c r="H9" s="20">
        <f t="shared" si="2"/>
        <v>95849.999999999985</v>
      </c>
      <c r="I9">
        <f t="shared" si="3"/>
        <v>5000</v>
      </c>
      <c r="L9">
        <f t="shared" si="4"/>
        <v>0</v>
      </c>
      <c r="M9" s="1">
        <f t="shared" si="5"/>
        <v>0</v>
      </c>
      <c r="N9" s="33">
        <f>L9</f>
        <v>0</v>
      </c>
      <c r="O9" s="1" t="e">
        <f>SUMPRODUCT(L$9:L9,M$9:M9)/N9</f>
        <v>#DIV/0!</v>
      </c>
      <c r="Q9">
        <f t="shared" si="6"/>
        <v>5000</v>
      </c>
      <c r="R9" s="1">
        <f t="shared" si="7"/>
        <v>48.75</v>
      </c>
      <c r="S9" s="33">
        <f>Q9</f>
        <v>5000</v>
      </c>
      <c r="T9" s="1">
        <f>SUMPRODUCT(Q$9:Q9,R$9:R9)/S9</f>
        <v>48.75</v>
      </c>
    </row>
    <row r="10" spans="1:24" x14ac:dyDescent="0.25">
      <c r="M10" s="1"/>
      <c r="N10" s="33"/>
      <c r="O10" s="1"/>
      <c r="R10" s="1"/>
      <c r="S10" s="33"/>
      <c r="T10" s="1"/>
    </row>
  </sheetData>
  <conditionalFormatting sqref="G2:H9">
    <cfRule type="cellIs" dxfId="11" priority="1" operator="lessThan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01D77-EB9F-41E6-9FF4-01FB1878E1CD}">
  <sheetPr codeName="Sheet6"/>
  <dimension ref="A1:M4"/>
  <sheetViews>
    <sheetView workbookViewId="0">
      <selection activeCell="K27" sqref="K27"/>
    </sheetView>
  </sheetViews>
  <sheetFormatPr defaultRowHeight="15" x14ac:dyDescent="0.25"/>
  <cols>
    <col min="7" max="7" width="12.85546875" customWidth="1"/>
    <col min="8" max="8" width="10.5703125" customWidth="1"/>
  </cols>
  <sheetData>
    <row r="1" spans="1:13" ht="15.75" thickBot="1" x14ac:dyDescent="0.3">
      <c r="A1" s="2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4" t="s">
        <v>9</v>
      </c>
      <c r="H1" s="18" t="s">
        <v>25</v>
      </c>
      <c r="L1" t="s">
        <v>28</v>
      </c>
      <c r="M1" s="19">
        <v>32.5</v>
      </c>
    </row>
    <row r="2" spans="1:13" ht="15.75" thickTop="1" x14ac:dyDescent="0.25">
      <c r="A2" s="8">
        <v>45439</v>
      </c>
      <c r="B2" s="5" t="s">
        <v>27</v>
      </c>
      <c r="C2" s="5" t="s">
        <v>11</v>
      </c>
      <c r="D2" s="5">
        <v>-10000</v>
      </c>
      <c r="E2" s="9">
        <v>33</v>
      </c>
      <c r="F2" s="9">
        <f>M2</f>
        <v>33</v>
      </c>
      <c r="G2" s="10">
        <f>(F2-E2)*D2</f>
        <v>0</v>
      </c>
      <c r="H2" s="20">
        <f>G2</f>
        <v>0</v>
      </c>
      <c r="I2">
        <f>D2</f>
        <v>-10000</v>
      </c>
      <c r="L2" t="s">
        <v>29</v>
      </c>
      <c r="M2">
        <v>33</v>
      </c>
    </row>
    <row r="3" spans="1:13" x14ac:dyDescent="0.25">
      <c r="A3" s="8">
        <v>45433</v>
      </c>
      <c r="B3" s="5" t="s">
        <v>22</v>
      </c>
      <c r="C3" s="5" t="s">
        <v>12</v>
      </c>
      <c r="D3" s="5">
        <v>10000</v>
      </c>
      <c r="E3" s="9">
        <v>47</v>
      </c>
      <c r="F3" s="9">
        <f>$M$1</f>
        <v>32.5</v>
      </c>
      <c r="G3" s="10">
        <f>(F3-E3)*D3*0.9</f>
        <v>-130500</v>
      </c>
      <c r="H3" s="20">
        <f>H2+G3</f>
        <v>-130500</v>
      </c>
      <c r="I3">
        <f>I2+D3</f>
        <v>0</v>
      </c>
      <c r="J3" s="1" t="e">
        <f>SUMPRODUCT(D$2:D3,E$2:E3)/SUM(D$2:D3)</f>
        <v>#DIV/0!</v>
      </c>
    </row>
    <row r="4" spans="1:13" x14ac:dyDescent="0.25">
      <c r="A4" s="8">
        <v>45435</v>
      </c>
      <c r="B4" s="5" t="s">
        <v>22</v>
      </c>
      <c r="C4" s="5" t="s">
        <v>11</v>
      </c>
      <c r="D4" s="5">
        <v>-10000</v>
      </c>
      <c r="E4" s="9">
        <v>46</v>
      </c>
      <c r="F4" s="9">
        <f>$M$1</f>
        <v>32.5</v>
      </c>
      <c r="G4" s="10">
        <f>(F4-E4)*D4*0.9</f>
        <v>121500</v>
      </c>
      <c r="H4" s="20">
        <f>H3+G4</f>
        <v>-9000</v>
      </c>
      <c r="I4">
        <f>I3+D4</f>
        <v>-10000</v>
      </c>
      <c r="J4" s="1">
        <f>SUMPRODUCT(D$2:D4,E$2:E4)/SUM(D$2:D4)</f>
        <v>32</v>
      </c>
    </row>
  </sheetData>
  <conditionalFormatting sqref="G2:H4">
    <cfRule type="cellIs" dxfId="1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EU</vt:lpstr>
      <vt:lpstr>UK</vt:lpstr>
      <vt:lpstr>CCA</vt:lpstr>
      <vt:lpstr>RGGI</vt:lpstr>
      <vt:lpstr>NZU</vt:lpstr>
      <vt:lpstr>ACCU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Curtis</dc:creator>
  <cp:lastModifiedBy>Sam Curtis</cp:lastModifiedBy>
  <dcterms:created xsi:type="dcterms:W3CDTF">2024-05-21T04:18:49Z</dcterms:created>
  <dcterms:modified xsi:type="dcterms:W3CDTF">2024-06-20T01:11:20Z</dcterms:modified>
</cp:coreProperties>
</file>