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9C2C924B-520E-465D-8CB5-C41AD6F6D98B}" xr6:coauthVersionLast="47" xr6:coauthVersionMax="47" xr10:uidLastSave="{00000000-0000-0000-0000-000000000000}"/>
  <bookViews>
    <workbookView xWindow="28845" yWindow="-16395" windowWidth="29040" windowHeight="15840" activeTab="1" xr2:uid="{B914D543-2248-43F6-AF53-C4900C919E6D}"/>
  </bookViews>
  <sheets>
    <sheet name="EU" sheetId="2" r:id="rId1"/>
    <sheet name="UK" sheetId="3" r:id="rId2"/>
    <sheet name="CCA" sheetId="4" r:id="rId3"/>
    <sheet name="RGGI" sheetId="5" r:id="rId4"/>
    <sheet name="NZU" sheetId="6" r:id="rId5"/>
    <sheet name="ACCU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7" i="3" l="1"/>
  <c r="J47" i="3" s="1"/>
  <c r="K4" i="4" l="1"/>
  <c r="K5" i="4" s="1"/>
  <c r="K6" i="4" s="1"/>
  <c r="K7" i="4" s="1"/>
  <c r="K3" i="4"/>
  <c r="K2" i="4"/>
  <c r="M7" i="4"/>
  <c r="H7" i="4"/>
  <c r="J7" i="4" s="1"/>
  <c r="L6" i="6"/>
  <c r="K6" i="6"/>
  <c r="H6" i="6"/>
  <c r="I6" i="6" s="1"/>
  <c r="J6" i="6" s="1"/>
  <c r="L5" i="6"/>
  <c r="H5" i="6"/>
  <c r="I5" i="6" s="1"/>
  <c r="T1" i="3" a="1"/>
  <c r="T1" i="3" l="1"/>
  <c r="H44" i="3" s="1"/>
  <c r="J44" i="3" s="1"/>
  <c r="O40" i="3"/>
  <c r="N40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14" i="3"/>
  <c r="P14" i="3" s="1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H41" i="3" l="1"/>
  <c r="J41" i="3" s="1"/>
  <c r="H42" i="3"/>
  <c r="J42" i="3" s="1"/>
  <c r="H43" i="3"/>
  <c r="J43" i="3" s="1"/>
  <c r="H45" i="3"/>
  <c r="J45" i="3" s="1"/>
  <c r="H46" i="3"/>
  <c r="J46" i="3" s="1"/>
  <c r="P40" i="3"/>
  <c r="P26" i="3"/>
  <c r="P25" i="3"/>
  <c r="P24" i="3"/>
  <c r="P23" i="3"/>
  <c r="P22" i="3"/>
  <c r="P18" i="3"/>
  <c r="P27" i="3"/>
  <c r="P31" i="3"/>
  <c r="P21" i="3"/>
  <c r="P28" i="3"/>
  <c r="P20" i="3"/>
  <c r="P33" i="3"/>
  <c r="P19" i="3"/>
  <c r="P17" i="3"/>
  <c r="P16" i="3"/>
  <c r="P32" i="3"/>
  <c r="P39" i="3"/>
  <c r="P38" i="3"/>
  <c r="P29" i="3"/>
  <c r="P37" i="3"/>
  <c r="P34" i="3"/>
  <c r="P30" i="3"/>
  <c r="P36" i="3"/>
  <c r="P15" i="3"/>
  <c r="P35" i="3"/>
  <c r="T2" i="3" a="1"/>
  <c r="H40" i="3" l="1"/>
  <c r="J40" i="3" s="1"/>
  <c r="T2" i="3"/>
  <c r="H39" i="3" l="1"/>
  <c r="J39" i="3" s="1"/>
  <c r="H38" i="3"/>
  <c r="J38" i="3" s="1"/>
  <c r="H37" i="3"/>
  <c r="J37" i="3" s="1"/>
  <c r="H36" i="3"/>
  <c r="J36" i="3" s="1"/>
  <c r="H35" i="3"/>
  <c r="J35" i="3" s="1"/>
  <c r="S63" i="2" l="1"/>
  <c r="R63" i="2"/>
  <c r="S62" i="2"/>
  <c r="R62" i="2"/>
  <c r="H63" i="2"/>
  <c r="J63" i="2" s="1"/>
  <c r="H62" i="2"/>
  <c r="J62" i="2" s="1"/>
  <c r="F2" i="7"/>
  <c r="G2" i="7" s="1"/>
  <c r="F3" i="7"/>
  <c r="G3" i="7" s="1"/>
  <c r="J3" i="7"/>
  <c r="F4" i="7"/>
  <c r="G4" i="7" s="1"/>
  <c r="J4" i="7"/>
  <c r="I2" i="7"/>
  <c r="I3" i="7" s="1"/>
  <c r="I4" i="7" s="1"/>
  <c r="H4" i="6"/>
  <c r="I4" i="6" s="1"/>
  <c r="H2" i="7" l="1"/>
  <c r="H3" i="7" s="1"/>
  <c r="H4" i="7" s="1"/>
  <c r="U33" i="3"/>
  <c r="U34" i="3" s="1"/>
  <c r="U35" i="3" s="1"/>
  <c r="V35" i="3"/>
  <c r="V34" i="3"/>
  <c r="V33" i="3"/>
  <c r="H34" i="3"/>
  <c r="J34" i="3" s="1"/>
  <c r="Y35" i="3" l="1"/>
  <c r="H33" i="3" l="1"/>
  <c r="J33" i="3" s="1"/>
  <c r="L6" i="5" l="1"/>
  <c r="H5" i="5" l="1"/>
  <c r="I5" i="5" s="1"/>
  <c r="L3" i="6" l="1"/>
  <c r="L7" i="6"/>
  <c r="L4" i="6"/>
  <c r="H3" i="6"/>
  <c r="I3" i="6" s="1"/>
  <c r="K2" i="6"/>
  <c r="K3" i="6" s="1"/>
  <c r="K4" i="6" s="1"/>
  <c r="H2" i="6"/>
  <c r="I2" i="6" s="1"/>
  <c r="L7" i="5"/>
  <c r="L5" i="5"/>
  <c r="L4" i="5"/>
  <c r="H4" i="5"/>
  <c r="I4" i="5" s="1"/>
  <c r="H3" i="5"/>
  <c r="I3" i="5" s="1"/>
  <c r="K2" i="5"/>
  <c r="K3" i="5" s="1"/>
  <c r="K4" i="5" s="1"/>
  <c r="K5" i="5" s="1"/>
  <c r="H2" i="5"/>
  <c r="I2" i="5" s="1"/>
  <c r="J2" i="5" s="1"/>
  <c r="K7" i="6" l="1"/>
  <c r="K5" i="6"/>
  <c r="K6" i="5"/>
  <c r="K7" i="5" s="1"/>
  <c r="J3" i="5"/>
  <c r="J4" i="5" s="1"/>
  <c r="J5" i="5" s="1"/>
  <c r="J2" i="6"/>
  <c r="J3" i="6" s="1"/>
  <c r="J4" i="6" s="1"/>
  <c r="J5" i="6" s="1"/>
  <c r="H32" i="3" l="1"/>
  <c r="J32" i="3" s="1"/>
  <c r="M6" i="4" l="1"/>
  <c r="L2" i="4"/>
  <c r="H3" i="4"/>
  <c r="J3" i="4" s="1"/>
  <c r="H4" i="4"/>
  <c r="J4" i="4" s="1"/>
  <c r="H5" i="4"/>
  <c r="H6" i="4"/>
  <c r="J6" i="4" s="1"/>
  <c r="H2" i="4"/>
  <c r="J2" i="4" s="1"/>
  <c r="J5" i="4"/>
  <c r="H31" i="3"/>
  <c r="J31" i="3" s="1"/>
  <c r="H30" i="3"/>
  <c r="J30" i="3" s="1"/>
  <c r="H3" i="2"/>
  <c r="J3" i="2" s="1"/>
  <c r="H4" i="2"/>
  <c r="J4" i="2" s="1"/>
  <c r="H5" i="2"/>
  <c r="J5" i="2" s="1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J13" i="2" s="1"/>
  <c r="H14" i="2"/>
  <c r="J14" i="2" s="1"/>
  <c r="H15" i="2"/>
  <c r="J15" i="2" s="1"/>
  <c r="H16" i="2"/>
  <c r="J16" i="2" s="1"/>
  <c r="H17" i="2"/>
  <c r="J17" i="2" s="1"/>
  <c r="H18" i="2"/>
  <c r="J18" i="2" s="1"/>
  <c r="H19" i="2"/>
  <c r="J19" i="2" s="1"/>
  <c r="H20" i="2"/>
  <c r="J20" i="2" s="1"/>
  <c r="H21" i="2"/>
  <c r="J21" i="2" s="1"/>
  <c r="H22" i="2"/>
  <c r="J22" i="2" s="1"/>
  <c r="H23" i="2"/>
  <c r="J23" i="2" s="1"/>
  <c r="H24" i="2"/>
  <c r="J24" i="2" s="1"/>
  <c r="H25" i="2"/>
  <c r="J25" i="2" s="1"/>
  <c r="H26" i="2"/>
  <c r="J26" i="2" s="1"/>
  <c r="H27" i="2"/>
  <c r="J27" i="2" s="1"/>
  <c r="H28" i="2"/>
  <c r="J28" i="2" s="1"/>
  <c r="H29" i="2"/>
  <c r="J29" i="2" s="1"/>
  <c r="H30" i="2"/>
  <c r="J30" i="2" s="1"/>
  <c r="H31" i="2"/>
  <c r="J31" i="2" s="1"/>
  <c r="H32" i="2"/>
  <c r="J32" i="2" s="1"/>
  <c r="H33" i="2"/>
  <c r="J33" i="2" s="1"/>
  <c r="H34" i="2"/>
  <c r="J34" i="2" s="1"/>
  <c r="H35" i="2"/>
  <c r="J35" i="2" s="1"/>
  <c r="H36" i="2"/>
  <c r="J36" i="2" s="1"/>
  <c r="H37" i="2"/>
  <c r="J37" i="2" s="1"/>
  <c r="H38" i="2"/>
  <c r="J38" i="2" s="1"/>
  <c r="H39" i="2"/>
  <c r="J39" i="2" s="1"/>
  <c r="H40" i="2"/>
  <c r="J40" i="2" s="1"/>
  <c r="H41" i="2"/>
  <c r="J41" i="2" s="1"/>
  <c r="H42" i="2"/>
  <c r="J42" i="2" s="1"/>
  <c r="H43" i="2"/>
  <c r="J43" i="2" s="1"/>
  <c r="H44" i="2"/>
  <c r="J44" i="2" s="1"/>
  <c r="H45" i="2"/>
  <c r="J45" i="2" s="1"/>
  <c r="H46" i="2"/>
  <c r="J46" i="2" s="1"/>
  <c r="H47" i="2"/>
  <c r="J47" i="2" s="1"/>
  <c r="H48" i="2"/>
  <c r="J48" i="2" s="1"/>
  <c r="H49" i="2"/>
  <c r="J49" i="2" s="1"/>
  <c r="H50" i="2"/>
  <c r="J50" i="2" s="1"/>
  <c r="H51" i="2"/>
  <c r="J51" i="2" s="1"/>
  <c r="H52" i="2"/>
  <c r="J52" i="2" s="1"/>
  <c r="H53" i="2"/>
  <c r="J53" i="2" s="1"/>
  <c r="H54" i="2"/>
  <c r="J54" i="2" s="1"/>
  <c r="H55" i="2"/>
  <c r="J55" i="2" s="1"/>
  <c r="H56" i="2"/>
  <c r="J56" i="2" s="1"/>
  <c r="H57" i="2"/>
  <c r="J57" i="2" s="1"/>
  <c r="H58" i="2"/>
  <c r="J58" i="2" s="1"/>
  <c r="H59" i="2"/>
  <c r="J59" i="2" s="1"/>
  <c r="H60" i="2"/>
  <c r="J60" i="2" s="1"/>
  <c r="H61" i="2"/>
  <c r="J61" i="2" s="1"/>
  <c r="H2" i="2"/>
  <c r="J2" i="2" s="1"/>
  <c r="K2" i="2" s="1"/>
  <c r="H29" i="3"/>
  <c r="J29" i="3" s="1"/>
  <c r="J3" i="3"/>
  <c r="J4" i="3"/>
  <c r="J5" i="3"/>
  <c r="J6" i="3"/>
  <c r="J7" i="3"/>
  <c r="J2" i="3"/>
  <c r="H9" i="3"/>
  <c r="J9" i="3" s="1"/>
  <c r="H10" i="3"/>
  <c r="J10" i="3" s="1"/>
  <c r="H11" i="3"/>
  <c r="J11" i="3" s="1"/>
  <c r="H12" i="3"/>
  <c r="J12" i="3" s="1"/>
  <c r="H13" i="3"/>
  <c r="J13" i="3" s="1"/>
  <c r="H14" i="3"/>
  <c r="J14" i="3" s="1"/>
  <c r="H15" i="3"/>
  <c r="J15" i="3" s="1"/>
  <c r="H16" i="3"/>
  <c r="J16" i="3" s="1"/>
  <c r="H17" i="3"/>
  <c r="J17" i="3" s="1"/>
  <c r="H18" i="3"/>
  <c r="J18" i="3" s="1"/>
  <c r="H19" i="3"/>
  <c r="J19" i="3" s="1"/>
  <c r="H20" i="3"/>
  <c r="J20" i="3" s="1"/>
  <c r="H21" i="3"/>
  <c r="J21" i="3" s="1"/>
  <c r="H22" i="3"/>
  <c r="J22" i="3" s="1"/>
  <c r="H23" i="3"/>
  <c r="J23" i="3" s="1"/>
  <c r="H24" i="3"/>
  <c r="J24" i="3" s="1"/>
  <c r="H25" i="3"/>
  <c r="J25" i="3" s="1"/>
  <c r="H26" i="3"/>
  <c r="J26" i="3" s="1"/>
  <c r="H27" i="3"/>
  <c r="J27" i="3" s="1"/>
  <c r="H28" i="3"/>
  <c r="J28" i="3" s="1"/>
  <c r="H8" i="3"/>
  <c r="J8" i="3" s="1"/>
  <c r="K8" i="3" s="1"/>
  <c r="L8" i="3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O61" i="2"/>
  <c r="P3" i="2" s="1"/>
  <c r="L2" i="2"/>
  <c r="L3" i="2" s="1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3" i="4" l="1"/>
  <c r="L4" i="4" s="1"/>
  <c r="L5" i="4" s="1"/>
  <c r="L6" i="4" s="1"/>
  <c r="L7" i="4" s="1"/>
  <c r="P2" i="2"/>
  <c r="K3" i="2"/>
  <c r="K4" i="2" s="1"/>
  <c r="K5" i="2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P5" i="2"/>
  <c r="K9" i="3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<sst xmlns="http://schemas.openxmlformats.org/spreadsheetml/2006/main" count="581" uniqueCount="44">
  <si>
    <t>Date</t>
  </si>
  <si>
    <t>Product</t>
  </si>
  <si>
    <t>Mkt</t>
  </si>
  <si>
    <t>Symbol</t>
  </si>
  <si>
    <t>Buy / Sell</t>
  </si>
  <si>
    <t>Qty</t>
  </si>
  <si>
    <t>Trade Price</t>
  </si>
  <si>
    <t>Settles</t>
  </si>
  <si>
    <t>PnL (local)</t>
  </si>
  <si>
    <t>PnL (AUD)</t>
  </si>
  <si>
    <t>EUA Dec24</t>
  </si>
  <si>
    <t>EU</t>
  </si>
  <si>
    <t>MZBZ4 Comdty</t>
  </si>
  <si>
    <t>Sell</t>
  </si>
  <si>
    <t>Buy</t>
  </si>
  <si>
    <t>UKA Dec24 45C</t>
  </si>
  <si>
    <t>UK</t>
  </si>
  <si>
    <t>UKEZ4C 45.00 Comdty</t>
  </si>
  <si>
    <t>UKA Dec24 55C</t>
  </si>
  <si>
    <t>UKEZ4C 55.00 Comdty</t>
  </si>
  <si>
    <t>UKA Dec24</t>
  </si>
  <si>
    <t>UKEZ4 Comdty</t>
  </si>
  <si>
    <t>UKA Dec24 40C</t>
  </si>
  <si>
    <t>UKEZ4C 40.00 Comdty</t>
  </si>
  <si>
    <t>UKA Dec24 50C</t>
  </si>
  <si>
    <t>UKEZ4C 50.00 Comdty</t>
  </si>
  <si>
    <t>USA</t>
  </si>
  <si>
    <t>CCA V24 Dec24</t>
  </si>
  <si>
    <t>FX</t>
  </si>
  <si>
    <t>NZU Spot</t>
  </si>
  <si>
    <t>RGGI V24 Dec24</t>
  </si>
  <si>
    <t>PnL</t>
  </si>
  <si>
    <t>op &amp; delta</t>
  </si>
  <si>
    <t>short at</t>
  </si>
  <si>
    <t>Net</t>
  </si>
  <si>
    <t>At</t>
  </si>
  <si>
    <t>Cumulative PnL</t>
  </si>
  <si>
    <t>Cumulative AUD</t>
  </si>
  <si>
    <t xml:space="preserve">bought at </t>
  </si>
  <si>
    <t>ACCU HIR</t>
  </si>
  <si>
    <t>Generic</t>
  </si>
  <si>
    <t>HIR</t>
  </si>
  <si>
    <t>VWAP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</si>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</sst>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44" fontId="0" fillId="0" borderId="0" xfId="2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9" xfId="0" applyFill="1" applyBorder="1"/>
    <xf numFmtId="16" fontId="0" fillId="3" borderId="4" xfId="0" applyNumberFormat="1" applyFill="1" applyBorder="1"/>
    <xf numFmtId="44" fontId="0" fillId="3" borderId="5" xfId="2" applyFont="1" applyFill="1" applyBorder="1"/>
    <xf numFmtId="44" fontId="0" fillId="3" borderId="6" xfId="2" applyFont="1" applyFill="1" applyBorder="1"/>
    <xf numFmtId="16" fontId="0" fillId="4" borderId="4" xfId="0" applyNumberFormat="1" applyFill="1" applyBorder="1"/>
    <xf numFmtId="44" fontId="0" fillId="4" borderId="5" xfId="2" applyFont="1" applyFill="1" applyBorder="1"/>
    <xf numFmtId="0" fontId="0" fillId="3" borderId="7" xfId="0" applyFill="1" applyBorder="1"/>
    <xf numFmtId="0" fontId="0" fillId="4" borderId="7" xfId="0" applyFill="1" applyBorder="1"/>
    <xf numFmtId="16" fontId="0" fillId="4" borderId="8" xfId="0" applyNumberFormat="1" applyFill="1" applyBorder="1"/>
    <xf numFmtId="44" fontId="0" fillId="4" borderId="9" xfId="2" applyFont="1" applyFill="1" applyBorder="1"/>
    <xf numFmtId="0" fontId="2" fillId="2" borderId="11" xfId="0" applyFont="1" applyFill="1" applyBorder="1"/>
    <xf numFmtId="44" fontId="0" fillId="0" borderId="0" xfId="0" applyNumberFormat="1"/>
    <xf numFmtId="0" fontId="2" fillId="2" borderId="0" xfId="0" applyFont="1" applyFill="1"/>
    <xf numFmtId="0" fontId="0" fillId="5" borderId="0" xfId="0" applyFill="1"/>
    <xf numFmtId="44" fontId="0" fillId="3" borderId="0" xfId="2" applyFont="1" applyFill="1" applyBorder="1"/>
    <xf numFmtId="164" fontId="0" fillId="0" borderId="0" xfId="0" applyNumberFormat="1"/>
    <xf numFmtId="16" fontId="0" fillId="0" borderId="4" xfId="0" applyNumberFormat="1" applyBorder="1"/>
    <xf numFmtId="0" fontId="0" fillId="0" borderId="5" xfId="0" applyBorder="1"/>
    <xf numFmtId="44" fontId="0" fillId="0" borderId="5" xfId="2" applyFont="1" applyFill="1" applyBorder="1"/>
    <xf numFmtId="44" fontId="0" fillId="0" borderId="0" xfId="2" applyFont="1" applyFill="1"/>
    <xf numFmtId="164" fontId="0" fillId="0" borderId="6" xfId="2" applyNumberFormat="1" applyFont="1" applyFill="1" applyBorder="1"/>
    <xf numFmtId="164" fontId="0" fillId="0" borderId="0" xfId="2" applyNumberFormat="1" applyFont="1" applyFill="1" applyBorder="1"/>
    <xf numFmtId="0" fontId="0" fillId="0" borderId="7" xfId="0" applyBorder="1"/>
    <xf numFmtId="16" fontId="0" fillId="0" borderId="8" xfId="0" applyNumberFormat="1" applyBorder="1"/>
    <xf numFmtId="0" fontId="0" fillId="0" borderId="10" xfId="0" applyBorder="1"/>
    <xf numFmtId="0" fontId="0" fillId="0" borderId="9" xfId="0" applyBorder="1"/>
    <xf numFmtId="44" fontId="0" fillId="0" borderId="9" xfId="2" applyFont="1" applyFill="1" applyBorder="1"/>
    <xf numFmtId="165" fontId="0" fillId="0" borderId="0" xfId="1" applyNumberFormat="1" applyFont="1"/>
    <xf numFmtId="166" fontId="0" fillId="0" borderId="0" xfId="2" applyNumberFormat="1" applyFont="1"/>
    <xf numFmtId="44" fontId="0" fillId="5" borderId="0" xfId="2" applyFont="1" applyFill="1"/>
    <xf numFmtId="44" fontId="0" fillId="0" borderId="0" xfId="2" applyFont="1" applyFill="1" applyBorder="1"/>
    <xf numFmtId="164" fontId="0" fillId="0" borderId="12" xfId="2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27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&quot;$&quot;* #,##0_-;\-&quot;$&quot;* #,##0_-;_-&quot;$&quot;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&quot;$&quot;* #,##0_-;\-&quot;$&quot;* #,##0_-;_-&quot;$&quot;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-&quot;$&quot;* #,##0.00_-;\-&quot;$&quot;* #,##0.00_-;_-&quot;$&quot;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1" formatCode="d\-mmm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Data...3963955132</v>
        <stp/>
        <stp>BQL|2827286014736805769</stp>
        <tr r="T2" s="3"/>
        <tr r="T1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F4F97A-1B3E-4C0E-9D38-CE822BB8EE6C}" name="Table2" displayName="Table2" ref="A1:K40" totalsRowShown="0" headerRowDxfId="26" dataDxfId="25">
  <autoFilter ref="A1:K40" xr:uid="{17F4F97A-1B3E-4C0E-9D38-CE822BB8EE6C}"/>
  <tableColumns count="11">
    <tableColumn id="1" xr3:uid="{E903A528-E528-4624-A72F-3328230B4996}" name="Date" dataDxfId="24"/>
    <tableColumn id="2" xr3:uid="{5BC4D747-A6F3-4A5F-B647-DC24A2C758FD}" name="Product" dataDxfId="23"/>
    <tableColumn id="3" xr3:uid="{356A589E-520D-44D8-B8D8-274038DD3651}" name="Mkt" dataDxfId="22"/>
    <tableColumn id="4" xr3:uid="{21345338-A0C6-4AA8-A3B0-368FF72E9E0A}" name="Symbol" dataDxfId="21"/>
    <tableColumn id="5" xr3:uid="{E5D9D98E-7DCE-45D9-AEFE-7B67AE075E5F}" name="Buy / Sell" dataDxfId="20"/>
    <tableColumn id="6" xr3:uid="{C884F351-4536-4B1A-9525-9D0FA75412AF}" name="Qty" dataDxfId="19"/>
    <tableColumn id="7" xr3:uid="{137DC6B2-7078-4228-B078-2B4288D873C7}" name="Trade Price" dataDxfId="18" dataCellStyle="Currency"/>
    <tableColumn id="8" xr3:uid="{16692CC8-E64F-453E-89C9-E1A948508809}" name="Settles" dataDxfId="17" dataCellStyle="Currency">
      <calculatedColumnFormula>$T$1</calculatedColumnFormula>
    </tableColumn>
    <tableColumn id="9" xr3:uid="{126A3821-FC48-46ED-AAAD-FF4255608DB9}" name="PnL (local)" dataDxfId="16" dataCellStyle="Currency"/>
    <tableColumn id="10" xr3:uid="{379FCE18-89DD-4E7E-AD8E-DEEAA8D7B1D8}" name="PnL (AUD)" dataDxfId="15" dataCellStyle="Currency">
      <calculatedColumnFormula>(H2-G2)*F2*$W$1</calculatedColumnFormula>
    </tableColumn>
    <tableColumn id="11" xr3:uid="{B4352A43-E0F5-4E17-BE27-5BF46109072C}" name="Cumulative AUD" dataDxfId="14" dataCellStyle="Currency">
      <calculatedColumnFormula>K1+J2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8166-B638-4E3F-B9CC-94A254D7F131}">
  <sheetPr codeName="Sheet1"/>
  <dimension ref="A1:S64"/>
  <sheetViews>
    <sheetView topLeftCell="A27" workbookViewId="0">
      <selection activeCell="A63" sqref="A63"/>
    </sheetView>
  </sheetViews>
  <sheetFormatPr defaultRowHeight="15" x14ac:dyDescent="0.25"/>
  <cols>
    <col min="8" max="8" width="17.28515625" customWidth="1"/>
    <col min="9" max="9" width="9.140625" hidden="1" customWidth="1"/>
    <col min="10" max="10" width="11.5703125" bestFit="1" customWidth="1"/>
    <col min="11" max="11" width="11.5703125" customWidth="1"/>
    <col min="16" max="16" width="14.42578125" customWidth="1"/>
    <col min="19" max="19" width="10" bestFit="1" customWidth="1"/>
    <col min="20" max="20" width="8.140625" customWidth="1"/>
  </cols>
  <sheetData>
    <row r="1" spans="1:16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7" t="s">
        <v>36</v>
      </c>
      <c r="O1" t="s">
        <v>7</v>
      </c>
      <c r="P1" s="1">
        <v>76.25</v>
      </c>
    </row>
    <row r="2" spans="1:16" ht="15.75" thickTop="1" x14ac:dyDescent="0.25">
      <c r="A2" s="8">
        <v>45413</v>
      </c>
      <c r="B2" s="5" t="s">
        <v>10</v>
      </c>
      <c r="C2" s="5" t="s">
        <v>11</v>
      </c>
      <c r="D2" s="5" t="s">
        <v>12</v>
      </c>
      <c r="E2" s="5" t="s">
        <v>13</v>
      </c>
      <c r="F2" s="5">
        <v>-1000</v>
      </c>
      <c r="G2" s="9">
        <v>68.62</v>
      </c>
      <c r="H2" s="1">
        <f>$P$1</f>
        <v>76.25</v>
      </c>
      <c r="I2" s="9">
        <v>-5599.9999999999945</v>
      </c>
      <c r="J2" s="10">
        <f>(H2-G2)*F2*1.63</f>
        <v>-12436.899999999992</v>
      </c>
      <c r="K2" s="22">
        <f>J2</f>
        <v>-12436.899999999992</v>
      </c>
      <c r="L2">
        <f>F2</f>
        <v>-1000</v>
      </c>
      <c r="O2" t="s">
        <v>34</v>
      </c>
      <c r="P2">
        <f>L61</f>
        <v>-7000</v>
      </c>
    </row>
    <row r="3" spans="1:16" x14ac:dyDescent="0.25">
      <c r="A3" s="11">
        <v>45413</v>
      </c>
      <c r="B3" s="6" t="s">
        <v>10</v>
      </c>
      <c r="C3" s="6" t="s">
        <v>11</v>
      </c>
      <c r="D3" s="6" t="s">
        <v>12</v>
      </c>
      <c r="E3" s="6" t="s">
        <v>13</v>
      </c>
      <c r="F3" s="6">
        <v>-1000</v>
      </c>
      <c r="G3" s="12">
        <v>68.73</v>
      </c>
      <c r="H3" s="1">
        <f t="shared" ref="H3:H63" si="0">$P$1</f>
        <v>76.25</v>
      </c>
      <c r="I3" s="12">
        <v>-5489.9999999999945</v>
      </c>
      <c r="J3" s="10">
        <f t="shared" ref="J3:J61" si="1">(H3-G3)*F3*1.63</f>
        <v>-12257.599999999993</v>
      </c>
      <c r="K3" s="22">
        <f t="shared" ref="K3:K34" si="2">K2+J3</f>
        <v>-24694.499999999985</v>
      </c>
      <c r="L3">
        <f t="shared" ref="L3:L34" si="3">L2+F3</f>
        <v>-2000</v>
      </c>
      <c r="O3" t="s">
        <v>35</v>
      </c>
      <c r="P3" s="1">
        <f>O61</f>
        <v>70.13</v>
      </c>
    </row>
    <row r="4" spans="1:16" x14ac:dyDescent="0.25">
      <c r="A4" s="8">
        <v>45413</v>
      </c>
      <c r="B4" s="5" t="s">
        <v>10</v>
      </c>
      <c r="C4" s="5" t="s">
        <v>11</v>
      </c>
      <c r="D4" s="5" t="s">
        <v>12</v>
      </c>
      <c r="E4" s="5" t="s">
        <v>13</v>
      </c>
      <c r="F4" s="5">
        <v>-1000</v>
      </c>
      <c r="G4" s="9">
        <v>68.5</v>
      </c>
      <c r="H4" s="1">
        <f t="shared" si="0"/>
        <v>76.25</v>
      </c>
      <c r="I4" s="9">
        <v>-5719.9999999999991</v>
      </c>
      <c r="J4" s="10">
        <f t="shared" si="1"/>
        <v>-12632.5</v>
      </c>
      <c r="K4" s="22">
        <f t="shared" si="2"/>
        <v>-37326.999999999985</v>
      </c>
      <c r="L4">
        <f t="shared" si="3"/>
        <v>-3000</v>
      </c>
    </row>
    <row r="5" spans="1:16" x14ac:dyDescent="0.25">
      <c r="A5" s="11">
        <v>45413</v>
      </c>
      <c r="B5" s="6" t="s">
        <v>10</v>
      </c>
      <c r="C5" s="6" t="s">
        <v>11</v>
      </c>
      <c r="D5" s="6" t="s">
        <v>12</v>
      </c>
      <c r="E5" s="6" t="s">
        <v>13</v>
      </c>
      <c r="F5" s="6">
        <v>-1000</v>
      </c>
      <c r="G5" s="12">
        <v>67.8</v>
      </c>
      <c r="H5" s="1">
        <f t="shared" si="0"/>
        <v>76.25</v>
      </c>
      <c r="I5" s="12">
        <v>-6420.0000000000018</v>
      </c>
      <c r="J5" s="10">
        <f t="shared" si="1"/>
        <v>-13773.500000000005</v>
      </c>
      <c r="K5" s="22">
        <f t="shared" si="2"/>
        <v>-51100.499999999993</v>
      </c>
      <c r="L5">
        <f t="shared" si="3"/>
        <v>-4000</v>
      </c>
      <c r="O5" t="s">
        <v>31</v>
      </c>
      <c r="P5" s="22">
        <f>SUM(J2:J610)</f>
        <v>-79087.599999999889</v>
      </c>
    </row>
    <row r="6" spans="1:16" x14ac:dyDescent="0.25">
      <c r="A6" s="8">
        <v>45413</v>
      </c>
      <c r="B6" s="5" t="s">
        <v>10</v>
      </c>
      <c r="C6" s="5" t="s">
        <v>11</v>
      </c>
      <c r="D6" s="5" t="s">
        <v>12</v>
      </c>
      <c r="E6" s="5" t="s">
        <v>14</v>
      </c>
      <c r="F6" s="5">
        <v>1000</v>
      </c>
      <c r="G6" s="9">
        <v>67.67</v>
      </c>
      <c r="H6" s="1">
        <f t="shared" si="0"/>
        <v>76.25</v>
      </c>
      <c r="I6" s="9">
        <v>6549.9999999999973</v>
      </c>
      <c r="J6" s="10">
        <f t="shared" si="1"/>
        <v>13985.399999999996</v>
      </c>
      <c r="K6" s="22">
        <f t="shared" si="2"/>
        <v>-37115.1</v>
      </c>
      <c r="L6">
        <f t="shared" si="3"/>
        <v>-3000</v>
      </c>
    </row>
    <row r="7" spans="1:16" x14ac:dyDescent="0.25">
      <c r="A7" s="11">
        <v>45414</v>
      </c>
      <c r="B7" s="6" t="s">
        <v>10</v>
      </c>
      <c r="C7" s="6" t="s">
        <v>11</v>
      </c>
      <c r="D7" s="6" t="s">
        <v>12</v>
      </c>
      <c r="E7" s="6" t="s">
        <v>14</v>
      </c>
      <c r="F7" s="6">
        <v>1000</v>
      </c>
      <c r="G7" s="12">
        <v>68.2</v>
      </c>
      <c r="H7" s="1">
        <f t="shared" si="0"/>
        <v>76.25</v>
      </c>
      <c r="I7" s="12">
        <v>6019.9999999999964</v>
      </c>
      <c r="J7" s="10">
        <f t="shared" si="1"/>
        <v>13121.499999999995</v>
      </c>
      <c r="K7" s="22">
        <f t="shared" si="2"/>
        <v>-23993.600000000006</v>
      </c>
      <c r="L7">
        <f t="shared" si="3"/>
        <v>-2000</v>
      </c>
    </row>
    <row r="8" spans="1:16" x14ac:dyDescent="0.25">
      <c r="A8" s="8">
        <v>45414</v>
      </c>
      <c r="B8" s="5" t="s">
        <v>10</v>
      </c>
      <c r="C8" s="5" t="s">
        <v>11</v>
      </c>
      <c r="D8" s="5" t="s">
        <v>12</v>
      </c>
      <c r="E8" s="5" t="s">
        <v>14</v>
      </c>
      <c r="F8" s="5">
        <v>1000</v>
      </c>
      <c r="G8" s="9">
        <v>67.92</v>
      </c>
      <c r="H8" s="1">
        <f t="shared" si="0"/>
        <v>76.25</v>
      </c>
      <c r="I8" s="9">
        <v>6299.9999999999973</v>
      </c>
      <c r="J8" s="10">
        <f t="shared" si="1"/>
        <v>13577.899999999996</v>
      </c>
      <c r="K8" s="22">
        <f t="shared" si="2"/>
        <v>-10415.70000000001</v>
      </c>
      <c r="L8">
        <f t="shared" si="3"/>
        <v>-1000</v>
      </c>
    </row>
    <row r="9" spans="1:16" x14ac:dyDescent="0.25">
      <c r="A9" s="11">
        <v>45414</v>
      </c>
      <c r="B9" s="6" t="s">
        <v>10</v>
      </c>
      <c r="C9" s="6" t="s">
        <v>11</v>
      </c>
      <c r="D9" s="6" t="s">
        <v>12</v>
      </c>
      <c r="E9" s="6" t="s">
        <v>14</v>
      </c>
      <c r="F9" s="6">
        <v>1000</v>
      </c>
      <c r="G9" s="12">
        <v>68.010000000000005</v>
      </c>
      <c r="H9" s="1">
        <f t="shared" si="0"/>
        <v>76.25</v>
      </c>
      <c r="I9" s="12">
        <v>6209.9999999999936</v>
      </c>
      <c r="J9" s="10">
        <f t="shared" si="1"/>
        <v>13431.19999999999</v>
      </c>
      <c r="K9" s="22">
        <f t="shared" si="2"/>
        <v>3015.49999999998</v>
      </c>
      <c r="L9">
        <f t="shared" si="3"/>
        <v>0</v>
      </c>
    </row>
    <row r="10" spans="1:16" x14ac:dyDescent="0.25">
      <c r="A10" s="8">
        <v>45414</v>
      </c>
      <c r="B10" s="5" t="s">
        <v>10</v>
      </c>
      <c r="C10" s="5" t="s">
        <v>11</v>
      </c>
      <c r="D10" s="5" t="s">
        <v>12</v>
      </c>
      <c r="E10" s="5" t="s">
        <v>14</v>
      </c>
      <c r="F10" s="5">
        <v>1000</v>
      </c>
      <c r="G10" s="9">
        <v>67.89</v>
      </c>
      <c r="H10" s="1">
        <f t="shared" si="0"/>
        <v>76.25</v>
      </c>
      <c r="I10" s="9">
        <v>6329.9999999999982</v>
      </c>
      <c r="J10" s="10">
        <f t="shared" si="1"/>
        <v>13626.8</v>
      </c>
      <c r="K10" s="22">
        <f t="shared" si="2"/>
        <v>16642.299999999981</v>
      </c>
      <c r="L10">
        <f t="shared" si="3"/>
        <v>1000</v>
      </c>
    </row>
    <row r="11" spans="1:16" x14ac:dyDescent="0.25">
      <c r="A11" s="11">
        <v>45414</v>
      </c>
      <c r="B11" s="6" t="s">
        <v>10</v>
      </c>
      <c r="C11" s="6" t="s">
        <v>11</v>
      </c>
      <c r="D11" s="6" t="s">
        <v>12</v>
      </c>
      <c r="E11" s="6" t="s">
        <v>13</v>
      </c>
      <c r="F11" s="6">
        <v>-1000</v>
      </c>
      <c r="G11" s="12">
        <v>68.77</v>
      </c>
      <c r="H11" s="1">
        <f t="shared" si="0"/>
        <v>76.25</v>
      </c>
      <c r="I11" s="12">
        <v>-5450.0000000000027</v>
      </c>
      <c r="J11" s="10">
        <f t="shared" si="1"/>
        <v>-12192.400000000005</v>
      </c>
      <c r="K11" s="22">
        <f t="shared" si="2"/>
        <v>4449.899999999976</v>
      </c>
      <c r="L11">
        <f t="shared" si="3"/>
        <v>0</v>
      </c>
    </row>
    <row r="12" spans="1:16" x14ac:dyDescent="0.25">
      <c r="A12" s="8">
        <v>45414</v>
      </c>
      <c r="B12" s="5" t="s">
        <v>10</v>
      </c>
      <c r="C12" s="5" t="s">
        <v>11</v>
      </c>
      <c r="D12" s="5" t="s">
        <v>12</v>
      </c>
      <c r="E12" s="5" t="s">
        <v>13</v>
      </c>
      <c r="F12" s="5">
        <v>-1000</v>
      </c>
      <c r="G12" s="9">
        <v>69.239999999999995</v>
      </c>
      <c r="H12" s="1">
        <f t="shared" si="0"/>
        <v>76.25</v>
      </c>
      <c r="I12" s="9">
        <v>-4980.0000000000036</v>
      </c>
      <c r="J12" s="10">
        <f t="shared" si="1"/>
        <v>-11426.300000000008</v>
      </c>
      <c r="K12" s="22">
        <f t="shared" si="2"/>
        <v>-6976.4000000000324</v>
      </c>
      <c r="L12">
        <f t="shared" si="3"/>
        <v>-1000</v>
      </c>
    </row>
    <row r="13" spans="1:16" x14ac:dyDescent="0.25">
      <c r="A13" s="11">
        <v>45414</v>
      </c>
      <c r="B13" s="6" t="s">
        <v>10</v>
      </c>
      <c r="C13" s="6" t="s">
        <v>11</v>
      </c>
      <c r="D13" s="6" t="s">
        <v>12</v>
      </c>
      <c r="E13" s="6" t="s">
        <v>14</v>
      </c>
      <c r="F13" s="6">
        <v>1000</v>
      </c>
      <c r="G13" s="12">
        <v>69.25</v>
      </c>
      <c r="H13" s="1">
        <f t="shared" si="0"/>
        <v>76.25</v>
      </c>
      <c r="I13" s="12">
        <v>4969.9999999999991</v>
      </c>
      <c r="J13" s="10">
        <f t="shared" si="1"/>
        <v>11410</v>
      </c>
      <c r="K13" s="22">
        <f t="shared" si="2"/>
        <v>4433.5999999999676</v>
      </c>
      <c r="L13">
        <f t="shared" si="3"/>
        <v>0</v>
      </c>
    </row>
    <row r="14" spans="1:16" x14ac:dyDescent="0.25">
      <c r="A14" s="8">
        <v>45414</v>
      </c>
      <c r="B14" s="5" t="s">
        <v>10</v>
      </c>
      <c r="C14" s="5" t="s">
        <v>11</v>
      </c>
      <c r="D14" s="5" t="s">
        <v>12</v>
      </c>
      <c r="E14" s="5" t="s">
        <v>13</v>
      </c>
      <c r="F14" s="5">
        <v>-1000</v>
      </c>
      <c r="G14" s="9">
        <v>69.069999999999993</v>
      </c>
      <c r="H14" s="1">
        <f t="shared" si="0"/>
        <v>76.25</v>
      </c>
      <c r="I14" s="9">
        <v>-5150.0000000000055</v>
      </c>
      <c r="J14" s="10">
        <f t="shared" si="1"/>
        <v>-11703.400000000011</v>
      </c>
      <c r="K14" s="22">
        <f t="shared" si="2"/>
        <v>-7269.8000000000429</v>
      </c>
      <c r="L14">
        <f t="shared" si="3"/>
        <v>-1000</v>
      </c>
    </row>
    <row r="15" spans="1:16" x14ac:dyDescent="0.25">
      <c r="A15" s="11">
        <v>45414</v>
      </c>
      <c r="B15" s="6" t="s">
        <v>10</v>
      </c>
      <c r="C15" s="6" t="s">
        <v>11</v>
      </c>
      <c r="D15" s="6" t="s">
        <v>12</v>
      </c>
      <c r="E15" s="6" t="s">
        <v>13</v>
      </c>
      <c r="F15" s="6">
        <v>-1000</v>
      </c>
      <c r="G15" s="12">
        <v>69.98</v>
      </c>
      <c r="H15" s="1">
        <f t="shared" si="0"/>
        <v>76.25</v>
      </c>
      <c r="I15" s="12">
        <v>-4239.9999999999945</v>
      </c>
      <c r="J15" s="10">
        <f t="shared" si="1"/>
        <v>-10220.099999999993</v>
      </c>
      <c r="K15" s="22">
        <f t="shared" si="2"/>
        <v>-17489.900000000038</v>
      </c>
      <c r="L15">
        <f t="shared" si="3"/>
        <v>-2000</v>
      </c>
    </row>
    <row r="16" spans="1:16" x14ac:dyDescent="0.25">
      <c r="A16" s="8">
        <v>45414</v>
      </c>
      <c r="B16" s="5" t="s">
        <v>10</v>
      </c>
      <c r="C16" s="5" t="s">
        <v>11</v>
      </c>
      <c r="D16" s="5" t="s">
        <v>12</v>
      </c>
      <c r="E16" s="5" t="s">
        <v>13</v>
      </c>
      <c r="F16" s="5">
        <v>-1000</v>
      </c>
      <c r="G16" s="9">
        <v>70.099999999999994</v>
      </c>
      <c r="H16" s="1">
        <f t="shared" si="0"/>
        <v>76.25</v>
      </c>
      <c r="I16" s="9">
        <v>-4120.0000000000045</v>
      </c>
      <c r="J16" s="10">
        <f t="shared" si="1"/>
        <v>-10024.500000000009</v>
      </c>
      <c r="K16" s="22">
        <f t="shared" si="2"/>
        <v>-27514.400000000045</v>
      </c>
      <c r="L16">
        <f t="shared" si="3"/>
        <v>-3000</v>
      </c>
    </row>
    <row r="17" spans="1:12" x14ac:dyDescent="0.25">
      <c r="A17" s="11">
        <v>45414</v>
      </c>
      <c r="B17" s="6" t="s">
        <v>10</v>
      </c>
      <c r="C17" s="6" t="s">
        <v>11</v>
      </c>
      <c r="D17" s="6" t="s">
        <v>12</v>
      </c>
      <c r="E17" s="6" t="s">
        <v>14</v>
      </c>
      <c r="F17" s="6">
        <v>1000</v>
      </c>
      <c r="G17" s="12">
        <v>70.11</v>
      </c>
      <c r="H17" s="1">
        <f t="shared" si="0"/>
        <v>76.25</v>
      </c>
      <c r="I17" s="12">
        <v>4109.9999999999991</v>
      </c>
      <c r="J17" s="10">
        <f t="shared" si="1"/>
        <v>10008.200000000001</v>
      </c>
      <c r="K17" s="22">
        <f t="shared" si="2"/>
        <v>-17506.200000000044</v>
      </c>
      <c r="L17">
        <f t="shared" si="3"/>
        <v>-2000</v>
      </c>
    </row>
    <row r="18" spans="1:12" x14ac:dyDescent="0.25">
      <c r="A18" s="8">
        <v>45414</v>
      </c>
      <c r="B18" s="5" t="s">
        <v>10</v>
      </c>
      <c r="C18" s="5" t="s">
        <v>11</v>
      </c>
      <c r="D18" s="5" t="s">
        <v>12</v>
      </c>
      <c r="E18" s="5" t="s">
        <v>13</v>
      </c>
      <c r="F18" s="5">
        <v>-1000</v>
      </c>
      <c r="G18" s="9">
        <v>70.2</v>
      </c>
      <c r="H18" s="1">
        <f t="shared" si="0"/>
        <v>76.25</v>
      </c>
      <c r="I18" s="9">
        <v>-4019.9999999999959</v>
      </c>
      <c r="J18" s="10">
        <f t="shared" si="1"/>
        <v>-9861.4999999999945</v>
      </c>
      <c r="K18" s="22">
        <f t="shared" si="2"/>
        <v>-27367.700000000041</v>
      </c>
      <c r="L18">
        <f t="shared" si="3"/>
        <v>-3000</v>
      </c>
    </row>
    <row r="19" spans="1:12" x14ac:dyDescent="0.25">
      <c r="A19" s="11">
        <v>45414</v>
      </c>
      <c r="B19" s="6" t="s">
        <v>10</v>
      </c>
      <c r="C19" s="6" t="s">
        <v>11</v>
      </c>
      <c r="D19" s="6" t="s">
        <v>12</v>
      </c>
      <c r="E19" s="6" t="s">
        <v>13</v>
      </c>
      <c r="F19" s="6">
        <v>-1000</v>
      </c>
      <c r="G19" s="12">
        <v>70.55</v>
      </c>
      <c r="H19" s="1">
        <f t="shared" si="0"/>
        <v>76.25</v>
      </c>
      <c r="I19" s="12">
        <v>-3670.0000000000018</v>
      </c>
      <c r="J19" s="10">
        <f t="shared" si="1"/>
        <v>-9291.0000000000036</v>
      </c>
      <c r="K19" s="22">
        <f t="shared" si="2"/>
        <v>-36658.700000000041</v>
      </c>
      <c r="L19">
        <f t="shared" si="3"/>
        <v>-4000</v>
      </c>
    </row>
    <row r="20" spans="1:12" x14ac:dyDescent="0.25">
      <c r="A20" s="8">
        <v>45414</v>
      </c>
      <c r="B20" s="5" t="s">
        <v>10</v>
      </c>
      <c r="C20" s="5" t="s">
        <v>11</v>
      </c>
      <c r="D20" s="5" t="s">
        <v>12</v>
      </c>
      <c r="E20" s="5" t="s">
        <v>14</v>
      </c>
      <c r="F20" s="5">
        <v>1000</v>
      </c>
      <c r="G20" s="9">
        <v>70.989999999999995</v>
      </c>
      <c r="H20" s="1">
        <f t="shared" si="0"/>
        <v>76.25</v>
      </c>
      <c r="I20" s="9">
        <v>3230.0000000000041</v>
      </c>
      <c r="J20" s="10">
        <f t="shared" si="1"/>
        <v>8573.8000000000084</v>
      </c>
      <c r="K20" s="22">
        <f t="shared" si="2"/>
        <v>-28084.900000000031</v>
      </c>
      <c r="L20">
        <f t="shared" si="3"/>
        <v>-3000</v>
      </c>
    </row>
    <row r="21" spans="1:12" x14ac:dyDescent="0.25">
      <c r="A21" s="11">
        <v>45414</v>
      </c>
      <c r="B21" s="6" t="s">
        <v>10</v>
      </c>
      <c r="C21" s="6" t="s">
        <v>11</v>
      </c>
      <c r="D21" s="6" t="s">
        <v>12</v>
      </c>
      <c r="E21" s="6" t="s">
        <v>14</v>
      </c>
      <c r="F21" s="6">
        <v>1000</v>
      </c>
      <c r="G21" s="12">
        <v>70.989999999999995</v>
      </c>
      <c r="H21" s="1">
        <f t="shared" si="0"/>
        <v>76.25</v>
      </c>
      <c r="I21" s="12">
        <v>3230.0000000000041</v>
      </c>
      <c r="J21" s="10">
        <f t="shared" si="1"/>
        <v>8573.8000000000084</v>
      </c>
      <c r="K21" s="22">
        <f t="shared" si="2"/>
        <v>-19511.10000000002</v>
      </c>
      <c r="L21">
        <f t="shared" si="3"/>
        <v>-2000</v>
      </c>
    </row>
    <row r="22" spans="1:12" x14ac:dyDescent="0.25">
      <c r="A22" s="8">
        <v>45414</v>
      </c>
      <c r="B22" s="5" t="s">
        <v>10</v>
      </c>
      <c r="C22" s="5" t="s">
        <v>11</v>
      </c>
      <c r="D22" s="5" t="s">
        <v>12</v>
      </c>
      <c r="E22" s="5" t="s">
        <v>14</v>
      </c>
      <c r="F22" s="5">
        <v>1000</v>
      </c>
      <c r="G22" s="9">
        <v>70.97</v>
      </c>
      <c r="H22" s="1">
        <f t="shared" si="0"/>
        <v>76.25</v>
      </c>
      <c r="I22" s="9">
        <v>3250</v>
      </c>
      <c r="J22" s="10">
        <f t="shared" si="1"/>
        <v>8606.4000000000015</v>
      </c>
      <c r="K22" s="22">
        <f t="shared" si="2"/>
        <v>-10904.700000000019</v>
      </c>
      <c r="L22">
        <f t="shared" si="3"/>
        <v>-1000</v>
      </c>
    </row>
    <row r="23" spans="1:12" x14ac:dyDescent="0.25">
      <c r="A23" s="11">
        <v>45415</v>
      </c>
      <c r="B23" s="6" t="s">
        <v>10</v>
      </c>
      <c r="C23" s="6" t="s">
        <v>11</v>
      </c>
      <c r="D23" s="6" t="s">
        <v>12</v>
      </c>
      <c r="E23" s="6" t="s">
        <v>14</v>
      </c>
      <c r="F23" s="6">
        <v>1000</v>
      </c>
      <c r="G23" s="12">
        <v>72.599999999999994</v>
      </c>
      <c r="H23" s="1">
        <f t="shared" si="0"/>
        <v>76.25</v>
      </c>
      <c r="I23" s="12">
        <v>1620.0000000000045</v>
      </c>
      <c r="J23" s="10">
        <f t="shared" si="1"/>
        <v>5949.5000000000082</v>
      </c>
      <c r="K23" s="22">
        <f t="shared" si="2"/>
        <v>-4955.2000000000107</v>
      </c>
      <c r="L23">
        <f t="shared" si="3"/>
        <v>0</v>
      </c>
    </row>
    <row r="24" spans="1:12" x14ac:dyDescent="0.25">
      <c r="A24" s="8">
        <v>45415</v>
      </c>
      <c r="B24" s="5" t="s">
        <v>10</v>
      </c>
      <c r="C24" s="5" t="s">
        <v>11</v>
      </c>
      <c r="D24" s="5" t="s">
        <v>12</v>
      </c>
      <c r="E24" s="5" t="s">
        <v>14</v>
      </c>
      <c r="F24" s="5">
        <v>1000</v>
      </c>
      <c r="G24" s="9">
        <v>72.599999999999994</v>
      </c>
      <c r="H24" s="1">
        <f t="shared" si="0"/>
        <v>76.25</v>
      </c>
      <c r="I24" s="9">
        <v>1620.0000000000045</v>
      </c>
      <c r="J24" s="10">
        <f t="shared" si="1"/>
        <v>5949.5000000000082</v>
      </c>
      <c r="K24" s="22">
        <f t="shared" si="2"/>
        <v>994.29999999999745</v>
      </c>
      <c r="L24">
        <f t="shared" si="3"/>
        <v>1000</v>
      </c>
    </row>
    <row r="25" spans="1:12" x14ac:dyDescent="0.25">
      <c r="A25" s="11">
        <v>45415</v>
      </c>
      <c r="B25" s="6" t="s">
        <v>10</v>
      </c>
      <c r="C25" s="6" t="s">
        <v>11</v>
      </c>
      <c r="D25" s="6" t="s">
        <v>12</v>
      </c>
      <c r="E25" s="6" t="s">
        <v>13</v>
      </c>
      <c r="F25" s="6">
        <v>-1000</v>
      </c>
      <c r="G25" s="12">
        <v>71.900000000000006</v>
      </c>
      <c r="H25" s="1">
        <f t="shared" si="0"/>
        <v>76.25</v>
      </c>
      <c r="I25" s="12">
        <v>-2319.9999999999932</v>
      </c>
      <c r="J25" s="10">
        <f t="shared" si="1"/>
        <v>-7090.4999999999909</v>
      </c>
      <c r="K25" s="22">
        <f t="shared" si="2"/>
        <v>-6096.1999999999935</v>
      </c>
      <c r="L25">
        <f t="shared" si="3"/>
        <v>0</v>
      </c>
    </row>
    <row r="26" spans="1:12" x14ac:dyDescent="0.25">
      <c r="A26" s="8">
        <v>45415</v>
      </c>
      <c r="B26" s="5" t="s">
        <v>10</v>
      </c>
      <c r="C26" s="5" t="s">
        <v>11</v>
      </c>
      <c r="D26" s="5" t="s">
        <v>12</v>
      </c>
      <c r="E26" s="5" t="s">
        <v>13</v>
      </c>
      <c r="F26" s="5">
        <v>-1000</v>
      </c>
      <c r="G26" s="9">
        <v>71.900000000000006</v>
      </c>
      <c r="H26" s="1">
        <f t="shared" si="0"/>
        <v>76.25</v>
      </c>
      <c r="I26" s="9">
        <v>-2319.9999999999932</v>
      </c>
      <c r="J26" s="10">
        <f t="shared" si="1"/>
        <v>-7090.4999999999909</v>
      </c>
      <c r="K26" s="22">
        <f t="shared" si="2"/>
        <v>-13186.699999999984</v>
      </c>
      <c r="L26">
        <f t="shared" si="3"/>
        <v>-1000</v>
      </c>
    </row>
    <row r="27" spans="1:12" x14ac:dyDescent="0.25">
      <c r="A27" s="11">
        <v>45415</v>
      </c>
      <c r="B27" s="6" t="s">
        <v>10</v>
      </c>
      <c r="C27" s="6" t="s">
        <v>11</v>
      </c>
      <c r="D27" s="6" t="s">
        <v>12</v>
      </c>
      <c r="E27" s="6" t="s">
        <v>13</v>
      </c>
      <c r="F27" s="6">
        <v>-1000</v>
      </c>
      <c r="G27" s="12">
        <v>71.760000000000005</v>
      </c>
      <c r="H27" s="1">
        <f t="shared" si="0"/>
        <v>76.25</v>
      </c>
      <c r="I27" s="12">
        <v>-2459.9999999999936</v>
      </c>
      <c r="J27" s="10">
        <f t="shared" si="1"/>
        <v>-7318.6999999999907</v>
      </c>
      <c r="K27" s="22">
        <f t="shared" si="2"/>
        <v>-20505.399999999976</v>
      </c>
      <c r="L27">
        <f t="shared" si="3"/>
        <v>-2000</v>
      </c>
    </row>
    <row r="28" spans="1:12" x14ac:dyDescent="0.25">
      <c r="A28" s="8">
        <v>45415</v>
      </c>
      <c r="B28" s="5" t="s">
        <v>10</v>
      </c>
      <c r="C28" s="5" t="s">
        <v>11</v>
      </c>
      <c r="D28" s="5" t="s">
        <v>12</v>
      </c>
      <c r="E28" s="5" t="s">
        <v>14</v>
      </c>
      <c r="F28" s="5">
        <v>1000</v>
      </c>
      <c r="G28" s="9">
        <v>72.58</v>
      </c>
      <c r="H28" s="1">
        <f t="shared" si="0"/>
        <v>76.25</v>
      </c>
      <c r="I28" s="9">
        <v>1640.0000000000005</v>
      </c>
      <c r="J28" s="10">
        <f t="shared" si="1"/>
        <v>5982.1000000000022</v>
      </c>
      <c r="K28" s="22">
        <f t="shared" si="2"/>
        <v>-14523.299999999974</v>
      </c>
      <c r="L28">
        <f t="shared" si="3"/>
        <v>-1000</v>
      </c>
    </row>
    <row r="29" spans="1:12" x14ac:dyDescent="0.25">
      <c r="A29" s="11">
        <v>45415</v>
      </c>
      <c r="B29" s="6" t="s">
        <v>10</v>
      </c>
      <c r="C29" s="6" t="s">
        <v>11</v>
      </c>
      <c r="D29" s="6" t="s">
        <v>12</v>
      </c>
      <c r="E29" s="6" t="s">
        <v>14</v>
      </c>
      <c r="F29" s="6">
        <v>1000</v>
      </c>
      <c r="G29" s="12">
        <v>72.599999999999994</v>
      </c>
      <c r="H29" s="1">
        <f t="shared" si="0"/>
        <v>76.25</v>
      </c>
      <c r="I29" s="12">
        <v>1620.0000000000045</v>
      </c>
      <c r="J29" s="10">
        <f t="shared" si="1"/>
        <v>5949.5000000000082</v>
      </c>
      <c r="K29" s="22">
        <f t="shared" si="2"/>
        <v>-8573.7999999999665</v>
      </c>
      <c r="L29">
        <f t="shared" si="3"/>
        <v>0</v>
      </c>
    </row>
    <row r="30" spans="1:12" x14ac:dyDescent="0.25">
      <c r="A30" s="8">
        <v>45415</v>
      </c>
      <c r="B30" s="5" t="s">
        <v>10</v>
      </c>
      <c r="C30" s="5" t="s">
        <v>11</v>
      </c>
      <c r="D30" s="5" t="s">
        <v>12</v>
      </c>
      <c r="E30" s="5" t="s">
        <v>14</v>
      </c>
      <c r="F30" s="5">
        <v>1000</v>
      </c>
      <c r="G30" s="9">
        <v>72.84</v>
      </c>
      <c r="H30" s="1">
        <f t="shared" si="0"/>
        <v>76.25</v>
      </c>
      <c r="I30" s="9">
        <v>1379.9999999999955</v>
      </c>
      <c r="J30" s="10">
        <f t="shared" si="1"/>
        <v>5558.2999999999938</v>
      </c>
      <c r="K30" s="22">
        <f t="shared" si="2"/>
        <v>-3015.4999999999727</v>
      </c>
      <c r="L30">
        <f t="shared" si="3"/>
        <v>1000</v>
      </c>
    </row>
    <row r="31" spans="1:12" x14ac:dyDescent="0.25">
      <c r="A31" s="11">
        <v>45415</v>
      </c>
      <c r="B31" s="6" t="s">
        <v>10</v>
      </c>
      <c r="C31" s="6" t="s">
        <v>11</v>
      </c>
      <c r="D31" s="6" t="s">
        <v>12</v>
      </c>
      <c r="E31" s="6" t="s">
        <v>14</v>
      </c>
      <c r="F31" s="6">
        <v>1000</v>
      </c>
      <c r="G31" s="12">
        <v>73.27</v>
      </c>
      <c r="H31" s="1">
        <f t="shared" si="0"/>
        <v>76.25</v>
      </c>
      <c r="I31" s="12">
        <v>950.00000000000284</v>
      </c>
      <c r="J31" s="10">
        <f t="shared" si="1"/>
        <v>4857.400000000006</v>
      </c>
      <c r="K31" s="22">
        <f t="shared" si="2"/>
        <v>1841.9000000000333</v>
      </c>
      <c r="L31">
        <f t="shared" si="3"/>
        <v>2000</v>
      </c>
    </row>
    <row r="32" spans="1:12" x14ac:dyDescent="0.25">
      <c r="A32" s="8">
        <v>45415</v>
      </c>
      <c r="B32" s="5" t="s">
        <v>10</v>
      </c>
      <c r="C32" s="5" t="s">
        <v>11</v>
      </c>
      <c r="D32" s="5" t="s">
        <v>12</v>
      </c>
      <c r="E32" s="5" t="s">
        <v>14</v>
      </c>
      <c r="F32" s="5">
        <v>1000</v>
      </c>
      <c r="G32" s="9">
        <v>73.55</v>
      </c>
      <c r="H32" s="1">
        <f t="shared" si="0"/>
        <v>76.25</v>
      </c>
      <c r="I32" s="9">
        <v>670.00000000000171</v>
      </c>
      <c r="J32" s="10">
        <f t="shared" si="1"/>
        <v>4401.0000000000045</v>
      </c>
      <c r="K32" s="22">
        <f t="shared" si="2"/>
        <v>6242.9000000000378</v>
      </c>
      <c r="L32">
        <f t="shared" si="3"/>
        <v>3000</v>
      </c>
    </row>
    <row r="33" spans="1:12" x14ac:dyDescent="0.25">
      <c r="A33" s="11">
        <v>45415</v>
      </c>
      <c r="B33" s="6" t="s">
        <v>10</v>
      </c>
      <c r="C33" s="6" t="s">
        <v>11</v>
      </c>
      <c r="D33" s="6" t="s">
        <v>12</v>
      </c>
      <c r="E33" s="6" t="s">
        <v>14</v>
      </c>
      <c r="F33" s="6">
        <v>1000</v>
      </c>
      <c r="G33" s="12">
        <v>73.900000000000006</v>
      </c>
      <c r="H33" s="1">
        <f t="shared" si="0"/>
        <v>76.25</v>
      </c>
      <c r="I33" s="12">
        <v>319.99999999999318</v>
      </c>
      <c r="J33" s="10">
        <f t="shared" si="1"/>
        <v>3830.4999999999909</v>
      </c>
      <c r="K33" s="22">
        <f t="shared" si="2"/>
        <v>10073.400000000029</v>
      </c>
      <c r="L33">
        <f t="shared" si="3"/>
        <v>4000</v>
      </c>
    </row>
    <row r="34" spans="1:12" x14ac:dyDescent="0.25">
      <c r="A34" s="8">
        <v>45415</v>
      </c>
      <c r="B34" s="5" t="s">
        <v>10</v>
      </c>
      <c r="C34" s="5" t="s">
        <v>11</v>
      </c>
      <c r="D34" s="5" t="s">
        <v>12</v>
      </c>
      <c r="E34" s="5" t="s">
        <v>13</v>
      </c>
      <c r="F34" s="5">
        <v>-1000</v>
      </c>
      <c r="G34" s="9">
        <v>73.27</v>
      </c>
      <c r="H34" s="1">
        <f t="shared" si="0"/>
        <v>76.25</v>
      </c>
      <c r="I34" s="9">
        <v>-950.00000000000284</v>
      </c>
      <c r="J34" s="10">
        <f t="shared" si="1"/>
        <v>-4857.400000000006</v>
      </c>
      <c r="K34" s="22">
        <f t="shared" si="2"/>
        <v>5216.0000000000227</v>
      </c>
      <c r="L34">
        <f t="shared" si="3"/>
        <v>3000</v>
      </c>
    </row>
    <row r="35" spans="1:12" x14ac:dyDescent="0.25">
      <c r="A35" s="11">
        <v>45415</v>
      </c>
      <c r="B35" s="6" t="s">
        <v>10</v>
      </c>
      <c r="C35" s="6" t="s">
        <v>11</v>
      </c>
      <c r="D35" s="6" t="s">
        <v>12</v>
      </c>
      <c r="E35" s="6" t="s">
        <v>13</v>
      </c>
      <c r="F35" s="6">
        <v>-1000</v>
      </c>
      <c r="G35" s="12">
        <v>73.25</v>
      </c>
      <c r="H35" s="1">
        <f t="shared" si="0"/>
        <v>76.25</v>
      </c>
      <c r="I35" s="12">
        <v>-969.99999999999886</v>
      </c>
      <c r="J35" s="10">
        <f t="shared" si="1"/>
        <v>-4890</v>
      </c>
      <c r="K35" s="22">
        <f t="shared" ref="K35:K61" si="4">K34+J35</f>
        <v>326.00000000002274</v>
      </c>
      <c r="L35">
        <f t="shared" ref="L35:L61" si="5">L34+F35</f>
        <v>2000</v>
      </c>
    </row>
    <row r="36" spans="1:12" x14ac:dyDescent="0.25">
      <c r="A36" s="8">
        <v>45415</v>
      </c>
      <c r="B36" s="5" t="s">
        <v>10</v>
      </c>
      <c r="C36" s="5" t="s">
        <v>11</v>
      </c>
      <c r="D36" s="5" t="s">
        <v>12</v>
      </c>
      <c r="E36" s="5" t="s">
        <v>14</v>
      </c>
      <c r="F36" s="5">
        <v>1000</v>
      </c>
      <c r="G36" s="9">
        <v>72.400000000000006</v>
      </c>
      <c r="H36" s="1">
        <f t="shared" si="0"/>
        <v>76.25</v>
      </c>
      <c r="I36" s="9">
        <v>1819.9999999999932</v>
      </c>
      <c r="J36" s="10">
        <f t="shared" si="1"/>
        <v>6275.4999999999909</v>
      </c>
      <c r="K36" s="22">
        <f t="shared" si="4"/>
        <v>6601.5000000000136</v>
      </c>
      <c r="L36">
        <f t="shared" si="5"/>
        <v>3000</v>
      </c>
    </row>
    <row r="37" spans="1:12" x14ac:dyDescent="0.25">
      <c r="A37" s="11">
        <v>45415</v>
      </c>
      <c r="B37" s="6" t="s">
        <v>10</v>
      </c>
      <c r="C37" s="6" t="s">
        <v>11</v>
      </c>
      <c r="D37" s="6" t="s">
        <v>12</v>
      </c>
      <c r="E37" s="6" t="s">
        <v>14</v>
      </c>
      <c r="F37" s="6">
        <v>1000</v>
      </c>
      <c r="G37" s="12">
        <v>72.150000000000006</v>
      </c>
      <c r="H37" s="1">
        <f t="shared" si="0"/>
        <v>76.25</v>
      </c>
      <c r="I37" s="12">
        <v>2069.9999999999932</v>
      </c>
      <c r="J37" s="10">
        <f t="shared" si="1"/>
        <v>6682.9999999999909</v>
      </c>
      <c r="K37" s="22">
        <f t="shared" si="4"/>
        <v>13284.500000000004</v>
      </c>
      <c r="L37">
        <f t="shared" si="5"/>
        <v>4000</v>
      </c>
    </row>
    <row r="38" spans="1:12" x14ac:dyDescent="0.25">
      <c r="A38" s="8">
        <v>45415</v>
      </c>
      <c r="B38" s="5" t="s">
        <v>10</v>
      </c>
      <c r="C38" s="5" t="s">
        <v>11</v>
      </c>
      <c r="D38" s="5" t="s">
        <v>12</v>
      </c>
      <c r="E38" s="5" t="s">
        <v>13</v>
      </c>
      <c r="F38" s="5">
        <v>-1000</v>
      </c>
      <c r="G38" s="9">
        <v>71.39</v>
      </c>
      <c r="H38" s="1">
        <f t="shared" si="0"/>
        <v>76.25</v>
      </c>
      <c r="I38" s="9">
        <v>-2829.9999999999982</v>
      </c>
      <c r="J38" s="10">
        <f t="shared" si="1"/>
        <v>-7921.7999999999984</v>
      </c>
      <c r="K38" s="22">
        <f t="shared" si="4"/>
        <v>5362.7000000000053</v>
      </c>
      <c r="L38">
        <f t="shared" si="5"/>
        <v>3000</v>
      </c>
    </row>
    <row r="39" spans="1:12" x14ac:dyDescent="0.25">
      <c r="A39" s="11">
        <v>45415</v>
      </c>
      <c r="B39" s="6" t="s">
        <v>10</v>
      </c>
      <c r="C39" s="6" t="s">
        <v>11</v>
      </c>
      <c r="D39" s="6" t="s">
        <v>12</v>
      </c>
      <c r="E39" s="6" t="s">
        <v>13</v>
      </c>
      <c r="F39" s="6">
        <v>-3000</v>
      </c>
      <c r="G39" s="12">
        <v>71.540000000000006</v>
      </c>
      <c r="H39" s="1">
        <f t="shared" si="0"/>
        <v>76.25</v>
      </c>
      <c r="I39" s="12">
        <v>-8039.9999999999782</v>
      </c>
      <c r="J39" s="10">
        <f t="shared" si="1"/>
        <v>-23031.899999999969</v>
      </c>
      <c r="K39" s="22">
        <f t="shared" si="4"/>
        <v>-17669.199999999964</v>
      </c>
      <c r="L39">
        <f t="shared" si="5"/>
        <v>0</v>
      </c>
    </row>
    <row r="40" spans="1:12" x14ac:dyDescent="0.25">
      <c r="A40" s="8">
        <v>45419</v>
      </c>
      <c r="B40" s="13" t="s">
        <v>10</v>
      </c>
      <c r="C40" s="5" t="s">
        <v>11</v>
      </c>
      <c r="D40" s="5" t="s">
        <v>12</v>
      </c>
      <c r="E40" s="5" t="s">
        <v>13</v>
      </c>
      <c r="F40" s="5">
        <v>-1000</v>
      </c>
      <c r="G40" s="9">
        <v>73.239999999999995</v>
      </c>
      <c r="H40" s="1">
        <f t="shared" si="0"/>
        <v>76.25</v>
      </c>
      <c r="I40" s="9">
        <v>-980.00000000000398</v>
      </c>
      <c r="J40" s="10">
        <f t="shared" si="1"/>
        <v>-4906.3000000000075</v>
      </c>
      <c r="K40" s="22">
        <f t="shared" si="4"/>
        <v>-22575.499999999971</v>
      </c>
      <c r="L40">
        <f t="shared" si="5"/>
        <v>-1000</v>
      </c>
    </row>
    <row r="41" spans="1:12" x14ac:dyDescent="0.25">
      <c r="A41" s="11">
        <v>45419</v>
      </c>
      <c r="B41" s="14" t="s">
        <v>10</v>
      </c>
      <c r="C41" s="6" t="s">
        <v>11</v>
      </c>
      <c r="D41" s="6" t="s">
        <v>12</v>
      </c>
      <c r="E41" s="6" t="s">
        <v>13</v>
      </c>
      <c r="F41" s="6">
        <v>-1000</v>
      </c>
      <c r="G41" s="12">
        <v>73.150000000000006</v>
      </c>
      <c r="H41" s="1">
        <f t="shared" si="0"/>
        <v>76.25</v>
      </c>
      <c r="I41" s="12">
        <v>-1069.9999999999932</v>
      </c>
      <c r="J41" s="10">
        <f t="shared" si="1"/>
        <v>-5052.9999999999909</v>
      </c>
      <c r="K41" s="22">
        <f t="shared" si="4"/>
        <v>-27628.499999999964</v>
      </c>
      <c r="L41">
        <f t="shared" si="5"/>
        <v>-2000</v>
      </c>
    </row>
    <row r="42" spans="1:12" x14ac:dyDescent="0.25">
      <c r="A42" s="8">
        <v>45419</v>
      </c>
      <c r="B42" s="5" t="s">
        <v>10</v>
      </c>
      <c r="C42" s="5" t="s">
        <v>11</v>
      </c>
      <c r="D42" s="5" t="s">
        <v>12</v>
      </c>
      <c r="E42" s="5" t="s">
        <v>13</v>
      </c>
      <c r="F42" s="5">
        <v>-1000</v>
      </c>
      <c r="G42" s="9">
        <v>73.599999999999994</v>
      </c>
      <c r="H42" s="1">
        <f t="shared" si="0"/>
        <v>76.25</v>
      </c>
      <c r="I42" s="9">
        <v>-620.00000000000455</v>
      </c>
      <c r="J42" s="10">
        <f t="shared" si="1"/>
        <v>-4319.5000000000082</v>
      </c>
      <c r="K42" s="22">
        <f t="shared" si="4"/>
        <v>-31947.999999999971</v>
      </c>
      <c r="L42">
        <f t="shared" si="5"/>
        <v>-3000</v>
      </c>
    </row>
    <row r="43" spans="1:12" x14ac:dyDescent="0.25">
      <c r="A43" s="11">
        <v>45419</v>
      </c>
      <c r="B43" s="6" t="s">
        <v>10</v>
      </c>
      <c r="C43" s="6" t="s">
        <v>11</v>
      </c>
      <c r="D43" s="6" t="s">
        <v>12</v>
      </c>
      <c r="E43" s="6" t="s">
        <v>14</v>
      </c>
      <c r="F43" s="6">
        <v>1000</v>
      </c>
      <c r="G43" s="12">
        <v>72.459999999999994</v>
      </c>
      <c r="H43" s="1">
        <f t="shared" si="0"/>
        <v>76.25</v>
      </c>
      <c r="I43" s="12">
        <v>1760.000000000005</v>
      </c>
      <c r="J43" s="10">
        <f t="shared" si="1"/>
        <v>6177.7000000000098</v>
      </c>
      <c r="K43" s="22">
        <f t="shared" si="4"/>
        <v>-25770.299999999959</v>
      </c>
      <c r="L43">
        <f t="shared" si="5"/>
        <v>-2000</v>
      </c>
    </row>
    <row r="44" spans="1:12" x14ac:dyDescent="0.25">
      <c r="A44" s="8">
        <v>45419</v>
      </c>
      <c r="B44" s="5" t="s">
        <v>10</v>
      </c>
      <c r="C44" s="5" t="s">
        <v>11</v>
      </c>
      <c r="D44" s="5" t="s">
        <v>12</v>
      </c>
      <c r="E44" s="5" t="s">
        <v>14</v>
      </c>
      <c r="F44" s="5">
        <v>1000</v>
      </c>
      <c r="G44" s="9">
        <v>71.739999999999995</v>
      </c>
      <c r="H44" s="1">
        <f t="shared" si="0"/>
        <v>76.25</v>
      </c>
      <c r="I44" s="9">
        <v>2480.0000000000041</v>
      </c>
      <c r="J44" s="10">
        <f t="shared" si="1"/>
        <v>7351.3000000000084</v>
      </c>
      <c r="K44" s="22">
        <f t="shared" si="4"/>
        <v>-18418.999999999949</v>
      </c>
      <c r="L44">
        <f t="shared" si="5"/>
        <v>-1000</v>
      </c>
    </row>
    <row r="45" spans="1:12" x14ac:dyDescent="0.25">
      <c r="A45" s="11">
        <v>45419</v>
      </c>
      <c r="B45" s="6" t="s">
        <v>10</v>
      </c>
      <c r="C45" s="6" t="s">
        <v>11</v>
      </c>
      <c r="D45" s="6" t="s">
        <v>12</v>
      </c>
      <c r="E45" s="6" t="s">
        <v>14</v>
      </c>
      <c r="F45" s="6">
        <v>1000</v>
      </c>
      <c r="G45" s="12">
        <v>71.099999999999994</v>
      </c>
      <c r="H45" s="1">
        <f t="shared" si="0"/>
        <v>76.25</v>
      </c>
      <c r="I45" s="12">
        <v>3120.0000000000045</v>
      </c>
      <c r="J45" s="10">
        <f t="shared" si="1"/>
        <v>8394.5000000000091</v>
      </c>
      <c r="K45" s="22">
        <f t="shared" si="4"/>
        <v>-10024.49999999994</v>
      </c>
      <c r="L45">
        <f t="shared" si="5"/>
        <v>0</v>
      </c>
    </row>
    <row r="46" spans="1:12" x14ac:dyDescent="0.25">
      <c r="A46" s="8">
        <v>45419</v>
      </c>
      <c r="B46" s="5" t="s">
        <v>10</v>
      </c>
      <c r="C46" s="5" t="s">
        <v>11</v>
      </c>
      <c r="D46" s="5" t="s">
        <v>12</v>
      </c>
      <c r="E46" s="5" t="s">
        <v>13</v>
      </c>
      <c r="F46" s="5">
        <v>-1000</v>
      </c>
      <c r="G46" s="9">
        <v>71.45</v>
      </c>
      <c r="H46" s="1">
        <f t="shared" si="0"/>
        <v>76.25</v>
      </c>
      <c r="I46" s="9">
        <v>-2769.9999999999959</v>
      </c>
      <c r="J46" s="10">
        <f t="shared" si="1"/>
        <v>-7823.9999999999955</v>
      </c>
      <c r="K46" s="22">
        <f t="shared" si="4"/>
        <v>-17848.499999999935</v>
      </c>
      <c r="L46">
        <f t="shared" si="5"/>
        <v>-1000</v>
      </c>
    </row>
    <row r="47" spans="1:12" x14ac:dyDescent="0.25">
      <c r="A47" s="11">
        <v>45419</v>
      </c>
      <c r="B47" s="6" t="s">
        <v>10</v>
      </c>
      <c r="C47" s="6" t="s">
        <v>11</v>
      </c>
      <c r="D47" s="6" t="s">
        <v>12</v>
      </c>
      <c r="E47" s="6" t="s">
        <v>13</v>
      </c>
      <c r="F47" s="6">
        <v>-1000</v>
      </c>
      <c r="G47" s="12">
        <v>72.22</v>
      </c>
      <c r="H47" s="1">
        <f t="shared" si="0"/>
        <v>76.25</v>
      </c>
      <c r="I47" s="12">
        <v>-2000</v>
      </c>
      <c r="J47" s="10">
        <f t="shared" si="1"/>
        <v>-6568.9000000000015</v>
      </c>
      <c r="K47" s="22">
        <f t="shared" si="4"/>
        <v>-24417.399999999936</v>
      </c>
      <c r="L47">
        <f t="shared" si="5"/>
        <v>-2000</v>
      </c>
    </row>
    <row r="48" spans="1:12" x14ac:dyDescent="0.25">
      <c r="A48" s="8">
        <v>45419</v>
      </c>
      <c r="B48" s="5" t="s">
        <v>10</v>
      </c>
      <c r="C48" s="5" t="s">
        <v>11</v>
      </c>
      <c r="D48" s="5" t="s">
        <v>12</v>
      </c>
      <c r="E48" s="5" t="s">
        <v>14</v>
      </c>
      <c r="F48" s="5">
        <v>1000</v>
      </c>
      <c r="G48" s="9">
        <v>72.28</v>
      </c>
      <c r="H48" s="1">
        <f t="shared" si="0"/>
        <v>76.25</v>
      </c>
      <c r="I48" s="9">
        <v>1939.9999999999977</v>
      </c>
      <c r="J48" s="10">
        <f t="shared" si="1"/>
        <v>6471.0999999999985</v>
      </c>
      <c r="K48" s="22">
        <f t="shared" si="4"/>
        <v>-17946.299999999937</v>
      </c>
      <c r="L48">
        <f t="shared" si="5"/>
        <v>-1000</v>
      </c>
    </row>
    <row r="49" spans="1:19" x14ac:dyDescent="0.25">
      <c r="A49" s="11">
        <v>45420</v>
      </c>
      <c r="B49" s="6" t="s">
        <v>10</v>
      </c>
      <c r="C49" s="6" t="s">
        <v>11</v>
      </c>
      <c r="D49" s="6" t="s">
        <v>12</v>
      </c>
      <c r="E49" s="6" t="s">
        <v>13</v>
      </c>
      <c r="F49" s="6">
        <v>-1000</v>
      </c>
      <c r="G49" s="12">
        <v>72.23</v>
      </c>
      <c r="H49" s="1">
        <f t="shared" si="0"/>
        <v>76.25</v>
      </c>
      <c r="I49" s="12">
        <v>-1989.999999999995</v>
      </c>
      <c r="J49" s="10">
        <f t="shared" si="1"/>
        <v>-6552.5999999999931</v>
      </c>
      <c r="K49" s="22">
        <f t="shared" si="4"/>
        <v>-24498.899999999929</v>
      </c>
      <c r="L49">
        <f t="shared" si="5"/>
        <v>-2000</v>
      </c>
    </row>
    <row r="50" spans="1:19" x14ac:dyDescent="0.25">
      <c r="A50" s="8">
        <v>45420</v>
      </c>
      <c r="B50" s="5" t="s">
        <v>10</v>
      </c>
      <c r="C50" s="5" t="s">
        <v>11</v>
      </c>
      <c r="D50" s="5" t="s">
        <v>12</v>
      </c>
      <c r="E50" s="5" t="s">
        <v>13</v>
      </c>
      <c r="F50" s="5">
        <v>-1000</v>
      </c>
      <c r="G50" s="9">
        <v>71.23</v>
      </c>
      <c r="H50" s="1">
        <f t="shared" si="0"/>
        <v>76.25</v>
      </c>
      <c r="I50" s="9">
        <v>-2989.999999999995</v>
      </c>
      <c r="J50" s="10">
        <f t="shared" si="1"/>
        <v>-8182.5999999999931</v>
      </c>
      <c r="K50" s="22">
        <f t="shared" si="4"/>
        <v>-32681.49999999992</v>
      </c>
      <c r="L50">
        <f t="shared" si="5"/>
        <v>-3000</v>
      </c>
    </row>
    <row r="51" spans="1:19" x14ac:dyDescent="0.25">
      <c r="A51" s="11">
        <v>45420</v>
      </c>
      <c r="B51" s="6" t="s">
        <v>10</v>
      </c>
      <c r="C51" s="6" t="s">
        <v>11</v>
      </c>
      <c r="D51" s="6" t="s">
        <v>12</v>
      </c>
      <c r="E51" s="6" t="s">
        <v>13</v>
      </c>
      <c r="F51" s="6">
        <v>-1000</v>
      </c>
      <c r="G51" s="12">
        <v>70.89</v>
      </c>
      <c r="H51" s="1">
        <f t="shared" si="0"/>
        <v>76.25</v>
      </c>
      <c r="I51" s="12">
        <v>-3329.9999999999982</v>
      </c>
      <c r="J51" s="10">
        <f t="shared" si="1"/>
        <v>-8736.7999999999975</v>
      </c>
      <c r="K51" s="22">
        <f t="shared" si="4"/>
        <v>-41418.299999999916</v>
      </c>
      <c r="L51">
        <f t="shared" si="5"/>
        <v>-4000</v>
      </c>
    </row>
    <row r="52" spans="1:19" x14ac:dyDescent="0.25">
      <c r="A52" s="8">
        <v>45422</v>
      </c>
      <c r="B52" s="5" t="s">
        <v>10</v>
      </c>
      <c r="C52" s="5" t="s">
        <v>11</v>
      </c>
      <c r="D52" s="5" t="s">
        <v>12</v>
      </c>
      <c r="E52" s="5" t="s">
        <v>14</v>
      </c>
      <c r="F52" s="5">
        <v>2000</v>
      </c>
      <c r="G52" s="9">
        <v>74.459999999999994</v>
      </c>
      <c r="H52" s="1">
        <f t="shared" si="0"/>
        <v>76.25</v>
      </c>
      <c r="I52" s="9">
        <v>-479.99999999998977</v>
      </c>
      <c r="J52" s="10">
        <f t="shared" si="1"/>
        <v>5835.4000000000206</v>
      </c>
      <c r="K52" s="22">
        <f t="shared" si="4"/>
        <v>-35582.899999999892</v>
      </c>
      <c r="L52">
        <f t="shared" si="5"/>
        <v>-2000</v>
      </c>
    </row>
    <row r="53" spans="1:19" x14ac:dyDescent="0.25">
      <c r="A53" s="11">
        <v>45422</v>
      </c>
      <c r="B53" s="6" t="s">
        <v>10</v>
      </c>
      <c r="C53" s="6" t="s">
        <v>11</v>
      </c>
      <c r="D53" s="6" t="s">
        <v>12</v>
      </c>
      <c r="E53" s="6" t="s">
        <v>13</v>
      </c>
      <c r="F53" s="6">
        <v>-1000</v>
      </c>
      <c r="G53" s="12">
        <v>72.59</v>
      </c>
      <c r="H53" s="1">
        <f t="shared" si="0"/>
        <v>76.25</v>
      </c>
      <c r="I53" s="12">
        <v>-1629.9999999999955</v>
      </c>
      <c r="J53" s="10">
        <f t="shared" si="1"/>
        <v>-5965.7999999999938</v>
      </c>
      <c r="K53" s="22">
        <f t="shared" si="4"/>
        <v>-41548.699999999888</v>
      </c>
      <c r="L53">
        <f t="shared" si="5"/>
        <v>-3000</v>
      </c>
    </row>
    <row r="54" spans="1:19" x14ac:dyDescent="0.25">
      <c r="A54" s="8">
        <v>45422</v>
      </c>
      <c r="B54" s="5" t="s">
        <v>10</v>
      </c>
      <c r="C54" s="5" t="s">
        <v>11</v>
      </c>
      <c r="D54" s="5" t="s">
        <v>12</v>
      </c>
      <c r="E54" s="5" t="s">
        <v>13</v>
      </c>
      <c r="F54" s="5">
        <v>-1000</v>
      </c>
      <c r="G54" s="9">
        <v>72.58</v>
      </c>
      <c r="H54" s="1">
        <f t="shared" si="0"/>
        <v>76.25</v>
      </c>
      <c r="I54" s="9">
        <v>-1640.0000000000005</v>
      </c>
      <c r="J54" s="10">
        <f t="shared" si="1"/>
        <v>-5982.1000000000022</v>
      </c>
      <c r="K54" s="22">
        <f t="shared" si="4"/>
        <v>-47530.799999999886</v>
      </c>
      <c r="L54">
        <f t="shared" si="5"/>
        <v>-4000</v>
      </c>
    </row>
    <row r="55" spans="1:19" x14ac:dyDescent="0.25">
      <c r="A55" s="11">
        <v>45425</v>
      </c>
      <c r="B55" s="6" t="s">
        <v>10</v>
      </c>
      <c r="C55" s="6" t="s">
        <v>11</v>
      </c>
      <c r="D55" s="6" t="s">
        <v>12</v>
      </c>
      <c r="E55" s="6" t="s">
        <v>14</v>
      </c>
      <c r="F55" s="6">
        <v>1000</v>
      </c>
      <c r="G55" s="12">
        <v>70.790000000000006</v>
      </c>
      <c r="H55" s="1">
        <f t="shared" si="0"/>
        <v>76.25</v>
      </c>
      <c r="I55" s="12">
        <v>3429.9999999999927</v>
      </c>
      <c r="J55" s="10">
        <f t="shared" si="1"/>
        <v>8899.7999999999884</v>
      </c>
      <c r="K55" s="22">
        <f t="shared" si="4"/>
        <v>-38630.999999999898</v>
      </c>
      <c r="L55">
        <f t="shared" si="5"/>
        <v>-3000</v>
      </c>
    </row>
    <row r="56" spans="1:19" x14ac:dyDescent="0.25">
      <c r="A56" s="8">
        <v>45425</v>
      </c>
      <c r="B56" s="5" t="s">
        <v>10</v>
      </c>
      <c r="C56" s="5" t="s">
        <v>11</v>
      </c>
      <c r="D56" s="5" t="s">
        <v>12</v>
      </c>
      <c r="E56" s="5" t="s">
        <v>14</v>
      </c>
      <c r="F56" s="5">
        <v>1000</v>
      </c>
      <c r="G56" s="9">
        <v>71.14</v>
      </c>
      <c r="H56" s="1">
        <f t="shared" si="0"/>
        <v>76.25</v>
      </c>
      <c r="I56" s="9">
        <v>3079.9999999999982</v>
      </c>
      <c r="J56" s="10">
        <f t="shared" si="1"/>
        <v>8329.2999999999975</v>
      </c>
      <c r="K56" s="22">
        <f t="shared" si="4"/>
        <v>-30301.699999999903</v>
      </c>
      <c r="L56">
        <f t="shared" si="5"/>
        <v>-2000</v>
      </c>
    </row>
    <row r="57" spans="1:19" x14ac:dyDescent="0.25">
      <c r="A57" s="11">
        <v>45425</v>
      </c>
      <c r="B57" s="6" t="s">
        <v>10</v>
      </c>
      <c r="C57" s="6" t="s">
        <v>11</v>
      </c>
      <c r="D57" s="6" t="s">
        <v>12</v>
      </c>
      <c r="E57" s="6" t="s">
        <v>13</v>
      </c>
      <c r="F57" s="6">
        <v>-1000</v>
      </c>
      <c r="G57" s="12">
        <v>71</v>
      </c>
      <c r="H57" s="1">
        <f t="shared" si="0"/>
        <v>76.25</v>
      </c>
      <c r="I57" s="12">
        <v>-3219.9999999999991</v>
      </c>
      <c r="J57" s="10">
        <f t="shared" si="1"/>
        <v>-8557.5</v>
      </c>
      <c r="K57" s="22">
        <f t="shared" si="4"/>
        <v>-38859.199999999903</v>
      </c>
      <c r="L57">
        <f t="shared" si="5"/>
        <v>-3000</v>
      </c>
    </row>
    <row r="58" spans="1:19" x14ac:dyDescent="0.25">
      <c r="A58" s="8">
        <v>45425</v>
      </c>
      <c r="B58" s="5" t="s">
        <v>10</v>
      </c>
      <c r="C58" s="5" t="s">
        <v>11</v>
      </c>
      <c r="D58" s="5" t="s">
        <v>12</v>
      </c>
      <c r="E58" s="5" t="s">
        <v>13</v>
      </c>
      <c r="F58" s="5">
        <v>-1000</v>
      </c>
      <c r="G58" s="9">
        <v>70.52</v>
      </c>
      <c r="H58" s="1">
        <f t="shared" si="0"/>
        <v>76.25</v>
      </c>
      <c r="I58" s="9">
        <v>-3700.0000000000027</v>
      </c>
      <c r="J58" s="10">
        <f t="shared" si="1"/>
        <v>-9339.9000000000051</v>
      </c>
      <c r="K58" s="22">
        <f t="shared" si="4"/>
        <v>-48199.099999999904</v>
      </c>
      <c r="L58">
        <f t="shared" si="5"/>
        <v>-4000</v>
      </c>
    </row>
    <row r="59" spans="1:19" x14ac:dyDescent="0.25">
      <c r="A59" s="11">
        <v>45425</v>
      </c>
      <c r="B59" s="6" t="s">
        <v>10</v>
      </c>
      <c r="C59" s="6" t="s">
        <v>11</v>
      </c>
      <c r="D59" s="6" t="s">
        <v>12</v>
      </c>
      <c r="E59" s="6" t="s">
        <v>13</v>
      </c>
      <c r="F59" s="6">
        <v>-1000</v>
      </c>
      <c r="G59" s="12">
        <v>69.63</v>
      </c>
      <c r="H59" s="1">
        <f t="shared" si="0"/>
        <v>76.25</v>
      </c>
      <c r="I59" s="12">
        <v>-4590.0000000000036</v>
      </c>
      <c r="J59" s="10">
        <f t="shared" si="1"/>
        <v>-10790.600000000006</v>
      </c>
      <c r="K59" s="22">
        <f t="shared" si="4"/>
        <v>-58989.69999999991</v>
      </c>
      <c r="L59">
        <f t="shared" si="5"/>
        <v>-5000</v>
      </c>
    </row>
    <row r="60" spans="1:19" x14ac:dyDescent="0.25">
      <c r="A60" s="8">
        <v>45425</v>
      </c>
      <c r="B60" s="5" t="s">
        <v>10</v>
      </c>
      <c r="C60" s="5" t="s">
        <v>11</v>
      </c>
      <c r="D60" s="5" t="s">
        <v>12</v>
      </c>
      <c r="E60" s="5" t="s">
        <v>13</v>
      </c>
      <c r="F60" s="5">
        <v>-1000</v>
      </c>
      <c r="G60" s="9">
        <v>68.78</v>
      </c>
      <c r="H60" s="1">
        <f t="shared" si="0"/>
        <v>76.25</v>
      </c>
      <c r="I60" s="9">
        <v>-5439.9999999999982</v>
      </c>
      <c r="J60" s="10">
        <f t="shared" si="1"/>
        <v>-12176.099999999999</v>
      </c>
      <c r="K60" s="22">
        <f t="shared" si="4"/>
        <v>-71165.799999999901</v>
      </c>
      <c r="L60">
        <f t="shared" si="5"/>
        <v>-6000</v>
      </c>
    </row>
    <row r="61" spans="1:19" x14ac:dyDescent="0.25">
      <c r="A61" s="15">
        <v>45426</v>
      </c>
      <c r="B61" s="7" t="s">
        <v>10</v>
      </c>
      <c r="C61" s="7" t="s">
        <v>11</v>
      </c>
      <c r="D61" s="7" t="s">
        <v>12</v>
      </c>
      <c r="E61" s="7" t="s">
        <v>13</v>
      </c>
      <c r="F61" s="7">
        <v>-1000</v>
      </c>
      <c r="G61" s="16">
        <v>70.92</v>
      </c>
      <c r="H61" s="1">
        <f t="shared" si="0"/>
        <v>76.25</v>
      </c>
      <c r="I61" s="16">
        <v>-3299.9999999999973</v>
      </c>
      <c r="J61" s="10">
        <f t="shared" si="1"/>
        <v>-8687.899999999996</v>
      </c>
      <c r="K61" s="22">
        <f t="shared" si="4"/>
        <v>-79853.699999999895</v>
      </c>
      <c r="L61">
        <f t="shared" si="5"/>
        <v>-7000</v>
      </c>
      <c r="N61" t="s">
        <v>33</v>
      </c>
      <c r="O61">
        <f>SUMPRODUCT(F46:F61,G46:G61)/SUM(F46:F61)</f>
        <v>70.13</v>
      </c>
    </row>
    <row r="62" spans="1:19" x14ac:dyDescent="0.25">
      <c r="A62" s="15">
        <v>45439</v>
      </c>
      <c r="B62" s="7" t="s">
        <v>10</v>
      </c>
      <c r="C62" s="7" t="s">
        <v>11</v>
      </c>
      <c r="D62" s="7" t="s">
        <v>12</v>
      </c>
      <c r="E62" s="7" t="s">
        <v>14</v>
      </c>
      <c r="F62" s="7">
        <v>1000</v>
      </c>
      <c r="G62" s="16">
        <v>76.010000000000005</v>
      </c>
      <c r="H62" s="1">
        <f t="shared" si="0"/>
        <v>76.25</v>
      </c>
      <c r="I62" s="16">
        <v>-3299.9999999999973</v>
      </c>
      <c r="J62" s="10">
        <f t="shared" ref="J62" si="6">(H62-G62)*F62*1.63</f>
        <v>391.19999999999163</v>
      </c>
      <c r="K62" s="22">
        <f t="shared" ref="K62" si="7">K61+J62</f>
        <v>-79462.499999999898</v>
      </c>
      <c r="L62">
        <f t="shared" ref="L62" si="8">L61+F62</f>
        <v>-6000</v>
      </c>
      <c r="Q62" t="s">
        <v>38</v>
      </c>
      <c r="R62" s="34">
        <f>F62</f>
        <v>1000</v>
      </c>
      <c r="S62" s="1">
        <f>G62</f>
        <v>76.010000000000005</v>
      </c>
    </row>
    <row r="63" spans="1:19" x14ac:dyDescent="0.25">
      <c r="A63" s="15">
        <v>45439</v>
      </c>
      <c r="B63" s="7" t="s">
        <v>10</v>
      </c>
      <c r="C63" s="7" t="s">
        <v>11</v>
      </c>
      <c r="D63" s="7" t="s">
        <v>12</v>
      </c>
      <c r="E63" s="7" t="s">
        <v>14</v>
      </c>
      <c r="F63" s="7">
        <v>1000</v>
      </c>
      <c r="G63" s="16">
        <v>76.02</v>
      </c>
      <c r="H63" s="1">
        <f t="shared" si="0"/>
        <v>76.25</v>
      </c>
      <c r="I63" s="16">
        <v>-3299.9999999999973</v>
      </c>
      <c r="J63" s="10">
        <f t="shared" ref="J63" si="9">(H63-G63)*F63*1.63</f>
        <v>374.90000000000646</v>
      </c>
      <c r="K63" s="22">
        <f t="shared" ref="K63" si="10">K62+J63</f>
        <v>-79087.599999999889</v>
      </c>
      <c r="L63">
        <f t="shared" ref="L63" si="11">L62+F63</f>
        <v>-5000</v>
      </c>
      <c r="R63" s="34">
        <f>R62+F63</f>
        <v>2000</v>
      </c>
      <c r="S63" s="35">
        <f>SUMPRODUCT(F$62:F63,G$62:G63)/SUM(F$62:F63)</f>
        <v>76.015000000000001</v>
      </c>
    </row>
    <row r="64" spans="1:19" x14ac:dyDescent="0.25">
      <c r="R64" s="34"/>
      <c r="S64" s="1"/>
    </row>
  </sheetData>
  <conditionalFormatting sqref="I2:J63">
    <cfRule type="cellIs" dxfId="13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930B-A90B-4DE2-AD39-B6A527EDDD6D}">
  <sheetPr codeName="Sheet2"/>
  <dimension ref="A1:Y47"/>
  <sheetViews>
    <sheetView tabSelected="1" topLeftCell="A19" workbookViewId="0">
      <selection activeCell="N47" sqref="N47"/>
    </sheetView>
  </sheetViews>
  <sheetFormatPr defaultRowHeight="15" x14ac:dyDescent="0.25"/>
  <cols>
    <col min="2" max="2" width="10.140625" customWidth="1"/>
    <col min="4" max="4" width="20.7109375" customWidth="1"/>
    <col min="5" max="5" width="11.42578125" customWidth="1"/>
    <col min="7" max="7" width="13.140625" customWidth="1"/>
    <col min="8" max="8" width="9.5703125" customWidth="1"/>
    <col min="9" max="9" width="12.5703125" customWidth="1"/>
    <col min="10" max="10" width="12.5703125" bestFit="1" customWidth="1"/>
    <col min="11" max="11" width="17.85546875" customWidth="1"/>
    <col min="20" max="20" width="10" customWidth="1"/>
    <col min="21" max="21" width="11.5703125" bestFit="1" customWidth="1"/>
  </cols>
  <sheetData>
    <row r="1" spans="1:23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9" t="s">
        <v>37</v>
      </c>
      <c r="S1" t="s">
        <v>7</v>
      </c>
      <c r="T1" s="36" cm="1">
        <f t="array" ref="T1">_xll.BQL(V2,"px_settle()")</f>
        <v>48.61</v>
      </c>
      <c r="V1" t="s">
        <v>28</v>
      </c>
      <c r="W1">
        <v>1.9</v>
      </c>
    </row>
    <row r="2" spans="1:23" ht="15.75" thickTop="1" x14ac:dyDescent="0.25">
      <c r="A2" s="23">
        <v>45413</v>
      </c>
      <c r="B2" s="24" t="s">
        <v>15</v>
      </c>
      <c r="C2" s="24" t="s">
        <v>16</v>
      </c>
      <c r="D2" s="24" t="s">
        <v>17</v>
      </c>
      <c r="E2" s="24" t="s">
        <v>13</v>
      </c>
      <c r="F2" s="24">
        <v>-100000</v>
      </c>
      <c r="G2" s="25">
        <v>3.05</v>
      </c>
      <c r="H2" s="26">
        <v>6.0799999237060547</v>
      </c>
      <c r="I2" s="25">
        <v>-302999.99237060547</v>
      </c>
      <c r="J2" s="27">
        <f>(H2-G2)*F2*$W$1</f>
        <v>-575699.98550415039</v>
      </c>
      <c r="K2" s="28"/>
      <c r="L2" t="s">
        <v>32</v>
      </c>
      <c r="T2" cm="1">
        <f t="array" ref="T2">_xll.BQL("UKEZ4 Comdty","px_settle()")</f>
        <v>48.61</v>
      </c>
      <c r="V2" t="s">
        <v>21</v>
      </c>
    </row>
    <row r="3" spans="1:23" x14ac:dyDescent="0.25">
      <c r="A3" s="23">
        <v>45413</v>
      </c>
      <c r="B3" s="24" t="s">
        <v>18</v>
      </c>
      <c r="C3" s="24" t="s">
        <v>16</v>
      </c>
      <c r="D3" s="24" t="s">
        <v>19</v>
      </c>
      <c r="E3" s="24" t="s">
        <v>14</v>
      </c>
      <c r="F3" s="24">
        <v>100000</v>
      </c>
      <c r="G3" s="25">
        <v>1.45</v>
      </c>
      <c r="H3" s="26">
        <v>3.3299999237060547</v>
      </c>
      <c r="I3" s="25">
        <v>187999.99237060547</v>
      </c>
      <c r="J3" s="27">
        <f t="shared" ref="J3:J28" si="0">(H3-G3)*F3*$W$1</f>
        <v>357199.98550415039</v>
      </c>
      <c r="K3" s="28"/>
      <c r="L3" t="s">
        <v>32</v>
      </c>
    </row>
    <row r="4" spans="1:23" x14ac:dyDescent="0.25">
      <c r="A4" s="23">
        <v>45413</v>
      </c>
      <c r="B4" s="24" t="s">
        <v>20</v>
      </c>
      <c r="C4" s="24" t="s">
        <v>16</v>
      </c>
      <c r="D4" s="24" t="s">
        <v>21</v>
      </c>
      <c r="E4" s="24" t="s">
        <v>14</v>
      </c>
      <c r="F4" s="24">
        <v>15000</v>
      </c>
      <c r="G4" s="25">
        <v>35.450000000000003</v>
      </c>
      <c r="H4" s="26">
        <v>42.88</v>
      </c>
      <c r="I4" s="25">
        <v>111450</v>
      </c>
      <c r="J4" s="27">
        <f t="shared" si="0"/>
        <v>211755</v>
      </c>
      <c r="K4" s="28"/>
      <c r="L4" t="s">
        <v>32</v>
      </c>
    </row>
    <row r="5" spans="1:23" x14ac:dyDescent="0.25">
      <c r="A5" s="23">
        <v>45414</v>
      </c>
      <c r="B5" s="24" t="s">
        <v>22</v>
      </c>
      <c r="C5" s="24" t="s">
        <v>16</v>
      </c>
      <c r="D5" s="24" t="s">
        <v>23</v>
      </c>
      <c r="E5" s="24" t="s">
        <v>14</v>
      </c>
      <c r="F5" s="24">
        <v>50000</v>
      </c>
      <c r="G5" s="25">
        <v>4</v>
      </c>
      <c r="H5" s="26">
        <v>8.25</v>
      </c>
      <c r="I5" s="25">
        <v>212500</v>
      </c>
      <c r="J5" s="27">
        <f t="shared" si="0"/>
        <v>403750</v>
      </c>
      <c r="K5" s="28"/>
      <c r="L5" t="s">
        <v>32</v>
      </c>
    </row>
    <row r="6" spans="1:23" x14ac:dyDescent="0.25">
      <c r="A6" s="23">
        <v>45414</v>
      </c>
      <c r="B6" s="24" t="s">
        <v>24</v>
      </c>
      <c r="C6" s="24" t="s">
        <v>16</v>
      </c>
      <c r="D6" s="24" t="s">
        <v>25</v>
      </c>
      <c r="E6" s="24" t="s">
        <v>13</v>
      </c>
      <c r="F6" s="24">
        <v>-50000</v>
      </c>
      <c r="G6" s="25">
        <v>1.8</v>
      </c>
      <c r="H6" s="26">
        <v>4.4899997711181641</v>
      </c>
      <c r="I6" s="25">
        <v>-134499.9885559082</v>
      </c>
      <c r="J6" s="27">
        <f t="shared" si="0"/>
        <v>-255549.97825622559</v>
      </c>
      <c r="K6" s="28"/>
      <c r="L6" t="s">
        <v>32</v>
      </c>
    </row>
    <row r="7" spans="1:23" x14ac:dyDescent="0.25">
      <c r="A7" s="23">
        <v>45414</v>
      </c>
      <c r="B7" s="24" t="s">
        <v>20</v>
      </c>
      <c r="C7" s="24" t="s">
        <v>16</v>
      </c>
      <c r="D7" s="24" t="s">
        <v>21</v>
      </c>
      <c r="E7" s="24" t="s">
        <v>13</v>
      </c>
      <c r="F7" s="24">
        <v>-10000</v>
      </c>
      <c r="G7" s="25">
        <v>35.450000000000003</v>
      </c>
      <c r="H7" s="26">
        <v>42.88</v>
      </c>
      <c r="I7" s="25">
        <v>-74300</v>
      </c>
      <c r="J7" s="27">
        <f t="shared" si="0"/>
        <v>-141170</v>
      </c>
      <c r="K7" s="28"/>
      <c r="L7" t="s">
        <v>32</v>
      </c>
    </row>
    <row r="8" spans="1:23" x14ac:dyDescent="0.25">
      <c r="A8" s="23">
        <v>45415</v>
      </c>
      <c r="B8" s="24" t="s">
        <v>20</v>
      </c>
      <c r="C8" s="24" t="s">
        <v>16</v>
      </c>
      <c r="D8" s="24" t="s">
        <v>21</v>
      </c>
      <c r="E8" s="24" t="s">
        <v>14</v>
      </c>
      <c r="F8" s="24">
        <v>5000</v>
      </c>
      <c r="G8" s="25">
        <v>37.99</v>
      </c>
      <c r="H8" s="26">
        <f>$T$1</f>
        <v>48.61</v>
      </c>
      <c r="I8" s="25">
        <v>24450.000000000004</v>
      </c>
      <c r="J8" s="27">
        <f t="shared" si="0"/>
        <v>100889.99999999997</v>
      </c>
      <c r="K8" s="28">
        <f>J8</f>
        <v>100889.99999999997</v>
      </c>
      <c r="L8">
        <f>F8</f>
        <v>5000</v>
      </c>
    </row>
    <row r="9" spans="1:23" x14ac:dyDescent="0.25">
      <c r="A9" s="23">
        <v>45415</v>
      </c>
      <c r="B9" s="24" t="s">
        <v>20</v>
      </c>
      <c r="C9" s="24" t="s">
        <v>16</v>
      </c>
      <c r="D9" s="24" t="s">
        <v>21</v>
      </c>
      <c r="E9" s="24" t="s">
        <v>14</v>
      </c>
      <c r="F9" s="24">
        <v>5000</v>
      </c>
      <c r="G9" s="25">
        <v>38.1</v>
      </c>
      <c r="H9" s="26">
        <f t="shared" ref="H9:H47" si="1">$T$1</f>
        <v>48.61</v>
      </c>
      <c r="I9" s="25">
        <v>23900.000000000007</v>
      </c>
      <c r="J9" s="27">
        <f t="shared" si="0"/>
        <v>99844.999999999985</v>
      </c>
      <c r="K9" s="28">
        <f>K8+J9</f>
        <v>200734.99999999994</v>
      </c>
      <c r="L9">
        <f>L8+F9</f>
        <v>10000</v>
      </c>
    </row>
    <row r="10" spans="1:23" x14ac:dyDescent="0.25">
      <c r="A10" s="23">
        <v>45419</v>
      </c>
      <c r="B10" s="24" t="s">
        <v>20</v>
      </c>
      <c r="C10" s="24" t="s">
        <v>16</v>
      </c>
      <c r="D10" s="24" t="s">
        <v>21</v>
      </c>
      <c r="E10" s="24" t="s">
        <v>13</v>
      </c>
      <c r="F10" s="24">
        <v>-5000</v>
      </c>
      <c r="G10" s="25">
        <v>37.5</v>
      </c>
      <c r="H10" s="26">
        <f t="shared" si="1"/>
        <v>48.61</v>
      </c>
      <c r="I10" s="25">
        <v>-26900.000000000015</v>
      </c>
      <c r="J10" s="27">
        <f t="shared" si="0"/>
        <v>-105545</v>
      </c>
      <c r="K10" s="28">
        <f t="shared" ref="K10:K28" si="2">K9+J10</f>
        <v>95189.999999999942</v>
      </c>
      <c r="L10">
        <f t="shared" ref="L10:L28" si="3">L9+F10</f>
        <v>5000</v>
      </c>
    </row>
    <row r="11" spans="1:23" x14ac:dyDescent="0.25">
      <c r="A11" s="23">
        <v>45420</v>
      </c>
      <c r="B11" s="24" t="s">
        <v>20</v>
      </c>
      <c r="C11" s="24" t="s">
        <v>16</v>
      </c>
      <c r="D11" s="24" t="s">
        <v>21</v>
      </c>
      <c r="E11" s="24" t="s">
        <v>13</v>
      </c>
      <c r="F11" s="24">
        <v>-2000</v>
      </c>
      <c r="G11" s="25">
        <v>37.22</v>
      </c>
      <c r="H11" s="26">
        <f t="shared" si="1"/>
        <v>48.61</v>
      </c>
      <c r="I11" s="25">
        <v>-11320.000000000007</v>
      </c>
      <c r="J11" s="27">
        <f t="shared" si="0"/>
        <v>-43282</v>
      </c>
      <c r="K11" s="28">
        <f t="shared" si="2"/>
        <v>51907.999999999942</v>
      </c>
      <c r="L11">
        <f t="shared" si="3"/>
        <v>3000</v>
      </c>
    </row>
    <row r="12" spans="1:23" x14ac:dyDescent="0.25">
      <c r="A12" s="23">
        <v>45421</v>
      </c>
      <c r="B12" s="24" t="s">
        <v>20</v>
      </c>
      <c r="C12" s="24" t="s">
        <v>16</v>
      </c>
      <c r="D12" s="24" t="s">
        <v>21</v>
      </c>
      <c r="E12" s="24" t="s">
        <v>13</v>
      </c>
      <c r="F12" s="24">
        <v>-1000</v>
      </c>
      <c r="G12" s="25">
        <v>38.07</v>
      </c>
      <c r="H12" s="26">
        <f t="shared" si="1"/>
        <v>48.61</v>
      </c>
      <c r="I12" s="25">
        <v>-4810.0000000000018</v>
      </c>
      <c r="J12" s="27">
        <f t="shared" si="0"/>
        <v>-20026</v>
      </c>
      <c r="K12" s="28">
        <f t="shared" si="2"/>
        <v>31881.999999999942</v>
      </c>
      <c r="L12">
        <f t="shared" si="3"/>
        <v>2000</v>
      </c>
    </row>
    <row r="13" spans="1:23" x14ac:dyDescent="0.25">
      <c r="A13" s="23">
        <v>45421</v>
      </c>
      <c r="B13" s="24" t="s">
        <v>20</v>
      </c>
      <c r="C13" s="24" t="s">
        <v>16</v>
      </c>
      <c r="D13" s="24" t="s">
        <v>21</v>
      </c>
      <c r="E13" s="24" t="s">
        <v>13</v>
      </c>
      <c r="F13" s="24">
        <v>-1000</v>
      </c>
      <c r="G13" s="25">
        <v>38.14</v>
      </c>
      <c r="H13" s="26">
        <f t="shared" si="1"/>
        <v>48.61</v>
      </c>
      <c r="I13" s="25">
        <v>-4740.0000000000018</v>
      </c>
      <c r="J13" s="27">
        <f t="shared" si="0"/>
        <v>-19892.999999999996</v>
      </c>
      <c r="K13" s="28">
        <f t="shared" si="2"/>
        <v>11988.999999999945</v>
      </c>
      <c r="L13">
        <f t="shared" si="3"/>
        <v>1000</v>
      </c>
      <c r="P13" t="s">
        <v>42</v>
      </c>
    </row>
    <row r="14" spans="1:23" x14ac:dyDescent="0.25">
      <c r="A14" s="23">
        <v>45421</v>
      </c>
      <c r="B14" s="24" t="s">
        <v>20</v>
      </c>
      <c r="C14" s="24" t="s">
        <v>16</v>
      </c>
      <c r="D14" s="24" t="s">
        <v>21</v>
      </c>
      <c r="E14" s="24" t="s">
        <v>13</v>
      </c>
      <c r="F14" s="24">
        <v>-1000</v>
      </c>
      <c r="G14" s="25">
        <v>38.18</v>
      </c>
      <c r="H14" s="26">
        <f t="shared" si="1"/>
        <v>48.61</v>
      </c>
      <c r="I14" s="25">
        <v>-4700.0000000000027</v>
      </c>
      <c r="J14" s="27">
        <f t="shared" si="0"/>
        <v>-19817</v>
      </c>
      <c r="K14" s="28">
        <f t="shared" si="2"/>
        <v>-7828.0000000000546</v>
      </c>
      <c r="L14">
        <f t="shared" si="3"/>
        <v>0</v>
      </c>
      <c r="N14">
        <f>IF(Table2[[#This Row],[Buy / Sell]]="Sell",Table2[[#This Row],[Qty]],0)</f>
        <v>-1000</v>
      </c>
      <c r="O14" s="1">
        <f>IF(Table2[[#This Row],[Buy / Sell]]="Sell",Table2[[#This Row],[Trade Price]],0)</f>
        <v>38.18</v>
      </c>
      <c r="P14" s="1">
        <f>O14</f>
        <v>38.18</v>
      </c>
      <c r="R14" s="1"/>
    </row>
    <row r="15" spans="1:23" x14ac:dyDescent="0.25">
      <c r="A15" s="23">
        <v>45421</v>
      </c>
      <c r="B15" s="24" t="s">
        <v>20</v>
      </c>
      <c r="C15" s="24" t="s">
        <v>16</v>
      </c>
      <c r="D15" s="24" t="s">
        <v>21</v>
      </c>
      <c r="E15" s="24" t="s">
        <v>13</v>
      </c>
      <c r="F15" s="24">
        <v>-2000</v>
      </c>
      <c r="G15" s="25">
        <v>38.229999999999997</v>
      </c>
      <c r="H15" s="26">
        <f t="shared" si="1"/>
        <v>48.61</v>
      </c>
      <c r="I15" s="25">
        <v>-9300.0000000000109</v>
      </c>
      <c r="J15" s="27">
        <f t="shared" si="0"/>
        <v>-39444.000000000007</v>
      </c>
      <c r="K15" s="28">
        <f t="shared" si="2"/>
        <v>-47272.000000000058</v>
      </c>
      <c r="L15">
        <f t="shared" si="3"/>
        <v>-2000</v>
      </c>
      <c r="N15">
        <f>IF(Table2[[#This Row],[Buy / Sell]]="Sell",Table2[[#This Row],[Qty]],0)</f>
        <v>-2000</v>
      </c>
      <c r="O15" s="1">
        <f>IF(Table2[[#This Row],[Buy / Sell]]="Sell",Table2[[#This Row],[Trade Price]],0)</f>
        <v>38.229999999999997</v>
      </c>
      <c r="P15" s="1">
        <f>SUMPRODUCT(N$14:N15,O$14:O15)/SUM(N$14:N15)</f>
        <v>38.213333333333331</v>
      </c>
      <c r="R15" s="1"/>
    </row>
    <row r="16" spans="1:23" x14ac:dyDescent="0.25">
      <c r="A16" s="23">
        <v>45422</v>
      </c>
      <c r="B16" s="24" t="s">
        <v>20</v>
      </c>
      <c r="C16" s="24" t="s">
        <v>16</v>
      </c>
      <c r="D16" s="24" t="s">
        <v>21</v>
      </c>
      <c r="E16" s="24" t="s">
        <v>13</v>
      </c>
      <c r="F16" s="24">
        <v>-2000</v>
      </c>
      <c r="G16" s="25">
        <v>38.450000000000003</v>
      </c>
      <c r="H16" s="26">
        <f t="shared" si="1"/>
        <v>48.61</v>
      </c>
      <c r="I16" s="25">
        <v>-8860</v>
      </c>
      <c r="J16" s="27">
        <f t="shared" si="0"/>
        <v>-38607.999999999985</v>
      </c>
      <c r="K16" s="28">
        <f t="shared" si="2"/>
        <v>-85880.000000000044</v>
      </c>
      <c r="L16">
        <f t="shared" si="3"/>
        <v>-4000</v>
      </c>
      <c r="N16">
        <f>IF(Table2[[#This Row],[Buy / Sell]]="Sell",Table2[[#This Row],[Qty]],0)</f>
        <v>-2000</v>
      </c>
      <c r="O16" s="1">
        <f>IF(Table2[[#This Row],[Buy / Sell]]="Sell",Table2[[#This Row],[Trade Price]],0)</f>
        <v>38.450000000000003</v>
      </c>
      <c r="P16" s="1">
        <f>SUMPRODUCT(N$14:N16,O$14:O16)/SUM(N$14:N16)</f>
        <v>38.308</v>
      </c>
      <c r="R16" s="1"/>
    </row>
    <row r="17" spans="1:18" x14ac:dyDescent="0.25">
      <c r="A17" s="23">
        <v>45426</v>
      </c>
      <c r="B17" s="24" t="s">
        <v>20</v>
      </c>
      <c r="C17" s="24" t="s">
        <v>16</v>
      </c>
      <c r="D17" s="24" t="s">
        <v>21</v>
      </c>
      <c r="E17" s="24" t="s">
        <v>13</v>
      </c>
      <c r="F17" s="24">
        <v>-2000</v>
      </c>
      <c r="G17" s="25">
        <v>37.94</v>
      </c>
      <c r="H17" s="26">
        <f t="shared" si="1"/>
        <v>48.61</v>
      </c>
      <c r="I17" s="25">
        <v>-9880.0000000000091</v>
      </c>
      <c r="J17" s="27">
        <f t="shared" si="0"/>
        <v>-40546.000000000007</v>
      </c>
      <c r="K17" s="28">
        <f t="shared" si="2"/>
        <v>-126426.00000000006</v>
      </c>
      <c r="L17">
        <f t="shared" si="3"/>
        <v>-6000</v>
      </c>
      <c r="N17">
        <f>IF(Table2[[#This Row],[Buy / Sell]]="Sell",Table2[[#This Row],[Qty]],0)</f>
        <v>-2000</v>
      </c>
      <c r="O17" s="1">
        <f>IF(Table2[[#This Row],[Buy / Sell]]="Sell",Table2[[#This Row],[Trade Price]],0)</f>
        <v>37.94</v>
      </c>
      <c r="P17" s="1">
        <f>SUMPRODUCT(N$14:N17,O$14:O17)/SUM(N$14:N17)</f>
        <v>38.202857142857141</v>
      </c>
      <c r="R17" s="1"/>
    </row>
    <row r="18" spans="1:18" x14ac:dyDescent="0.25">
      <c r="A18" s="23">
        <v>45426</v>
      </c>
      <c r="B18" s="24" t="s">
        <v>20</v>
      </c>
      <c r="C18" s="24" t="s">
        <v>16</v>
      </c>
      <c r="D18" s="24" t="s">
        <v>21</v>
      </c>
      <c r="E18" s="24" t="s">
        <v>14</v>
      </c>
      <c r="F18" s="24">
        <v>1000</v>
      </c>
      <c r="G18" s="25">
        <v>37.25</v>
      </c>
      <c r="H18" s="26">
        <f t="shared" si="1"/>
        <v>48.61</v>
      </c>
      <c r="I18" s="25">
        <v>5630.0000000000027</v>
      </c>
      <c r="J18" s="27">
        <f t="shared" si="0"/>
        <v>21584</v>
      </c>
      <c r="K18" s="28">
        <f t="shared" si="2"/>
        <v>-104842.00000000006</v>
      </c>
      <c r="L18">
        <f t="shared" si="3"/>
        <v>-5000</v>
      </c>
      <c r="N18">
        <f>IF(Table2[[#This Row],[Buy / Sell]]="Sell",Table2[[#This Row],[Qty]],0)</f>
        <v>0</v>
      </c>
      <c r="O18" s="1">
        <f>IF(Table2[[#This Row],[Buy / Sell]]="Sell",Table2[[#This Row],[Trade Price]],0)</f>
        <v>0</v>
      </c>
      <c r="P18" s="1">
        <f>SUMPRODUCT(N$14:N18,O$14:O18)/SUM(N$14:N18)</f>
        <v>38.202857142857141</v>
      </c>
      <c r="R18" s="1"/>
    </row>
    <row r="19" spans="1:18" x14ac:dyDescent="0.25">
      <c r="A19" s="23">
        <v>45426</v>
      </c>
      <c r="B19" s="24" t="s">
        <v>20</v>
      </c>
      <c r="C19" s="24" t="s">
        <v>16</v>
      </c>
      <c r="D19" s="24" t="s">
        <v>21</v>
      </c>
      <c r="E19" s="24" t="s">
        <v>14</v>
      </c>
      <c r="F19" s="24">
        <v>1000</v>
      </c>
      <c r="G19" s="25">
        <v>37.1</v>
      </c>
      <c r="H19" s="26">
        <f t="shared" si="1"/>
        <v>48.61</v>
      </c>
      <c r="I19" s="25">
        <v>5780.0000000000009</v>
      </c>
      <c r="J19" s="27">
        <f t="shared" si="0"/>
        <v>21868.999999999996</v>
      </c>
      <c r="K19" s="28">
        <f t="shared" si="2"/>
        <v>-82973.000000000058</v>
      </c>
      <c r="L19">
        <f t="shared" si="3"/>
        <v>-4000</v>
      </c>
      <c r="N19">
        <f>IF(Table2[[#This Row],[Buy / Sell]]="Sell",Table2[[#This Row],[Qty]],0)</f>
        <v>0</v>
      </c>
      <c r="O19" s="1">
        <f>IF(Table2[[#This Row],[Buy / Sell]]="Sell",Table2[[#This Row],[Trade Price]],0)</f>
        <v>0</v>
      </c>
      <c r="P19" s="1">
        <f>SUMPRODUCT(N$14:N19,O$14:O19)/SUM(N$14:N19)</f>
        <v>38.202857142857141</v>
      </c>
      <c r="R19" s="1"/>
    </row>
    <row r="20" spans="1:18" x14ac:dyDescent="0.25">
      <c r="A20" s="23">
        <v>45426</v>
      </c>
      <c r="B20" s="24" t="s">
        <v>20</v>
      </c>
      <c r="C20" s="24" t="s">
        <v>16</v>
      </c>
      <c r="D20" s="24" t="s">
        <v>21</v>
      </c>
      <c r="E20" s="24" t="s">
        <v>13</v>
      </c>
      <c r="F20" s="24">
        <v>-2000</v>
      </c>
      <c r="G20" s="25">
        <v>37.5</v>
      </c>
      <c r="H20" s="26">
        <f t="shared" si="1"/>
        <v>48.61</v>
      </c>
      <c r="I20" s="25">
        <v>-10760.000000000005</v>
      </c>
      <c r="J20" s="27">
        <f t="shared" si="0"/>
        <v>-42218</v>
      </c>
      <c r="K20" s="28">
        <f t="shared" si="2"/>
        <v>-125191.00000000006</v>
      </c>
      <c r="L20">
        <f t="shared" si="3"/>
        <v>-6000</v>
      </c>
      <c r="N20">
        <f>IF(Table2[[#This Row],[Buy / Sell]]="Sell",Table2[[#This Row],[Qty]],0)</f>
        <v>-2000</v>
      </c>
      <c r="O20" s="1">
        <f>IF(Table2[[#This Row],[Buy / Sell]]="Sell",Table2[[#This Row],[Trade Price]],0)</f>
        <v>37.5</v>
      </c>
      <c r="P20" s="1">
        <f>SUMPRODUCT(N$14:N20,O$14:O20)/SUM(N$14:N20)</f>
        <v>38.046666666666667</v>
      </c>
      <c r="R20" s="1"/>
    </row>
    <row r="21" spans="1:18" x14ac:dyDescent="0.25">
      <c r="A21" s="23">
        <v>45426</v>
      </c>
      <c r="B21" s="24" t="s">
        <v>20</v>
      </c>
      <c r="C21" s="24" t="s">
        <v>16</v>
      </c>
      <c r="D21" s="24" t="s">
        <v>21</v>
      </c>
      <c r="E21" s="24" t="s">
        <v>13</v>
      </c>
      <c r="F21" s="24">
        <v>-1000</v>
      </c>
      <c r="G21" s="25">
        <v>37.700000000000003</v>
      </c>
      <c r="H21" s="26">
        <f t="shared" si="1"/>
        <v>48.61</v>
      </c>
      <c r="I21" s="25">
        <v>-5180</v>
      </c>
      <c r="J21" s="27">
        <f t="shared" si="0"/>
        <v>-20728.999999999993</v>
      </c>
      <c r="K21" s="28">
        <f t="shared" si="2"/>
        <v>-145920.00000000006</v>
      </c>
      <c r="L21">
        <f t="shared" si="3"/>
        <v>-7000</v>
      </c>
      <c r="N21">
        <f>IF(Table2[[#This Row],[Buy / Sell]]="Sell",Table2[[#This Row],[Qty]],0)</f>
        <v>-1000</v>
      </c>
      <c r="O21" s="1">
        <f>IF(Table2[[#This Row],[Buy / Sell]]="Sell",Table2[[#This Row],[Trade Price]],0)</f>
        <v>37.700000000000003</v>
      </c>
      <c r="P21" s="1">
        <f>SUMPRODUCT(N$14:N21,O$14:O21)/SUM(N$14:N21)</f>
        <v>38.012</v>
      </c>
      <c r="R21" s="1"/>
    </row>
    <row r="22" spans="1:18" x14ac:dyDescent="0.25">
      <c r="A22" s="23">
        <v>45426</v>
      </c>
      <c r="B22" s="24" t="s">
        <v>20</v>
      </c>
      <c r="C22" s="24" t="s">
        <v>16</v>
      </c>
      <c r="D22" s="24" t="s">
        <v>21</v>
      </c>
      <c r="E22" s="24" t="s">
        <v>14</v>
      </c>
      <c r="F22" s="24">
        <v>1000</v>
      </c>
      <c r="G22" s="25">
        <v>37.25</v>
      </c>
      <c r="H22" s="26">
        <f t="shared" si="1"/>
        <v>48.61</v>
      </c>
      <c r="I22" s="25">
        <v>5630.0000000000027</v>
      </c>
      <c r="J22" s="27">
        <f t="shared" si="0"/>
        <v>21584</v>
      </c>
      <c r="K22" s="28">
        <f t="shared" si="2"/>
        <v>-124336.00000000006</v>
      </c>
      <c r="L22">
        <f t="shared" si="3"/>
        <v>-6000</v>
      </c>
      <c r="N22">
        <f>IF(Table2[[#This Row],[Buy / Sell]]="Sell",Table2[[#This Row],[Qty]],0)</f>
        <v>0</v>
      </c>
      <c r="O22" s="1">
        <f>IF(Table2[[#This Row],[Buy / Sell]]="Sell",Table2[[#This Row],[Trade Price]],0)</f>
        <v>0</v>
      </c>
      <c r="P22" s="1">
        <f>SUMPRODUCT(N$14:N22,O$14:O22)/SUM(N$14:N22)</f>
        <v>38.012</v>
      </c>
      <c r="R22" s="1"/>
    </row>
    <row r="23" spans="1:18" x14ac:dyDescent="0.25">
      <c r="A23" s="23">
        <v>45426</v>
      </c>
      <c r="B23" s="24" t="s">
        <v>20</v>
      </c>
      <c r="C23" s="24" t="s">
        <v>16</v>
      </c>
      <c r="D23" s="24" t="s">
        <v>21</v>
      </c>
      <c r="E23" s="24" t="s">
        <v>14</v>
      </c>
      <c r="F23" s="24">
        <v>1000</v>
      </c>
      <c r="G23" s="25">
        <v>37.1</v>
      </c>
      <c r="H23" s="26">
        <f t="shared" si="1"/>
        <v>48.61</v>
      </c>
      <c r="I23" s="25">
        <v>5780.0000000000009</v>
      </c>
      <c r="J23" s="27">
        <f t="shared" si="0"/>
        <v>21868.999999999996</v>
      </c>
      <c r="K23" s="28">
        <f t="shared" si="2"/>
        <v>-102467.00000000006</v>
      </c>
      <c r="L23">
        <f t="shared" si="3"/>
        <v>-5000</v>
      </c>
      <c r="N23">
        <f>IF(Table2[[#This Row],[Buy / Sell]]="Sell",Table2[[#This Row],[Qty]],0)</f>
        <v>0</v>
      </c>
      <c r="O23" s="1">
        <f>IF(Table2[[#This Row],[Buy / Sell]]="Sell",Table2[[#This Row],[Trade Price]],0)</f>
        <v>0</v>
      </c>
      <c r="P23" s="1">
        <f>SUMPRODUCT(N$14:N23,O$14:O23)/SUM(N$14:N23)</f>
        <v>38.012</v>
      </c>
      <c r="R23" s="1"/>
    </row>
    <row r="24" spans="1:18" x14ac:dyDescent="0.25">
      <c r="A24" s="23">
        <v>45427</v>
      </c>
      <c r="B24" s="24" t="s">
        <v>20</v>
      </c>
      <c r="C24" s="24" t="s">
        <v>16</v>
      </c>
      <c r="D24" s="24" t="s">
        <v>21</v>
      </c>
      <c r="E24" s="24" t="s">
        <v>13</v>
      </c>
      <c r="F24" s="24">
        <v>-1000</v>
      </c>
      <c r="G24" s="25">
        <v>37.99</v>
      </c>
      <c r="H24" s="26">
        <f t="shared" si="1"/>
        <v>48.61</v>
      </c>
      <c r="I24" s="25">
        <v>-4890.0000000000009</v>
      </c>
      <c r="J24" s="27">
        <f t="shared" si="0"/>
        <v>-20177.999999999996</v>
      </c>
      <c r="K24" s="28">
        <f t="shared" si="2"/>
        <v>-122645.00000000006</v>
      </c>
      <c r="L24">
        <f t="shared" si="3"/>
        <v>-6000</v>
      </c>
      <c r="N24">
        <f>IF(Table2[[#This Row],[Buy / Sell]]="Sell",Table2[[#This Row],[Qty]],0)</f>
        <v>-1000</v>
      </c>
      <c r="O24" s="1">
        <f>IF(Table2[[#This Row],[Buy / Sell]]="Sell",Table2[[#This Row],[Trade Price]],0)</f>
        <v>37.99</v>
      </c>
      <c r="P24" s="1">
        <f>SUMPRODUCT(N$14:N24,O$14:O24)/SUM(N$14:N24)</f>
        <v>38.01</v>
      </c>
      <c r="R24" s="1"/>
    </row>
    <row r="25" spans="1:18" x14ac:dyDescent="0.25">
      <c r="A25" s="23">
        <v>45427</v>
      </c>
      <c r="B25" s="24" t="s">
        <v>20</v>
      </c>
      <c r="C25" s="24" t="s">
        <v>16</v>
      </c>
      <c r="D25" s="24" t="s">
        <v>21</v>
      </c>
      <c r="E25" s="24" t="s">
        <v>13</v>
      </c>
      <c r="F25" s="24">
        <v>-1000</v>
      </c>
      <c r="G25" s="25">
        <v>38.229999999999997</v>
      </c>
      <c r="H25" s="26">
        <f t="shared" si="1"/>
        <v>48.61</v>
      </c>
      <c r="I25" s="25">
        <v>-4650.0000000000055</v>
      </c>
      <c r="J25" s="27">
        <f t="shared" si="0"/>
        <v>-19722.000000000004</v>
      </c>
      <c r="K25" s="28">
        <f t="shared" si="2"/>
        <v>-142367.00000000006</v>
      </c>
      <c r="L25">
        <f t="shared" si="3"/>
        <v>-7000</v>
      </c>
      <c r="N25">
        <f>IF(Table2[[#This Row],[Buy / Sell]]="Sell",Table2[[#This Row],[Qty]],0)</f>
        <v>-1000</v>
      </c>
      <c r="O25" s="1">
        <f>IF(Table2[[#This Row],[Buy / Sell]]="Sell",Table2[[#This Row],[Trade Price]],0)</f>
        <v>38.229999999999997</v>
      </c>
      <c r="P25" s="1">
        <f>SUMPRODUCT(N$14:N25,O$14:O25)/SUM(N$14:N25)</f>
        <v>38.028333333333336</v>
      </c>
      <c r="R25" s="1"/>
    </row>
    <row r="26" spans="1:18" x14ac:dyDescent="0.25">
      <c r="A26" s="23">
        <v>45427</v>
      </c>
      <c r="B26" s="24" t="s">
        <v>20</v>
      </c>
      <c r="C26" s="24" t="s">
        <v>16</v>
      </c>
      <c r="D26" s="24" t="s">
        <v>21</v>
      </c>
      <c r="E26" s="24" t="s">
        <v>13</v>
      </c>
      <c r="F26" s="24">
        <v>-2000</v>
      </c>
      <c r="G26" s="25">
        <v>38.39</v>
      </c>
      <c r="H26" s="26">
        <f t="shared" si="1"/>
        <v>48.61</v>
      </c>
      <c r="I26" s="25">
        <v>-8980.0000000000036</v>
      </c>
      <c r="J26" s="27">
        <f t="shared" si="0"/>
        <v>-38835.999999999993</v>
      </c>
      <c r="K26" s="28">
        <f t="shared" si="2"/>
        <v>-181203.00000000006</v>
      </c>
      <c r="L26">
        <f t="shared" si="3"/>
        <v>-9000</v>
      </c>
      <c r="N26">
        <f>IF(Table2[[#This Row],[Buy / Sell]]="Sell",Table2[[#This Row],[Qty]],0)</f>
        <v>-2000</v>
      </c>
      <c r="O26" s="1">
        <f>IF(Table2[[#This Row],[Buy / Sell]]="Sell",Table2[[#This Row],[Trade Price]],0)</f>
        <v>38.39</v>
      </c>
      <c r="P26" s="1">
        <f>SUMPRODUCT(N$14:N26,O$14:O26)/SUM(N$14:N26)</f>
        <v>38.08</v>
      </c>
      <c r="R26" s="1"/>
    </row>
    <row r="27" spans="1:18" x14ac:dyDescent="0.25">
      <c r="A27" s="23">
        <v>45429</v>
      </c>
      <c r="B27" s="29" t="s">
        <v>20</v>
      </c>
      <c r="C27" s="24" t="s">
        <v>16</v>
      </c>
      <c r="D27" s="24" t="s">
        <v>21</v>
      </c>
      <c r="E27" s="24" t="s">
        <v>13</v>
      </c>
      <c r="F27" s="24">
        <v>-2000</v>
      </c>
      <c r="G27" s="25">
        <v>39.65</v>
      </c>
      <c r="H27" s="26">
        <f t="shared" si="1"/>
        <v>48.61</v>
      </c>
      <c r="I27" s="25">
        <v>-6460.0000000000082</v>
      </c>
      <c r="J27" s="27">
        <f t="shared" si="0"/>
        <v>-34048</v>
      </c>
      <c r="K27" s="28">
        <f t="shared" si="2"/>
        <v>-215251.00000000006</v>
      </c>
      <c r="L27">
        <f t="shared" si="3"/>
        <v>-11000</v>
      </c>
      <c r="N27">
        <f>IF(Table2[[#This Row],[Buy / Sell]]="Sell",Table2[[#This Row],[Qty]],0)</f>
        <v>-2000</v>
      </c>
      <c r="O27" s="1">
        <f>IF(Table2[[#This Row],[Buy / Sell]]="Sell",Table2[[#This Row],[Trade Price]],0)</f>
        <v>39.65</v>
      </c>
      <c r="P27" s="1">
        <f>SUMPRODUCT(N$14:N27,O$14:O27)/SUM(N$14:N27)</f>
        <v>38.276249999999997</v>
      </c>
      <c r="R27" s="1"/>
    </row>
    <row r="28" spans="1:18" x14ac:dyDescent="0.25">
      <c r="A28" s="30">
        <v>45429</v>
      </c>
      <c r="B28" s="31" t="s">
        <v>20</v>
      </c>
      <c r="C28" s="32" t="s">
        <v>16</v>
      </c>
      <c r="D28" s="32" t="s">
        <v>21</v>
      </c>
      <c r="E28" s="32" t="s">
        <v>13</v>
      </c>
      <c r="F28" s="32">
        <v>-1000</v>
      </c>
      <c r="G28" s="33">
        <v>39.4</v>
      </c>
      <c r="H28" s="26">
        <f t="shared" si="1"/>
        <v>48.61</v>
      </c>
      <c r="I28" s="33">
        <v>-3480.0000000000041</v>
      </c>
      <c r="J28" s="27">
        <f t="shared" si="0"/>
        <v>-17499</v>
      </c>
      <c r="K28" s="28">
        <f t="shared" si="2"/>
        <v>-232750.00000000006</v>
      </c>
      <c r="L28">
        <f t="shared" si="3"/>
        <v>-12000</v>
      </c>
      <c r="N28">
        <f>IF(Table2[[#This Row],[Buy / Sell]]="Sell",Table2[[#This Row],[Qty]],0)</f>
        <v>-1000</v>
      </c>
      <c r="O28" s="1">
        <f>IF(Table2[[#This Row],[Buy / Sell]]="Sell",Table2[[#This Row],[Trade Price]],0)</f>
        <v>39.4</v>
      </c>
      <c r="P28" s="1">
        <f>SUMPRODUCT(N$14:N28,O$14:O28)/SUM(N$14:N28)</f>
        <v>38.342352941176472</v>
      </c>
      <c r="R28" s="1"/>
    </row>
    <row r="29" spans="1:18" x14ac:dyDescent="0.25">
      <c r="A29" s="30">
        <v>45433</v>
      </c>
      <c r="B29" s="31" t="s">
        <v>20</v>
      </c>
      <c r="C29" s="32" t="s">
        <v>16</v>
      </c>
      <c r="D29" s="32" t="s">
        <v>21</v>
      </c>
      <c r="E29" s="32" t="s">
        <v>13</v>
      </c>
      <c r="F29">
        <v>-1000</v>
      </c>
      <c r="G29" s="26">
        <v>42.41</v>
      </c>
      <c r="H29" s="26">
        <f t="shared" si="1"/>
        <v>48.61</v>
      </c>
      <c r="I29" s="33">
        <v>-3480.0000000000041</v>
      </c>
      <c r="J29" s="27">
        <f t="shared" ref="J29" si="4">(H29-G29)*F29*$W$1</f>
        <v>-11780.000000000005</v>
      </c>
      <c r="K29" s="28">
        <f t="shared" ref="K29" si="5">K28+J29</f>
        <v>-244530.00000000006</v>
      </c>
      <c r="L29">
        <f t="shared" ref="L29" si="6">L28+F29</f>
        <v>-13000</v>
      </c>
      <c r="N29">
        <f>IF(Table2[[#This Row],[Buy / Sell]]="Sell",Table2[[#This Row],[Qty]],0)</f>
        <v>-1000</v>
      </c>
      <c r="O29" s="1">
        <f>IF(Table2[[#This Row],[Buy / Sell]]="Sell",Table2[[#This Row],[Trade Price]],0)</f>
        <v>42.41</v>
      </c>
      <c r="P29" s="1">
        <f>SUMPRODUCT(N$14:N29,O$14:O29)/SUM(N$14:N29)</f>
        <v>38.568333333333335</v>
      </c>
      <c r="R29" s="1"/>
    </row>
    <row r="30" spans="1:18" x14ac:dyDescent="0.25">
      <c r="A30" s="30">
        <v>45433</v>
      </c>
      <c r="B30" s="31" t="s">
        <v>20</v>
      </c>
      <c r="C30" s="32" t="s">
        <v>16</v>
      </c>
      <c r="D30" s="32" t="s">
        <v>21</v>
      </c>
      <c r="E30" s="32" t="s">
        <v>13</v>
      </c>
      <c r="F30">
        <v>-1000</v>
      </c>
      <c r="G30" s="26">
        <v>42.54</v>
      </c>
      <c r="H30" s="26">
        <f t="shared" si="1"/>
        <v>48.61</v>
      </c>
      <c r="I30" s="33">
        <v>-3480.0000000000041</v>
      </c>
      <c r="J30" s="27">
        <f t="shared" ref="J30" si="7">(H30-G30)*F30*$W$1</f>
        <v>-11533</v>
      </c>
      <c r="K30" s="28">
        <f t="shared" ref="K30" si="8">K29+J30</f>
        <v>-256063.00000000006</v>
      </c>
      <c r="L30">
        <f t="shared" ref="L30" si="9">L29+F30</f>
        <v>-14000</v>
      </c>
      <c r="N30">
        <f>IF(Table2[[#This Row],[Buy / Sell]]="Sell",Table2[[#This Row],[Qty]],0)</f>
        <v>-1000</v>
      </c>
      <c r="O30" s="1">
        <f>IF(Table2[[#This Row],[Buy / Sell]]="Sell",Table2[[#This Row],[Trade Price]],0)</f>
        <v>42.54</v>
      </c>
      <c r="P30" s="1">
        <f>SUMPRODUCT(N$14:N30,O$14:O30)/SUM(N$14:N30)</f>
        <v>38.777368421052628</v>
      </c>
      <c r="R30" s="1"/>
    </row>
    <row r="31" spans="1:18" x14ac:dyDescent="0.25">
      <c r="A31" s="30">
        <v>45433</v>
      </c>
      <c r="B31" s="31" t="s">
        <v>20</v>
      </c>
      <c r="C31" s="32" t="s">
        <v>16</v>
      </c>
      <c r="D31" s="32" t="s">
        <v>21</v>
      </c>
      <c r="E31" s="32" t="s">
        <v>13</v>
      </c>
      <c r="F31">
        <v>-1000</v>
      </c>
      <c r="G31" s="26">
        <v>42.38</v>
      </c>
      <c r="H31" s="26">
        <f t="shared" si="1"/>
        <v>48.61</v>
      </c>
      <c r="I31" s="33">
        <v>-3480.0000000000041</v>
      </c>
      <c r="J31" s="27">
        <f t="shared" ref="J31" si="10">(H31-G31)*F31*$W$1</f>
        <v>-11836.999999999995</v>
      </c>
      <c r="K31" s="28">
        <f t="shared" ref="K31" si="11">K30+J31</f>
        <v>-267900.00000000006</v>
      </c>
      <c r="L31">
        <f t="shared" ref="L31" si="12">L30+F31</f>
        <v>-15000</v>
      </c>
      <c r="N31">
        <f>IF(Table2[[#This Row],[Buy / Sell]]="Sell",Table2[[#This Row],[Qty]],0)</f>
        <v>-1000</v>
      </c>
      <c r="O31" s="1">
        <f>IF(Table2[[#This Row],[Buy / Sell]]="Sell",Table2[[#This Row],[Trade Price]],0)</f>
        <v>42.38</v>
      </c>
      <c r="P31" s="1">
        <f>SUMPRODUCT(N$14:N31,O$14:O31)/SUM(N$14:N31)</f>
        <v>38.957500000000003</v>
      </c>
      <c r="R31" s="1"/>
    </row>
    <row r="32" spans="1:18" x14ac:dyDescent="0.25">
      <c r="A32" s="30">
        <v>45433</v>
      </c>
      <c r="B32" s="31" t="s">
        <v>20</v>
      </c>
      <c r="C32" s="32" t="s">
        <v>16</v>
      </c>
      <c r="D32" s="32" t="s">
        <v>21</v>
      </c>
      <c r="E32" s="32" t="s">
        <v>13</v>
      </c>
      <c r="F32">
        <v>-2000</v>
      </c>
      <c r="G32" s="26">
        <v>42.69</v>
      </c>
      <c r="H32" s="26">
        <f t="shared" si="1"/>
        <v>48.61</v>
      </c>
      <c r="I32" s="33">
        <v>-3480.0000000000041</v>
      </c>
      <c r="J32" s="27">
        <f t="shared" ref="J32" si="13">(H32-G32)*F32*$W$1</f>
        <v>-22496.000000000007</v>
      </c>
      <c r="K32" s="28">
        <f t="shared" ref="K32" si="14">K31+J32</f>
        <v>-290396.00000000006</v>
      </c>
      <c r="L32">
        <f t="shared" ref="L32" si="15">L31+F32</f>
        <v>-17000</v>
      </c>
      <c r="N32">
        <f>IF(Table2[[#This Row],[Buy / Sell]]="Sell",Table2[[#This Row],[Qty]],0)</f>
        <v>-2000</v>
      </c>
      <c r="O32" s="1">
        <f>IF(Table2[[#This Row],[Buy / Sell]]="Sell",Table2[[#This Row],[Trade Price]],0)</f>
        <v>42.69</v>
      </c>
      <c r="P32" s="1">
        <f>SUMPRODUCT(N$14:N32,O$14:O32)/SUM(N$14:N32)</f>
        <v>39.296818181818182</v>
      </c>
      <c r="R32" s="1"/>
    </row>
    <row r="33" spans="1:25" x14ac:dyDescent="0.25">
      <c r="A33" s="30">
        <v>45435</v>
      </c>
      <c r="B33" s="31" t="s">
        <v>20</v>
      </c>
      <c r="C33" s="32" t="s">
        <v>16</v>
      </c>
      <c r="D33" s="32" t="s">
        <v>21</v>
      </c>
      <c r="E33" s="32" t="s">
        <v>14</v>
      </c>
      <c r="F33">
        <v>2000</v>
      </c>
      <c r="G33" s="26">
        <v>43.95</v>
      </c>
      <c r="H33" s="26">
        <f t="shared" si="1"/>
        <v>48.61</v>
      </c>
      <c r="I33" s="33">
        <v>-3480.0000000000041</v>
      </c>
      <c r="J33" s="27">
        <f t="shared" ref="J33" si="16">(H33-G33)*F33*$W$1</f>
        <v>17707.999999999985</v>
      </c>
      <c r="K33" s="28">
        <f t="shared" ref="K33" si="17">K32+J33</f>
        <v>-272688.00000000006</v>
      </c>
      <c r="L33">
        <f t="shared" ref="L33" si="18">L32+F33</f>
        <v>-15000</v>
      </c>
      <c r="N33">
        <f>IF(Table2[[#This Row],[Buy / Sell]]="Sell",Table2[[#This Row],[Qty]],0)</f>
        <v>0</v>
      </c>
      <c r="O33" s="1">
        <f>IF(Table2[[#This Row],[Buy / Sell]]="Sell",Table2[[#This Row],[Trade Price]],0)</f>
        <v>0</v>
      </c>
      <c r="P33" s="1">
        <f>SUMPRODUCT(N$14:N33,O$14:O33)/SUM(N$14:N33)</f>
        <v>39.296818181818182</v>
      </c>
      <c r="R33" s="1"/>
      <c r="T33" t="s">
        <v>38</v>
      </c>
      <c r="U33" s="34">
        <f>Table2[[#This Row],[Qty]]</f>
        <v>2000</v>
      </c>
      <c r="V33" s="1">
        <f>Table2[[#This Row],[Trade Price]]</f>
        <v>43.95</v>
      </c>
    </row>
    <row r="34" spans="1:25" x14ac:dyDescent="0.25">
      <c r="A34" s="30">
        <v>45435</v>
      </c>
      <c r="B34" s="31" t="s">
        <v>20</v>
      </c>
      <c r="C34" s="32" t="s">
        <v>16</v>
      </c>
      <c r="D34" s="32" t="s">
        <v>21</v>
      </c>
      <c r="E34" s="32" t="s">
        <v>14</v>
      </c>
      <c r="F34">
        <v>1000</v>
      </c>
      <c r="G34" s="26">
        <v>43.76</v>
      </c>
      <c r="H34" s="26">
        <f t="shared" si="1"/>
        <v>48.61</v>
      </c>
      <c r="I34" s="33">
        <v>-3480.0000000000041</v>
      </c>
      <c r="J34" s="27">
        <f t="shared" ref="J34" si="19">(H34-G34)*F34*$W$1</f>
        <v>9215.0000000000036</v>
      </c>
      <c r="K34" s="28">
        <f t="shared" ref="K34" si="20">K33+J34</f>
        <v>-263473.00000000006</v>
      </c>
      <c r="L34">
        <f t="shared" ref="L34" si="21">L33+F34</f>
        <v>-14000</v>
      </c>
      <c r="N34">
        <f>IF(Table2[[#This Row],[Buy / Sell]]="Sell",Table2[[#This Row],[Qty]],0)</f>
        <v>0</v>
      </c>
      <c r="O34" s="1">
        <f>IF(Table2[[#This Row],[Buy / Sell]]="Sell",Table2[[#This Row],[Trade Price]],0)</f>
        <v>0</v>
      </c>
      <c r="P34" s="1">
        <f>SUMPRODUCT(N$14:N34,O$14:O34)/SUM(N$14:N34)</f>
        <v>39.296818181818182</v>
      </c>
      <c r="R34" s="1"/>
      <c r="U34" s="34">
        <f>U33+Table2[[#This Row],[Qty]]</f>
        <v>3000</v>
      </c>
      <c r="V34" s="1">
        <f>SUMPRODUCT(F$33:F34,G$33:G34)/SUM(F$33:F34)</f>
        <v>43.886666666666663</v>
      </c>
    </row>
    <row r="35" spans="1:25" x14ac:dyDescent="0.25">
      <c r="A35" s="30">
        <v>45435</v>
      </c>
      <c r="B35" s="31" t="s">
        <v>20</v>
      </c>
      <c r="C35" s="32" t="s">
        <v>16</v>
      </c>
      <c r="D35" s="32" t="s">
        <v>21</v>
      </c>
      <c r="E35" s="32" t="s">
        <v>14</v>
      </c>
      <c r="F35">
        <v>1000</v>
      </c>
      <c r="G35" s="26">
        <v>44.3</v>
      </c>
      <c r="H35" s="26">
        <f t="shared" si="1"/>
        <v>48.61</v>
      </c>
      <c r="I35" s="33">
        <v>-3480.0000000000041</v>
      </c>
      <c r="J35" s="27">
        <f t="shared" ref="J35:J37" si="22">(H35-G35)*F35*$W$1</f>
        <v>8189.0000000000027</v>
      </c>
      <c r="K35" s="28">
        <f t="shared" ref="K35:K37" si="23">K34+J35</f>
        <v>-255284.00000000006</v>
      </c>
      <c r="L35">
        <f>L34+F35</f>
        <v>-13000</v>
      </c>
      <c r="N35">
        <f>IF(Table2[[#This Row],[Buy / Sell]]="Sell",Table2[[#This Row],[Qty]],0)</f>
        <v>0</v>
      </c>
      <c r="O35" s="1">
        <f>IF(Table2[[#This Row],[Buy / Sell]]="Sell",Table2[[#This Row],[Trade Price]],0)</f>
        <v>0</v>
      </c>
      <c r="P35" s="1">
        <f>SUMPRODUCT(N$14:N35,O$14:O35)/SUM(N$14:N35)</f>
        <v>39.296818181818182</v>
      </c>
      <c r="R35" s="1"/>
      <c r="U35" s="34">
        <f>U34+F35</f>
        <v>4000</v>
      </c>
      <c r="V35" s="1">
        <f>SUMPRODUCT(F$33:F35,G$33:G35)/SUM(F$33:F35)</f>
        <v>43.99</v>
      </c>
      <c r="Y35">
        <f>(V35-R32)*U35*1.9</f>
        <v>334324</v>
      </c>
    </row>
    <row r="36" spans="1:25" x14ac:dyDescent="0.25">
      <c r="A36" s="30">
        <v>45440</v>
      </c>
      <c r="B36" s="31" t="s">
        <v>20</v>
      </c>
      <c r="C36" s="32" t="s">
        <v>16</v>
      </c>
      <c r="D36" s="32" t="s">
        <v>21</v>
      </c>
      <c r="E36" s="32" t="s">
        <v>13</v>
      </c>
      <c r="F36">
        <v>-1000</v>
      </c>
      <c r="G36" s="26">
        <v>44.65</v>
      </c>
      <c r="H36" s="26">
        <f t="shared" si="1"/>
        <v>48.61</v>
      </c>
      <c r="I36" s="33">
        <v>-3480.0000000000041</v>
      </c>
      <c r="J36" s="27">
        <f t="shared" si="22"/>
        <v>-7524.0000000000018</v>
      </c>
      <c r="K36" s="28">
        <f t="shared" si="23"/>
        <v>-262808.00000000006</v>
      </c>
      <c r="L36">
        <f>L35+F36</f>
        <v>-14000</v>
      </c>
      <c r="N36">
        <f>IF(Table2[[#This Row],[Buy / Sell]]="Sell",Table2[[#This Row],[Qty]],0)</f>
        <v>-1000</v>
      </c>
      <c r="O36" s="1">
        <f>IF(Table2[[#This Row],[Buy / Sell]]="Sell",Table2[[#This Row],[Trade Price]],0)</f>
        <v>44.65</v>
      </c>
      <c r="P36" s="1">
        <f>SUMPRODUCT(N$14:N36,O$14:O36)/SUM(N$14:N36)</f>
        <v>39.529565217391301</v>
      </c>
      <c r="R36" s="1"/>
    </row>
    <row r="37" spans="1:25" x14ac:dyDescent="0.25">
      <c r="A37" s="30">
        <v>45440</v>
      </c>
      <c r="B37" s="31" t="s">
        <v>20</v>
      </c>
      <c r="C37" s="32" t="s">
        <v>16</v>
      </c>
      <c r="D37" s="32" t="s">
        <v>21</v>
      </c>
      <c r="E37" s="32" t="s">
        <v>13</v>
      </c>
      <c r="F37">
        <v>-1000</v>
      </c>
      <c r="G37" s="37">
        <v>44.65</v>
      </c>
      <c r="H37" s="37">
        <f t="shared" si="1"/>
        <v>48.61</v>
      </c>
      <c r="I37" s="33">
        <v>-3480.0000000000041</v>
      </c>
      <c r="J37" s="38">
        <f t="shared" si="22"/>
        <v>-7524.0000000000018</v>
      </c>
      <c r="K37" s="28">
        <f t="shared" si="23"/>
        <v>-270332.00000000006</v>
      </c>
      <c r="L37">
        <f>L36+F37</f>
        <v>-15000</v>
      </c>
      <c r="N37">
        <f>IF(Table2[[#This Row],[Buy / Sell]]="Sell",Table2[[#This Row],[Qty]],0)</f>
        <v>-1000</v>
      </c>
      <c r="O37" s="1">
        <f>IF(Table2[[#This Row],[Buy / Sell]]="Sell",Table2[[#This Row],[Trade Price]],0)</f>
        <v>44.65</v>
      </c>
      <c r="P37" s="1">
        <f>SUMPRODUCT(N$14:N37,O$14:O37)/SUM(N$14:N37)</f>
        <v>39.742916666666666</v>
      </c>
      <c r="R37" s="1"/>
    </row>
    <row r="38" spans="1:25" x14ac:dyDescent="0.25">
      <c r="A38" s="30">
        <v>45440</v>
      </c>
      <c r="B38" s="31" t="s">
        <v>20</v>
      </c>
      <c r="C38" s="32" t="s">
        <v>16</v>
      </c>
      <c r="D38" s="32" t="s">
        <v>21</v>
      </c>
      <c r="E38" s="32" t="s">
        <v>13</v>
      </c>
      <c r="F38">
        <v>-1000</v>
      </c>
      <c r="G38" s="37">
        <v>44.66</v>
      </c>
      <c r="H38" s="37">
        <f t="shared" si="1"/>
        <v>48.61</v>
      </c>
      <c r="I38" s="33">
        <v>-3480.0000000000041</v>
      </c>
      <c r="J38" s="27">
        <f t="shared" ref="J38:J39" si="24">(H38-G38)*F38*$W$1</f>
        <v>-7505.0000000000045</v>
      </c>
      <c r="K38" s="28">
        <f t="shared" ref="K38:K39" si="25">K37+J38</f>
        <v>-277837.00000000006</v>
      </c>
      <c r="L38">
        <f t="shared" ref="L38:L39" si="26">L37+F38</f>
        <v>-16000</v>
      </c>
      <c r="N38">
        <f>IF(Table2[[#This Row],[Buy / Sell]]="Sell",Table2[[#This Row],[Qty]],0)</f>
        <v>-1000</v>
      </c>
      <c r="O38" s="1">
        <f>IF(Table2[[#This Row],[Buy / Sell]]="Sell",Table2[[#This Row],[Trade Price]],0)</f>
        <v>44.66</v>
      </c>
      <c r="P38" s="1">
        <f>SUMPRODUCT(N$14:N38,O$14:O38)/SUM(N$14:N38)</f>
        <v>39.939599999999999</v>
      </c>
      <c r="R38" s="1"/>
      <c r="U38" s="18"/>
    </row>
    <row r="39" spans="1:25" x14ac:dyDescent="0.25">
      <c r="A39" s="30">
        <v>45440</v>
      </c>
      <c r="B39" s="31" t="s">
        <v>20</v>
      </c>
      <c r="C39" s="32" t="s">
        <v>16</v>
      </c>
      <c r="D39" s="32" t="s">
        <v>21</v>
      </c>
      <c r="E39" s="32" t="s">
        <v>13</v>
      </c>
      <c r="F39">
        <v>-1000</v>
      </c>
      <c r="G39" s="37">
        <v>44.61</v>
      </c>
      <c r="H39" s="37">
        <f t="shared" si="1"/>
        <v>48.61</v>
      </c>
      <c r="I39" s="33">
        <v>-3480.0000000000041</v>
      </c>
      <c r="J39" s="38">
        <f t="shared" si="24"/>
        <v>-7600</v>
      </c>
      <c r="K39" s="28">
        <f t="shared" si="25"/>
        <v>-285437.00000000006</v>
      </c>
      <c r="L39">
        <f t="shared" si="26"/>
        <v>-17000</v>
      </c>
      <c r="N39">
        <f>IF(Table2[[#This Row],[Buy / Sell]]="Sell",Table2[[#This Row],[Qty]],0)</f>
        <v>-1000</v>
      </c>
      <c r="O39" s="1">
        <f>IF(Table2[[#This Row],[Buy / Sell]]="Sell",Table2[[#This Row],[Trade Price]],0)</f>
        <v>44.61</v>
      </c>
      <c r="P39" s="1">
        <f>SUMPRODUCT(N$14:N39,O$14:O39)/SUM(N$14:N39)</f>
        <v>40.119230769230768</v>
      </c>
      <c r="R39" s="1"/>
    </row>
    <row r="40" spans="1:25" x14ac:dyDescent="0.25">
      <c r="A40" s="30">
        <v>45440</v>
      </c>
      <c r="B40" s="31" t="s">
        <v>20</v>
      </c>
      <c r="C40" s="32" t="s">
        <v>16</v>
      </c>
      <c r="D40" s="32" t="s">
        <v>21</v>
      </c>
      <c r="E40" s="32" t="s">
        <v>13</v>
      </c>
      <c r="F40">
        <v>-2000</v>
      </c>
      <c r="G40" s="37">
        <v>44.74</v>
      </c>
      <c r="H40" s="37">
        <f t="shared" si="1"/>
        <v>48.61</v>
      </c>
      <c r="I40" s="33">
        <v>-3480.0000000000041</v>
      </c>
      <c r="J40" s="38">
        <f t="shared" ref="J40" si="27">(H40-G40)*F40*$W$1</f>
        <v>-14705.999999999989</v>
      </c>
      <c r="K40" s="28">
        <f t="shared" ref="K40" si="28">K39+J40</f>
        <v>-300143.00000000006</v>
      </c>
      <c r="L40">
        <f t="shared" ref="L40" si="29">L39+F40</f>
        <v>-19000</v>
      </c>
      <c r="N40">
        <f>IF(Table2[[#This Row],[Buy / Sell]]="Sell",Table2[[#This Row],[Qty]],0)</f>
        <v>-2000</v>
      </c>
      <c r="O40" s="1">
        <f>IF(Table2[[#This Row],[Buy / Sell]]="Sell",Table2[[#This Row],[Trade Price]],0)</f>
        <v>44.74</v>
      </c>
      <c r="P40" s="1">
        <f>SUMPRODUCT(N$14:N40,O$14:O40)/SUM(N$14:N40)</f>
        <v>40.449285714285715</v>
      </c>
    </row>
    <row r="41" spans="1:25" x14ac:dyDescent="0.25">
      <c r="A41" s="30">
        <v>45440</v>
      </c>
      <c r="B41" s="31" t="s">
        <v>20</v>
      </c>
      <c r="C41" s="32" t="s">
        <v>16</v>
      </c>
      <c r="D41" s="32" t="s">
        <v>21</v>
      </c>
      <c r="E41" s="32" t="s">
        <v>14</v>
      </c>
      <c r="F41">
        <v>2000</v>
      </c>
      <c r="G41" s="37">
        <v>45.88</v>
      </c>
      <c r="H41" s="37">
        <f t="shared" si="1"/>
        <v>48.61</v>
      </c>
      <c r="I41" s="33">
        <v>-3480.0000000000041</v>
      </c>
      <c r="J41" s="38">
        <f t="shared" ref="J41:J43" si="30">(H41-G41)*F41*$W$1</f>
        <v>10373.999999999987</v>
      </c>
      <c r="K41" s="28">
        <f t="shared" ref="K41:K43" si="31">K40+J41</f>
        <v>-289769.00000000006</v>
      </c>
      <c r="L41">
        <f t="shared" ref="L41:L43" si="32">L40+F41</f>
        <v>-17000</v>
      </c>
    </row>
    <row r="42" spans="1:25" x14ac:dyDescent="0.25">
      <c r="A42" s="30">
        <v>45440</v>
      </c>
      <c r="B42" s="31" t="s">
        <v>20</v>
      </c>
      <c r="C42" s="32" t="s">
        <v>16</v>
      </c>
      <c r="D42" s="32" t="s">
        <v>21</v>
      </c>
      <c r="E42" s="32" t="s">
        <v>14</v>
      </c>
      <c r="F42">
        <v>1000</v>
      </c>
      <c r="G42" s="37">
        <v>46.13</v>
      </c>
      <c r="H42" s="37">
        <f t="shared" si="1"/>
        <v>48.61</v>
      </c>
      <c r="I42" s="33">
        <v>-3480.0000000000041</v>
      </c>
      <c r="J42" s="38">
        <f t="shared" si="30"/>
        <v>4711.9999999999936</v>
      </c>
      <c r="K42" s="28">
        <f t="shared" si="31"/>
        <v>-285057.00000000006</v>
      </c>
      <c r="L42">
        <f t="shared" si="32"/>
        <v>-16000</v>
      </c>
    </row>
    <row r="43" spans="1:25" x14ac:dyDescent="0.25">
      <c r="A43" s="30">
        <v>45440</v>
      </c>
      <c r="B43" s="31" t="s">
        <v>20</v>
      </c>
      <c r="C43" s="32" t="s">
        <v>16</v>
      </c>
      <c r="D43" s="32" t="s">
        <v>21</v>
      </c>
      <c r="E43" s="32" t="s">
        <v>14</v>
      </c>
      <c r="F43">
        <v>2000</v>
      </c>
      <c r="G43" s="37">
        <v>46.35</v>
      </c>
      <c r="H43" s="37">
        <f t="shared" si="1"/>
        <v>48.61</v>
      </c>
      <c r="I43" s="33">
        <v>-3480.0000000000041</v>
      </c>
      <c r="J43" s="38">
        <f t="shared" si="30"/>
        <v>8587.9999999999927</v>
      </c>
      <c r="K43" s="28">
        <f t="shared" si="31"/>
        <v>-276469.00000000006</v>
      </c>
      <c r="L43">
        <f t="shared" si="32"/>
        <v>-14000</v>
      </c>
    </row>
    <row r="44" spans="1:25" x14ac:dyDescent="0.25">
      <c r="A44" s="30">
        <v>45440</v>
      </c>
      <c r="B44" s="31" t="s">
        <v>20</v>
      </c>
      <c r="C44" s="32" t="s">
        <v>16</v>
      </c>
      <c r="D44" s="32" t="s">
        <v>21</v>
      </c>
      <c r="E44" s="32" t="s">
        <v>14</v>
      </c>
      <c r="F44">
        <v>1000</v>
      </c>
      <c r="G44" s="37">
        <v>46.65</v>
      </c>
      <c r="H44" s="37">
        <f t="shared" si="1"/>
        <v>48.61</v>
      </c>
      <c r="I44" s="33">
        <v>-3480.0000000000041</v>
      </c>
      <c r="J44" s="38">
        <f t="shared" ref="J44" si="33">(H44-G44)*F44*$W$1</f>
        <v>3724.0000000000014</v>
      </c>
      <c r="K44" s="28">
        <f t="shared" ref="K44" si="34">K43+J44</f>
        <v>-272745.00000000006</v>
      </c>
      <c r="L44">
        <f t="shared" ref="L44" si="35">L43+F44</f>
        <v>-13000</v>
      </c>
    </row>
    <row r="45" spans="1:25" x14ac:dyDescent="0.25">
      <c r="A45" s="30">
        <v>45442</v>
      </c>
      <c r="B45" s="31" t="s">
        <v>20</v>
      </c>
      <c r="C45" s="32" t="s">
        <v>16</v>
      </c>
      <c r="D45" s="32" t="s">
        <v>21</v>
      </c>
      <c r="E45" s="32" t="s">
        <v>14</v>
      </c>
      <c r="F45">
        <v>2000</v>
      </c>
      <c r="G45" s="37">
        <v>46.1</v>
      </c>
      <c r="H45" s="37">
        <f t="shared" si="1"/>
        <v>48.61</v>
      </c>
      <c r="I45" s="33">
        <v>-3480.0000000000041</v>
      </c>
      <c r="J45" s="38">
        <f t="shared" ref="J45" si="36">(H45-G45)*F45*$W$1</f>
        <v>9537.9999999999927</v>
      </c>
      <c r="K45" s="28">
        <f t="shared" ref="K45" si="37">K44+J45</f>
        <v>-263207.00000000006</v>
      </c>
      <c r="L45">
        <f t="shared" ref="L45" si="38">L44+F45</f>
        <v>-11000</v>
      </c>
    </row>
    <row r="46" spans="1:25" x14ac:dyDescent="0.25">
      <c r="A46" s="30">
        <v>45442</v>
      </c>
      <c r="B46" s="31" t="s">
        <v>20</v>
      </c>
      <c r="C46" s="32" t="s">
        <v>16</v>
      </c>
      <c r="D46" s="32" t="s">
        <v>21</v>
      </c>
      <c r="E46" s="32" t="s">
        <v>14</v>
      </c>
      <c r="F46">
        <v>1000</v>
      </c>
      <c r="G46" s="37">
        <v>46.42</v>
      </c>
      <c r="H46" s="37">
        <f t="shared" si="1"/>
        <v>48.61</v>
      </c>
      <c r="I46" s="33">
        <v>-3480.0000000000041</v>
      </c>
      <c r="J46" s="38">
        <f t="shared" ref="J46" si="39">(H46-G46)*F46*$W$1</f>
        <v>4160.9999999999955</v>
      </c>
      <c r="K46" s="28">
        <f>K45+J46</f>
        <v>-259046.00000000006</v>
      </c>
      <c r="L46">
        <f>L45+F46</f>
        <v>-10000</v>
      </c>
    </row>
    <row r="47" spans="1:25" x14ac:dyDescent="0.25">
      <c r="A47" s="30">
        <v>45443</v>
      </c>
      <c r="B47" s="31" t="s">
        <v>20</v>
      </c>
      <c r="C47" s="32" t="s">
        <v>16</v>
      </c>
      <c r="D47" s="32" t="s">
        <v>21</v>
      </c>
      <c r="E47" s="32" t="s">
        <v>14</v>
      </c>
      <c r="F47">
        <v>2000</v>
      </c>
      <c r="G47" s="37">
        <v>46.67</v>
      </c>
      <c r="H47" s="37">
        <f t="shared" si="1"/>
        <v>48.61</v>
      </c>
      <c r="I47" s="33">
        <v>-3480.0000000000041</v>
      </c>
      <c r="J47" s="38">
        <f t="shared" ref="J47" si="40">(H47-G47)*F47*$W$1</f>
        <v>7371.9999999999909</v>
      </c>
      <c r="K47" s="28">
        <f>K46+J47</f>
        <v>-251674.00000000006</v>
      </c>
      <c r="L47">
        <f>L46+F47</f>
        <v>-8000</v>
      </c>
    </row>
  </sheetData>
  <conditionalFormatting sqref="E2:E47">
    <cfRule type="containsText" dxfId="12" priority="38" operator="containsText" text="Buy">
      <formula>NOT(ISERROR(SEARCH("Buy",E2)))</formula>
    </cfRule>
    <cfRule type="containsText" dxfId="11" priority="39" operator="containsText" text="Sell">
      <formula>NOT(ISERROR(SEARCH("Sell",E2)))</formula>
    </cfRule>
  </conditionalFormatting>
  <conditionalFormatting sqref="I2:I16">
    <cfRule type="cellIs" dxfId="10" priority="136" operator="lessThan">
      <formula>0</formula>
    </cfRule>
  </conditionalFormatting>
  <conditionalFormatting sqref="I10:I47 K10:K47">
    <cfRule type="cellIs" dxfId="9" priority="146" operator="lessThan">
      <formula>0</formula>
    </cfRule>
  </conditionalFormatting>
  <conditionalFormatting sqref="J2:K40">
    <cfRule type="cellIs" dxfId="8" priority="12" operator="lessThan">
      <formula>0</formula>
    </cfRule>
  </conditionalFormatting>
  <conditionalFormatting sqref="J41:K45">
    <cfRule type="cellIs" dxfId="7" priority="3" operator="lessThan">
      <formula>0</formula>
    </cfRule>
  </conditionalFormatting>
  <conditionalFormatting sqref="J46:K46">
    <cfRule type="cellIs" dxfId="6" priority="2" operator="lessThan">
      <formula>0</formula>
    </cfRule>
  </conditionalFormatting>
  <conditionalFormatting sqref="J47:K47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1823-222B-44E9-93BA-7150D64E7CA7}">
  <sheetPr codeName="Sheet3"/>
  <dimension ref="A1:P7"/>
  <sheetViews>
    <sheetView workbookViewId="0">
      <selection activeCell="V21" sqref="V21"/>
    </sheetView>
  </sheetViews>
  <sheetFormatPr defaultRowHeight="15" x14ac:dyDescent="0.25"/>
  <cols>
    <col min="9" max="9" width="0" hidden="1" customWidth="1"/>
    <col min="10" max="11" width="12.7109375" customWidth="1"/>
  </cols>
  <sheetData>
    <row r="1" spans="1:16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9" t="s">
        <v>43</v>
      </c>
      <c r="O1" t="s">
        <v>7</v>
      </c>
      <c r="P1" s="20">
        <v>39.25</v>
      </c>
    </row>
    <row r="2" spans="1:16" ht="15.75" thickTop="1" x14ac:dyDescent="0.25">
      <c r="A2" s="8">
        <v>45418</v>
      </c>
      <c r="B2" s="5" t="s">
        <v>27</v>
      </c>
      <c r="C2" s="5" t="s">
        <v>26</v>
      </c>
      <c r="D2" s="5" t="s">
        <v>27</v>
      </c>
      <c r="E2" s="5" t="s">
        <v>14</v>
      </c>
      <c r="F2" s="5">
        <v>2000</v>
      </c>
      <c r="G2" s="9">
        <v>39.450000000000003</v>
      </c>
      <c r="H2" s="9">
        <f>$P$1</f>
        <v>39.25</v>
      </c>
      <c r="I2" s="9">
        <v>1099.9999999999943</v>
      </c>
      <c r="J2" s="10">
        <f>(H2-G2)*F2*1.5</f>
        <v>-600.00000000000853</v>
      </c>
      <c r="K2" s="21">
        <f>J2</f>
        <v>-600.00000000000853</v>
      </c>
      <c r="L2">
        <f>F2</f>
        <v>2000</v>
      </c>
    </row>
    <row r="3" spans="1:16" x14ac:dyDescent="0.25">
      <c r="A3" s="11">
        <v>45419</v>
      </c>
      <c r="B3" s="6" t="s">
        <v>27</v>
      </c>
      <c r="C3" s="6" t="s">
        <v>26</v>
      </c>
      <c r="D3" s="6" t="s">
        <v>27</v>
      </c>
      <c r="E3" s="6" t="s">
        <v>14</v>
      </c>
      <c r="F3" s="6">
        <v>2000</v>
      </c>
      <c r="G3" s="12">
        <v>40.1</v>
      </c>
      <c r="H3" s="9">
        <f t="shared" ref="H3:H7" si="0">$P$1</f>
        <v>39.25</v>
      </c>
      <c r="I3" s="12">
        <v>-243439790.16897666</v>
      </c>
      <c r="J3" s="10">
        <f>(H3-G3)*F3*1.5</f>
        <v>-2550.0000000000041</v>
      </c>
      <c r="K3" s="21">
        <f>K2+J3</f>
        <v>-3150.0000000000127</v>
      </c>
      <c r="L3">
        <f>L2+F3</f>
        <v>4000</v>
      </c>
    </row>
    <row r="4" spans="1:16" x14ac:dyDescent="0.25">
      <c r="A4" s="8">
        <v>45419</v>
      </c>
      <c r="B4" s="5" t="s">
        <v>27</v>
      </c>
      <c r="C4" s="5" t="s">
        <v>26</v>
      </c>
      <c r="D4" s="5" t="s">
        <v>27</v>
      </c>
      <c r="E4" s="5" t="s">
        <v>14</v>
      </c>
      <c r="F4" s="5">
        <v>2000</v>
      </c>
      <c r="G4" s="9">
        <v>39.950000000000003</v>
      </c>
      <c r="H4" s="9">
        <f t="shared" si="0"/>
        <v>39.25</v>
      </c>
      <c r="I4" s="9">
        <v>-243439490.16897666</v>
      </c>
      <c r="J4" s="10">
        <f t="shared" ref="J4:J6" si="1">(H4-G4)*F4*1.5</f>
        <v>-2100.0000000000086</v>
      </c>
      <c r="K4" s="21">
        <f t="shared" ref="K4:K7" si="2">K3+J4</f>
        <v>-5250.0000000000218</v>
      </c>
      <c r="L4">
        <f t="shared" ref="L4:L6" si="3">L3+F4</f>
        <v>6000</v>
      </c>
    </row>
    <row r="5" spans="1:16" x14ac:dyDescent="0.25">
      <c r="A5" s="11">
        <v>45422</v>
      </c>
      <c r="B5" s="6" t="s">
        <v>27</v>
      </c>
      <c r="C5" s="6" t="s">
        <v>26</v>
      </c>
      <c r="D5" s="6" t="s">
        <v>27</v>
      </c>
      <c r="E5" s="6" t="s">
        <v>14</v>
      </c>
      <c r="F5" s="6">
        <v>1000</v>
      </c>
      <c r="G5" s="12">
        <v>39.75</v>
      </c>
      <c r="H5" s="9">
        <f t="shared" si="0"/>
        <v>39.25</v>
      </c>
      <c r="I5" s="12">
        <v>-121719545.08448833</v>
      </c>
      <c r="J5" s="10">
        <f t="shared" si="1"/>
        <v>-750</v>
      </c>
      <c r="K5" s="21">
        <f t="shared" si="2"/>
        <v>-6000.0000000000218</v>
      </c>
      <c r="L5">
        <f t="shared" si="3"/>
        <v>7000</v>
      </c>
    </row>
    <row r="6" spans="1:16" x14ac:dyDescent="0.25">
      <c r="A6" s="8">
        <v>45422</v>
      </c>
      <c r="B6" s="5" t="s">
        <v>27</v>
      </c>
      <c r="C6" s="5" t="s">
        <v>26</v>
      </c>
      <c r="D6" s="5" t="s">
        <v>27</v>
      </c>
      <c r="E6" s="5" t="s">
        <v>14</v>
      </c>
      <c r="F6" s="5">
        <v>1000</v>
      </c>
      <c r="G6" s="9">
        <v>39.42</v>
      </c>
      <c r="H6" s="9">
        <f t="shared" si="0"/>
        <v>39.25</v>
      </c>
      <c r="I6" s="9">
        <v>-121719215.08448833</v>
      </c>
      <c r="J6" s="10">
        <f t="shared" si="1"/>
        <v>-255.00000000000256</v>
      </c>
      <c r="K6" s="21">
        <f t="shared" si="2"/>
        <v>-6255.0000000000246</v>
      </c>
      <c r="L6">
        <f t="shared" si="3"/>
        <v>8000</v>
      </c>
      <c r="M6" s="1">
        <f>SUMPRODUCT(F2:F6,G2:G6)/SUM(F2:F6)</f>
        <v>39.771250000000002</v>
      </c>
    </row>
    <row r="7" spans="1:16" x14ac:dyDescent="0.25">
      <c r="A7" s="8">
        <v>45442</v>
      </c>
      <c r="B7" s="5" t="s">
        <v>27</v>
      </c>
      <c r="C7" s="5" t="s">
        <v>26</v>
      </c>
      <c r="D7" s="5" t="s">
        <v>27</v>
      </c>
      <c r="E7" s="5" t="s">
        <v>14</v>
      </c>
      <c r="F7" s="5">
        <v>3000</v>
      </c>
      <c r="G7" s="9">
        <v>38.75</v>
      </c>
      <c r="H7" s="9">
        <f t="shared" si="0"/>
        <v>39.25</v>
      </c>
      <c r="I7" s="9">
        <v>-121719215.08448833</v>
      </c>
      <c r="J7" s="10">
        <f t="shared" ref="J7" si="4">(H7-G7)*F7*1.5</f>
        <v>2250</v>
      </c>
      <c r="K7" s="21">
        <f t="shared" si="2"/>
        <v>-4005.0000000000246</v>
      </c>
      <c r="L7">
        <f t="shared" ref="L7" si="5">L6+F7</f>
        <v>11000</v>
      </c>
      <c r="M7" s="1">
        <f>SUMPRODUCT(F3:F7,G3:G7)/SUM(F3:F7)</f>
        <v>39.502222222222223</v>
      </c>
    </row>
  </sheetData>
  <conditionalFormatting sqref="I2:K7">
    <cfRule type="cellIs" dxfId="5" priority="1" operator="lessThan">
      <formula>0</formula>
    </cfRule>
  </conditionalFormatting>
  <conditionalFormatting sqref="K3:K7">
    <cfRule type="cellIs" dxfId="4" priority="2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0208-BB05-48CA-94C2-2C0E96B6DACA}">
  <sheetPr codeName="Sheet4"/>
  <dimension ref="A1:O8"/>
  <sheetViews>
    <sheetView workbookViewId="0">
      <selection activeCell="H29" sqref="H29"/>
    </sheetView>
  </sheetViews>
  <sheetFormatPr defaultRowHeight="15" x14ac:dyDescent="0.25"/>
  <cols>
    <col min="9" max="10" width="12.5703125" customWidth="1"/>
  </cols>
  <sheetData>
    <row r="1" spans="1:15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9</v>
      </c>
      <c r="J1" s="19" t="s">
        <v>36</v>
      </c>
      <c r="N1" t="s">
        <v>7</v>
      </c>
      <c r="O1" s="20">
        <v>18.5</v>
      </c>
    </row>
    <row r="2" spans="1:15" ht="15.75" thickTop="1" x14ac:dyDescent="0.25">
      <c r="A2" s="8">
        <v>45422</v>
      </c>
      <c r="B2" s="5" t="s">
        <v>30</v>
      </c>
      <c r="C2" s="5" t="s">
        <v>26</v>
      </c>
      <c r="D2" s="5" t="s">
        <v>30</v>
      </c>
      <c r="E2" s="5" t="s">
        <v>14</v>
      </c>
      <c r="F2" s="5">
        <v>2000</v>
      </c>
      <c r="G2" s="9">
        <v>21.4</v>
      </c>
      <c r="H2" s="9">
        <f>$O$1</f>
        <v>18.5</v>
      </c>
      <c r="I2" s="10">
        <f>(H2-G2)*F2*1.5</f>
        <v>-8699.9999999999964</v>
      </c>
      <c r="J2" s="21">
        <f>I2</f>
        <v>-8699.9999999999964</v>
      </c>
      <c r="K2">
        <f>F2</f>
        <v>2000</v>
      </c>
    </row>
    <row r="3" spans="1:15" x14ac:dyDescent="0.25">
      <c r="A3" s="8">
        <v>45433</v>
      </c>
      <c r="B3" s="5" t="s">
        <v>30</v>
      </c>
      <c r="C3" s="5" t="s">
        <v>26</v>
      </c>
      <c r="D3" s="5" t="s">
        <v>30</v>
      </c>
      <c r="E3" s="5" t="s">
        <v>14</v>
      </c>
      <c r="F3" s="5">
        <v>2000</v>
      </c>
      <c r="G3" s="9">
        <v>22.02</v>
      </c>
      <c r="H3" s="9">
        <f>$O$1</f>
        <v>18.5</v>
      </c>
      <c r="I3" s="10">
        <f>(H3-G3)*F3*1.5</f>
        <v>-10559.999999999998</v>
      </c>
      <c r="J3" s="21">
        <f>J2+I3</f>
        <v>-19259.999999999993</v>
      </c>
      <c r="K3">
        <f>K2+F3</f>
        <v>4000</v>
      </c>
    </row>
    <row r="4" spans="1:15" x14ac:dyDescent="0.25">
      <c r="A4" s="8">
        <v>45433</v>
      </c>
      <c r="B4" s="5" t="s">
        <v>30</v>
      </c>
      <c r="C4" s="5" t="s">
        <v>26</v>
      </c>
      <c r="D4" s="5" t="s">
        <v>30</v>
      </c>
      <c r="E4" s="5" t="s">
        <v>14</v>
      </c>
      <c r="F4" s="5">
        <v>2000</v>
      </c>
      <c r="G4" s="9">
        <v>21.76</v>
      </c>
      <c r="H4" s="9">
        <f>$O$1</f>
        <v>18.5</v>
      </c>
      <c r="I4" s="10">
        <f>(H4-G4)*F4*1.5</f>
        <v>-9780.0000000000036</v>
      </c>
      <c r="J4" s="21">
        <f>J3+I4</f>
        <v>-29039.999999999996</v>
      </c>
      <c r="K4">
        <f>K3+F4</f>
        <v>6000</v>
      </c>
      <c r="L4" s="1">
        <f>SUMPRODUCT(F$2:F4,G$2:G4)/SUM(F$2:F4)</f>
        <v>21.726666666666667</v>
      </c>
    </row>
    <row r="5" spans="1:15" x14ac:dyDescent="0.25">
      <c r="A5" s="8">
        <v>45433</v>
      </c>
      <c r="B5" s="5" t="s">
        <v>30</v>
      </c>
      <c r="C5" s="5" t="s">
        <v>26</v>
      </c>
      <c r="D5" s="5" t="s">
        <v>30</v>
      </c>
      <c r="E5" s="5" t="s">
        <v>14</v>
      </c>
      <c r="F5" s="5">
        <v>1000</v>
      </c>
      <c r="G5" s="9">
        <v>21.26</v>
      </c>
      <c r="H5" s="9">
        <f>$O$1</f>
        <v>18.5</v>
      </c>
      <c r="I5" s="10">
        <f>(H5-G5)*F5*1.5</f>
        <v>-4140.0000000000018</v>
      </c>
      <c r="J5" s="21">
        <f>J4+I5</f>
        <v>-33180</v>
      </c>
      <c r="K5">
        <f t="shared" ref="K5:K7" si="0">K4+F5</f>
        <v>7000</v>
      </c>
      <c r="L5" s="1">
        <f>SUMPRODUCT(F$2:F5,G$2:G5)/SUM(F$2:F5)</f>
        <v>21.66</v>
      </c>
    </row>
    <row r="6" spans="1:15" x14ac:dyDescent="0.25">
      <c r="A6" s="8"/>
      <c r="B6" s="5"/>
      <c r="C6" s="5"/>
      <c r="D6" s="5"/>
      <c r="E6" s="5"/>
      <c r="F6" s="5"/>
      <c r="G6" s="9"/>
      <c r="H6" s="9"/>
      <c r="I6" s="10"/>
      <c r="J6" s="21"/>
      <c r="K6">
        <f t="shared" ref="K6" si="1">K5+F6</f>
        <v>7000</v>
      </c>
      <c r="L6" s="1">
        <f>SUMPRODUCT(F$2:F6,G$2:G6)/SUM(F$2:F6)</f>
        <v>21.66</v>
      </c>
    </row>
    <row r="7" spans="1:15" x14ac:dyDescent="0.25">
      <c r="A7" s="8"/>
      <c r="B7" s="5"/>
      <c r="C7" s="5"/>
      <c r="D7" s="5"/>
      <c r="E7" s="5"/>
      <c r="F7" s="5"/>
      <c r="G7" s="9"/>
      <c r="H7" s="9"/>
      <c r="I7" s="10"/>
      <c r="J7" s="21"/>
      <c r="K7">
        <f t="shared" si="0"/>
        <v>7000</v>
      </c>
      <c r="L7" s="1">
        <f>SUMPRODUCT(F$2:F7,G$2:G7)/SUM(F$2:F7)</f>
        <v>21.66</v>
      </c>
    </row>
    <row r="8" spans="1:15" x14ac:dyDescent="0.25">
      <c r="A8" s="8"/>
      <c r="B8" s="5"/>
      <c r="C8" s="5"/>
      <c r="D8" s="5"/>
      <c r="E8" s="5"/>
      <c r="F8" s="5"/>
      <c r="G8" s="9"/>
      <c r="H8" s="9"/>
      <c r="I8" s="10"/>
      <c r="J8" s="21"/>
      <c r="L8" s="1"/>
    </row>
  </sheetData>
  <conditionalFormatting sqref="I2:J8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B75B-6F05-4940-B2FE-C92E5A7ED54B}">
  <sheetPr codeName="Sheet5"/>
  <dimension ref="A1:O8"/>
  <sheetViews>
    <sheetView workbookViewId="0">
      <selection activeCell="A6" sqref="A6"/>
    </sheetView>
  </sheetViews>
  <sheetFormatPr defaultRowHeight="15" x14ac:dyDescent="0.25"/>
  <cols>
    <col min="9" max="9" width="12.5703125" customWidth="1"/>
    <col min="10" max="10" width="11.42578125" customWidth="1"/>
    <col min="13" max="13" width="4.85546875" customWidth="1"/>
  </cols>
  <sheetData>
    <row r="1" spans="1:15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9</v>
      </c>
      <c r="J1" s="19" t="s">
        <v>36</v>
      </c>
      <c r="N1" t="s">
        <v>7</v>
      </c>
      <c r="O1" s="20">
        <v>45.5</v>
      </c>
    </row>
    <row r="2" spans="1:15" ht="15.75" thickTop="1" x14ac:dyDescent="0.25">
      <c r="A2" s="8">
        <v>45432</v>
      </c>
      <c r="B2" s="5" t="s">
        <v>29</v>
      </c>
      <c r="C2" s="5" t="s">
        <v>26</v>
      </c>
      <c r="D2" s="5" t="s">
        <v>29</v>
      </c>
      <c r="E2" s="5" t="s">
        <v>14</v>
      </c>
      <c r="F2" s="5">
        <v>5000</v>
      </c>
      <c r="G2" s="9">
        <v>44</v>
      </c>
      <c r="H2" s="9">
        <f>$O$1</f>
        <v>45.5</v>
      </c>
      <c r="I2" s="10">
        <f>(H2-G2)*F2*0.9</f>
        <v>6750</v>
      </c>
      <c r="J2" s="21">
        <f>I2</f>
        <v>6750</v>
      </c>
      <c r="K2">
        <f>F2</f>
        <v>5000</v>
      </c>
    </row>
    <row r="3" spans="1:15" x14ac:dyDescent="0.25">
      <c r="A3" s="8">
        <v>45433</v>
      </c>
      <c r="B3" s="5" t="s">
        <v>29</v>
      </c>
      <c r="C3" s="5" t="s">
        <v>26</v>
      </c>
      <c r="D3" s="5" t="s">
        <v>29</v>
      </c>
      <c r="E3" s="5" t="s">
        <v>14</v>
      </c>
      <c r="F3" s="5">
        <v>10000</v>
      </c>
      <c r="G3" s="9">
        <v>47</v>
      </c>
      <c r="H3" s="9">
        <f>$O$1</f>
        <v>45.5</v>
      </c>
      <c r="I3" s="10">
        <f>(H3-G3)*F3*0.9</f>
        <v>-13500</v>
      </c>
      <c r="J3" s="21">
        <f>J2+I3</f>
        <v>-6750</v>
      </c>
      <c r="K3">
        <f>K2+F3</f>
        <v>15000</v>
      </c>
      <c r="L3" s="1">
        <f>SUMPRODUCT(F$2:F3,G$2:G3)/SUM(F$2:F3)</f>
        <v>46</v>
      </c>
    </row>
    <row r="4" spans="1:15" x14ac:dyDescent="0.25">
      <c r="A4" s="8">
        <v>45435</v>
      </c>
      <c r="B4" s="5" t="s">
        <v>29</v>
      </c>
      <c r="C4" s="5" t="s">
        <v>26</v>
      </c>
      <c r="D4" s="5" t="s">
        <v>29</v>
      </c>
      <c r="E4" s="5" t="s">
        <v>13</v>
      </c>
      <c r="F4" s="5">
        <v>-10000</v>
      </c>
      <c r="G4" s="9">
        <v>46</v>
      </c>
      <c r="H4" s="9">
        <f>$O$1</f>
        <v>45.5</v>
      </c>
      <c r="I4" s="10">
        <f>(H4-G4)*F4*0.9</f>
        <v>4500</v>
      </c>
      <c r="J4" s="21">
        <f>J3+I4</f>
        <v>-2250</v>
      </c>
      <c r="K4">
        <f>K3+F4</f>
        <v>5000</v>
      </c>
      <c r="L4" s="1">
        <f>SUMPRODUCT(F$2:F4,G$2:G4)/SUM(F$2:F4)</f>
        <v>46</v>
      </c>
    </row>
    <row r="5" spans="1:15" x14ac:dyDescent="0.25">
      <c r="A5" s="8">
        <v>45439</v>
      </c>
      <c r="B5" s="5" t="s">
        <v>29</v>
      </c>
      <c r="C5" s="5" t="s">
        <v>26</v>
      </c>
      <c r="D5" s="5" t="s">
        <v>29</v>
      </c>
      <c r="E5" s="5" t="s">
        <v>14</v>
      </c>
      <c r="F5" s="5">
        <v>5000</v>
      </c>
      <c r="G5" s="9">
        <v>45.45</v>
      </c>
      <c r="H5" s="9">
        <f>$O$1</f>
        <v>45.5</v>
      </c>
      <c r="I5" s="10">
        <f>(H5-G5)*F5*0.9</f>
        <v>224.99999999998721</v>
      </c>
      <c r="J5" s="21">
        <f>J4+I5</f>
        <v>-2025.0000000000127</v>
      </c>
      <c r="K5">
        <f>K4+F5</f>
        <v>10000</v>
      </c>
      <c r="L5" s="1">
        <f>SUMPRODUCT(F$2:F5,G$2:G5)/SUM(F$2:F5)</f>
        <v>45.725000000000001</v>
      </c>
    </row>
    <row r="6" spans="1:15" x14ac:dyDescent="0.25">
      <c r="A6" s="8">
        <v>45442</v>
      </c>
      <c r="B6" s="5" t="s">
        <v>29</v>
      </c>
      <c r="C6" s="5" t="s">
        <v>26</v>
      </c>
      <c r="D6" s="5" t="s">
        <v>29</v>
      </c>
      <c r="E6" s="5" t="s">
        <v>14</v>
      </c>
      <c r="F6" s="5">
        <v>5000</v>
      </c>
      <c r="G6" s="9">
        <v>48.5</v>
      </c>
      <c r="H6" s="9">
        <f>$O$1</f>
        <v>45.5</v>
      </c>
      <c r="I6" s="10">
        <f>(H6-G6)*F6*0.9</f>
        <v>-13500</v>
      </c>
      <c r="J6" s="21">
        <f>J5+I6</f>
        <v>-15525.000000000013</v>
      </c>
      <c r="K6">
        <f>K5+F6</f>
        <v>15000</v>
      </c>
      <c r="L6" s="1">
        <f>SUMPRODUCT(F$2:F6,G$2:G6)/SUM(F$2:F6)</f>
        <v>46.65</v>
      </c>
    </row>
    <row r="7" spans="1:15" x14ac:dyDescent="0.25">
      <c r="A7" s="8"/>
      <c r="B7" s="5"/>
      <c r="C7" s="5"/>
      <c r="D7" s="5"/>
      <c r="E7" s="5"/>
      <c r="F7" s="5"/>
      <c r="G7" s="9"/>
      <c r="H7" s="9"/>
      <c r="I7" s="10"/>
      <c r="J7" s="21"/>
      <c r="K7">
        <f t="shared" ref="K7" si="0">K6+F7</f>
        <v>15000</v>
      </c>
      <c r="L7" s="1">
        <f>SUMPRODUCT(F$2:F7,G$2:G7)/SUM(F$2:F7)</f>
        <v>46.65</v>
      </c>
    </row>
    <row r="8" spans="1:15" x14ac:dyDescent="0.25">
      <c r="A8" s="8"/>
      <c r="B8" s="5"/>
      <c r="C8" s="5"/>
      <c r="D8" s="5"/>
      <c r="E8" s="5"/>
      <c r="F8" s="5"/>
      <c r="G8" s="9"/>
      <c r="H8" s="9"/>
      <c r="I8" s="10"/>
      <c r="J8" s="21"/>
      <c r="L8" s="1"/>
    </row>
  </sheetData>
  <conditionalFormatting sqref="I2:J8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1D77-EB9F-41E6-9FF4-01FB1878E1CD}">
  <sheetPr codeName="Sheet6"/>
  <dimension ref="A1:M4"/>
  <sheetViews>
    <sheetView workbookViewId="0">
      <selection activeCell="H8" sqref="H8"/>
    </sheetView>
  </sheetViews>
  <sheetFormatPr defaultRowHeight="15" x14ac:dyDescent="0.25"/>
  <cols>
    <col min="7" max="7" width="10.85546875" customWidth="1"/>
    <col min="8" max="8" width="10.5703125" customWidth="1"/>
  </cols>
  <sheetData>
    <row r="1" spans="1:13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9</v>
      </c>
      <c r="H1" s="19" t="s">
        <v>36</v>
      </c>
      <c r="L1" t="s">
        <v>40</v>
      </c>
      <c r="M1" s="20">
        <v>32.5</v>
      </c>
    </row>
    <row r="2" spans="1:13" ht="15.75" thickTop="1" x14ac:dyDescent="0.25">
      <c r="A2" s="8">
        <v>45439</v>
      </c>
      <c r="B2" s="5" t="s">
        <v>39</v>
      </c>
      <c r="C2" s="5" t="s">
        <v>13</v>
      </c>
      <c r="D2" s="5">
        <v>-10000</v>
      </c>
      <c r="E2" s="9">
        <v>33</v>
      </c>
      <c r="F2" s="9">
        <f>M2</f>
        <v>33</v>
      </c>
      <c r="G2" s="10">
        <f>(F2-E2)*D2</f>
        <v>0</v>
      </c>
      <c r="H2" s="21">
        <f>G2</f>
        <v>0</v>
      </c>
      <c r="I2">
        <f>D2</f>
        <v>-10000</v>
      </c>
      <c r="L2" t="s">
        <v>41</v>
      </c>
      <c r="M2">
        <v>33</v>
      </c>
    </row>
    <row r="3" spans="1:13" x14ac:dyDescent="0.25">
      <c r="A3" s="8">
        <v>45433</v>
      </c>
      <c r="B3" s="5" t="s">
        <v>29</v>
      </c>
      <c r="C3" s="5" t="s">
        <v>14</v>
      </c>
      <c r="D3" s="5">
        <v>10000</v>
      </c>
      <c r="E3" s="9">
        <v>47</v>
      </c>
      <c r="F3" s="9">
        <f>$M$1</f>
        <v>32.5</v>
      </c>
      <c r="G3" s="10">
        <f>(F3-E3)*D3*0.9</f>
        <v>-130500</v>
      </c>
      <c r="H3" s="21">
        <f>H2+G3</f>
        <v>-130500</v>
      </c>
      <c r="I3">
        <f>I2+D3</f>
        <v>0</v>
      </c>
      <c r="J3" s="1" t="e">
        <f>SUMPRODUCT(D$2:D3,E$2:E3)/SUM(D$2:D3)</f>
        <v>#DIV/0!</v>
      </c>
    </row>
    <row r="4" spans="1:13" x14ac:dyDescent="0.25">
      <c r="A4" s="8">
        <v>45435</v>
      </c>
      <c r="B4" s="5" t="s">
        <v>29</v>
      </c>
      <c r="C4" s="5" t="s">
        <v>13</v>
      </c>
      <c r="D4" s="5">
        <v>-10000</v>
      </c>
      <c r="E4" s="9">
        <v>46</v>
      </c>
      <c r="F4" s="9">
        <f>$M$1</f>
        <v>32.5</v>
      </c>
      <c r="G4" s="10">
        <f>(F4-E4)*D4*0.9</f>
        <v>121500</v>
      </c>
      <c r="H4" s="21">
        <f>H3+G4</f>
        <v>-9000</v>
      </c>
      <c r="I4">
        <f>I3+D4</f>
        <v>-10000</v>
      </c>
      <c r="J4" s="1">
        <f>SUMPRODUCT(D$2:D4,E$2:E4)/SUM(D$2:D4)</f>
        <v>32</v>
      </c>
    </row>
  </sheetData>
  <conditionalFormatting sqref="G2:H4">
    <cfRule type="cellIs" dxfId="1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</vt:lpstr>
      <vt:lpstr>UK</vt:lpstr>
      <vt:lpstr>CCA</vt:lpstr>
      <vt:lpstr>RGGI</vt:lpstr>
      <vt:lpstr>NZU</vt:lpstr>
      <vt:lpstr>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2024-05-21T04:18:49Z</dcterms:created>
  <dcterms:modified xsi:type="dcterms:W3CDTF">2024-06-03T04:59:55Z</dcterms:modified>
</cp:coreProperties>
</file>