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Responses" sheetId="1" r:id="rId4"/>
    <sheet state="visible" name="Responses_pivo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<sst xmlns="http://schemas.openxmlformats.org/spreadsheetml/2006/main" count="2509" uniqueCount="488">
  <si>
    <t xml:space="preserve"> </t>
  </si>
  <si>
    <t>Clusters</t>
  </si>
  <si>
    <t>Streets</t>
  </si>
  <si>
    <t>Timestamp</t>
  </si>
  <si>
    <t>Please Select Your Team</t>
  </si>
  <si>
    <t>Installation Points</t>
  </si>
  <si>
    <t>Sadiq Dala</t>
  </si>
  <si>
    <t>ASMA'U LINK</t>
  </si>
  <si>
    <t>Point 2</t>
  </si>
  <si>
    <t>DARMANAWA ROAD</t>
  </si>
  <si>
    <t>Point 1</t>
  </si>
  <si>
    <t>ADAKAWA LINK</t>
  </si>
  <si>
    <t>BARDE STREET</t>
  </si>
  <si>
    <t>YAKUBU UMAR STREET</t>
  </si>
  <si>
    <t>A D TITIMA STREET</t>
  </si>
  <si>
    <t>MUHAMMAD SHESHE STREET</t>
  </si>
  <si>
    <t>LAYIN LAJAWA ROAD</t>
  </si>
  <si>
    <t>UMARU BABURA LINK</t>
  </si>
  <si>
    <t>GARBA YAKASAI LINK</t>
  </si>
  <si>
    <t>LARABA ROAD</t>
  </si>
  <si>
    <t>JIGAWA ROAD</t>
  </si>
  <si>
    <t>DARMA LINK</t>
  </si>
  <si>
    <t>ABUBAKAR TSAV STREET</t>
  </si>
  <si>
    <t>BUNA ROAD</t>
  </si>
  <si>
    <t>BAYAN GANDU ROAD</t>
  </si>
  <si>
    <t>COURT ROAD</t>
  </si>
  <si>
    <t>JUSTICE DAHIRU MUSTAPHA ROAD</t>
  </si>
  <si>
    <t>GALADIMA STREET</t>
  </si>
  <si>
    <t>SERVICE STREET</t>
  </si>
  <si>
    <t>SAGIR W.MAI IYALI STREET</t>
  </si>
  <si>
    <t>Umar Dalhatu</t>
  </si>
  <si>
    <t>HAUSAWA MODEL PRIMARY SCHOOL ROAD</t>
  </si>
  <si>
    <t>NEW ROAD</t>
  </si>
  <si>
    <t>Abdullahi Elhabeeb</t>
  </si>
  <si>
    <t>10TH STREET</t>
  </si>
  <si>
    <t>12TH STREET</t>
  </si>
  <si>
    <t>TUKUR LINK</t>
  </si>
  <si>
    <t>DUTSE ROAD</t>
  </si>
  <si>
    <t>RESEARCH LANE</t>
  </si>
  <si>
    <t>NORTHWEST UNIVERSITY ROAD</t>
  </si>
  <si>
    <t>SALEH RIMIN GADO STREET</t>
  </si>
  <si>
    <t>BUK ROAD</t>
  </si>
  <si>
    <t>Umar Farouk</t>
  </si>
  <si>
    <t>RACE COURSE ROAD</t>
  </si>
  <si>
    <t>GEN T. Y. DANJUMA</t>
  </si>
  <si>
    <t>LARABA ABASAWA ROAD</t>
  </si>
  <si>
    <t>ZARIA ROAD</t>
  </si>
  <si>
    <t>HOSPITAL LINK</t>
  </si>
  <si>
    <t>GIGINYU BARRACKS ROADHOSPITAL LINK</t>
  </si>
  <si>
    <t>GIGINYU BARRACKS ROAD18TH STREET</t>
  </si>
  <si>
    <t>YAKUBU SULEIMAN LINK18TH STREET</t>
  </si>
  <si>
    <t>YAKUBU SULEIMAN LINKTUKURA AVENUE</t>
  </si>
  <si>
    <t>TUKURA AVENUE</t>
  </si>
  <si>
    <t>RIBADU ROAD</t>
  </si>
  <si>
    <t>ATIKU ABUBAKAR ROAD</t>
  </si>
  <si>
    <t>MAI UNGUWA TELA STREET</t>
  </si>
  <si>
    <t>MAI UNGUWA STREET</t>
  </si>
  <si>
    <t>WESTERN BYPASS</t>
  </si>
  <si>
    <t>DANJUMA ALI GARKO LINE</t>
  </si>
  <si>
    <t>UNGUWA UKU ROAD</t>
  </si>
  <si>
    <t>Sadiq Ilu</t>
  </si>
  <si>
    <t>GASHASH CLOSE</t>
  </si>
  <si>
    <t>GIDAN GIWA STREET</t>
  </si>
  <si>
    <t>DR M SHABA STREET</t>
  </si>
  <si>
    <t>GIGINYU BARRACKS ROAD</t>
  </si>
  <si>
    <t>YAKUBU SULEIMAN LINK</t>
  </si>
  <si>
    <t>BAKWA AVENUE</t>
  </si>
  <si>
    <t>HASSAN GWARZO STREET</t>
  </si>
  <si>
    <t>MAI HULA STREET</t>
  </si>
  <si>
    <t>ALHAJI BALA STREET</t>
  </si>
  <si>
    <t>UMAR TURAWA STREET</t>
  </si>
  <si>
    <t>TUDUN MALIKI ROAD</t>
  </si>
  <si>
    <t>SULE GAYA ROAD</t>
  </si>
  <si>
    <t>NASIRU KABARA STREET</t>
  </si>
  <si>
    <t>AUTAN BAWO STREET</t>
  </si>
  <si>
    <t>MAIRUWA STREET</t>
  </si>
  <si>
    <t>DORAWA ROAD</t>
  </si>
  <si>
    <t>KARAI CLOSE</t>
  </si>
  <si>
    <t>MADU BAKTAMA STREET</t>
  </si>
  <si>
    <t>SHEIKH TIJJANI KALARAWI STREET</t>
  </si>
  <si>
    <t>FARM CENTER ROAD</t>
  </si>
  <si>
    <t>ALI YAKASAI STREET</t>
  </si>
  <si>
    <t>DURBIN KATSINA ROAD</t>
  </si>
  <si>
    <t>TSAUNA CLOSE</t>
  </si>
  <si>
    <t>YUSUF ROAD</t>
  </si>
  <si>
    <t>YAKUBU BAKO CLOSE</t>
  </si>
  <si>
    <t>MUHAMMED NASIR MUKTAR CLOSE</t>
  </si>
  <si>
    <t>DABO MOHAMMED CLOSE</t>
  </si>
  <si>
    <t>GIMBA UMAR CLOSE</t>
  </si>
  <si>
    <t>ABBAS LINK</t>
  </si>
  <si>
    <t>KWAIRANGA ROAD</t>
  </si>
  <si>
    <t>MAL UZAIRU STREET</t>
  </si>
  <si>
    <t>STATE ROAD</t>
  </si>
  <si>
    <t>ALIYU MODDIBO STREET</t>
  </si>
  <si>
    <t>LAYIN MASALLACI STREET</t>
  </si>
  <si>
    <t>LAYIN FARIN GIDA STREET</t>
  </si>
  <si>
    <t>LAWAN ADAMU CLOSE</t>
  </si>
  <si>
    <t>GARKO CRESCENT</t>
  </si>
  <si>
    <t>USMAN YARHIYA LINK</t>
  </si>
  <si>
    <t>OLD COURT ROAD</t>
  </si>
  <si>
    <t>YOLA STREET</t>
  </si>
  <si>
    <t>ABARABA STREET</t>
  </si>
  <si>
    <t>SANI ABACHA WAY</t>
  </si>
  <si>
    <t>LAMIDO ROAD</t>
  </si>
  <si>
    <t>MUHAMMED ALI ROAD</t>
  </si>
  <si>
    <t>AVM. MUKHTAR MUHAMMAD CLOSE</t>
  </si>
  <si>
    <t>BELLO DAN DAGO ROAD</t>
  </si>
  <si>
    <t>HAJIYA SA'A STREET</t>
  </si>
  <si>
    <t>ABBALE STREET</t>
  </si>
  <si>
    <t>ABDULLAHI WASE ROAD</t>
  </si>
  <si>
    <t>ABBA GANA STREET</t>
  </si>
  <si>
    <t>TANKO YAKASAI STREET</t>
  </si>
  <si>
    <t>KABO AVENUE</t>
  </si>
  <si>
    <t>MAIDABINO AVENUE</t>
  </si>
  <si>
    <t>LAYIN MAKABARTA ROAD</t>
  </si>
  <si>
    <t>FAROUK RABIU ROAD</t>
  </si>
  <si>
    <t>MAL. KHIDIR BASHIR STREET</t>
  </si>
  <si>
    <t>YAKUBU BOKOTI STREET</t>
  </si>
  <si>
    <t>MAL ADAM STREET</t>
  </si>
  <si>
    <t>YAR AKWA LAYIN CEMENT STREET</t>
  </si>
  <si>
    <t>MOHAMMED MOHAMMED AVENUE</t>
  </si>
  <si>
    <t>USMANIYYA LINK</t>
  </si>
  <si>
    <t>SABO BAKIN ZUWO ROAD</t>
  </si>
  <si>
    <t>A.M. PANDA STREET</t>
  </si>
  <si>
    <t>AMINU DANWAWU STREET</t>
  </si>
  <si>
    <t>AMINU MODI STREET</t>
  </si>
  <si>
    <t>LARABA CLOSE</t>
  </si>
  <si>
    <t>UNITY COMPREHENSIVE STREET</t>
  </si>
  <si>
    <t>NASIR WANZAN STREETUMAR GALADIMA ROAD</t>
  </si>
  <si>
    <t>NASIR WANZAN STREETASMA'U LINK</t>
  </si>
  <si>
    <t>RABI'U SULAIMAN CLOSEDAN WUDIL LINK</t>
  </si>
  <si>
    <t>BABBAN LAYI ROADADAKAWA LINK</t>
  </si>
  <si>
    <t>ISUHU ROBA STREETAHAD CRESCENT</t>
  </si>
  <si>
    <t>ISUHU ROBA STREETYOLAWA LINK</t>
  </si>
  <si>
    <t>ABBAS MAI WANKI STREETYOLAWA LINK</t>
  </si>
  <si>
    <t>ABBAS MAI WANKI STREETKABO LINK</t>
  </si>
  <si>
    <t>BALA SHOE SHINER STREETKABO LINK</t>
  </si>
  <si>
    <t>BALA SHOE SHINER STREETZUBAIRU INUWA LINK</t>
  </si>
  <si>
    <t>DAN MADARI STREETZUBAIRU INUWA LINK</t>
  </si>
  <si>
    <t>DAN MADARI STREETWRECCA ROAD</t>
  </si>
  <si>
    <t>GIDAN GERO STREETWRECCA ROAD</t>
  </si>
  <si>
    <t>GIDAN GERO STREETMALAM BUHARI LINK</t>
  </si>
  <si>
    <t>SANI GWARZO STREETMALAM BUHARI LINK</t>
  </si>
  <si>
    <t>SANI GWARZO STREETBABAN KWARI ROAD</t>
  </si>
  <si>
    <t>MAI GATARI STREETBABAN KWARI ROAD</t>
  </si>
  <si>
    <t>MAI GATARI STREET</t>
  </si>
  <si>
    <t>BARRISTER ISA BELLO STREET</t>
  </si>
  <si>
    <t>B Z TAGWAI STREET</t>
  </si>
  <si>
    <t>SANI SHUAIBU STREET</t>
  </si>
  <si>
    <t>MUSA KALLA STREET</t>
  </si>
  <si>
    <t>UMAR GALADIMA ROAD</t>
  </si>
  <si>
    <t>DAN WUDIL LINK</t>
  </si>
  <si>
    <t>AHAD CRESCENT</t>
  </si>
  <si>
    <t>YOLAWA LINK</t>
  </si>
  <si>
    <t>KABO LINK</t>
  </si>
  <si>
    <t>ZUBAIRU INUWA LINK</t>
  </si>
  <si>
    <t>WRECCA ROAD</t>
  </si>
  <si>
    <t>MALAM BUHARI LINK</t>
  </si>
  <si>
    <t>BABAN KWARI ROAD</t>
  </si>
  <si>
    <t>MAIDUGURI ROAD</t>
  </si>
  <si>
    <t>JAKADAN GARKO STREET</t>
  </si>
  <si>
    <t>IBRAHIM EL-TAYYIB CLOSE</t>
  </si>
  <si>
    <t>I. MA SAMA CLOSE</t>
  </si>
  <si>
    <t>DAR-ES SALAM STREET</t>
  </si>
  <si>
    <t>S/FEGI STREET</t>
  </si>
  <si>
    <t>LAYIN MAI GIGINYU STREET</t>
  </si>
  <si>
    <t>YAKUBU AHMED AVENUE</t>
  </si>
  <si>
    <t>HAFSAT AVENUE</t>
  </si>
  <si>
    <t>CBN QUARTERS ROAD</t>
  </si>
  <si>
    <t>AUDU BAKO WAY</t>
  </si>
  <si>
    <t>SHUAIBU MAI-GORO STREET</t>
  </si>
  <si>
    <t>MUSA GWADABE STREET</t>
  </si>
  <si>
    <t>ALFA WALI STREET</t>
  </si>
  <si>
    <t>AMANALLAH STREET</t>
  </si>
  <si>
    <t>PRESS ROAD</t>
  </si>
  <si>
    <t>GUDA ABDULLAHI ROAD</t>
  </si>
  <si>
    <t>PRESIDENT AVENUE</t>
  </si>
  <si>
    <t>COURT HOUSE CLOSE</t>
  </si>
  <si>
    <t>EYE HOSPITAL ROAD</t>
  </si>
  <si>
    <t>DANBATTA WAY</t>
  </si>
  <si>
    <t>ADUA ROAD</t>
  </si>
  <si>
    <t>TUDUNWADA D ROAD</t>
  </si>
  <si>
    <t>HADEJIA ROAD</t>
  </si>
  <si>
    <t>MUSA KAUGAMA STREET</t>
  </si>
  <si>
    <t>TRANSFORMER WAY</t>
  </si>
  <si>
    <t>AGWAGWA STREET</t>
  </si>
  <si>
    <t>DABINO AVENUE</t>
  </si>
  <si>
    <t>GYADI - GYADI PRIMARY SCHOOL ROAD</t>
  </si>
  <si>
    <t>BALA MAMSA STREET</t>
  </si>
  <si>
    <t>ABDULLAHI KIRKI STREET</t>
  </si>
  <si>
    <t>ADAMU DAN KABO CLOSE</t>
  </si>
  <si>
    <t>BICHI CLOSE</t>
  </si>
  <si>
    <t>COMMANDANT CLOSE</t>
  </si>
  <si>
    <t>MYONGU ROAD</t>
  </si>
  <si>
    <t>YUSUF MAITAMA SULE AVENUE</t>
  </si>
  <si>
    <t>LAYIN GWAN GWAN STREET</t>
  </si>
  <si>
    <t>LAUTAI ROAD</t>
  </si>
  <si>
    <t>YAUTAI LINK</t>
  </si>
  <si>
    <t>MALAMI STREET</t>
  </si>
  <si>
    <t>BAGUDU STREET</t>
  </si>
  <si>
    <t>SARKIN KASUWA STREET</t>
  </si>
  <si>
    <t>MURTALA MOHAMMED WAY</t>
  </si>
  <si>
    <t>LAGOS STREET</t>
  </si>
  <si>
    <t>SANI UNGOGGO ROAD</t>
  </si>
  <si>
    <t>AHMADU BELLO WAY</t>
  </si>
  <si>
    <t>DUNI STREET</t>
  </si>
  <si>
    <t>GARKI ROAD</t>
  </si>
  <si>
    <t>UNITY ROAD</t>
  </si>
  <si>
    <t>ABDULLAHI BAYERO ROAD</t>
  </si>
  <si>
    <t>IBRAHIM DABO ROAD</t>
  </si>
  <si>
    <t>BIDA ROAD</t>
  </si>
  <si>
    <t>AJASA YAN SIMINTI ROAD</t>
  </si>
  <si>
    <t>MATAN FADA ROAD</t>
  </si>
  <si>
    <t>LAMIDO CRESCENT</t>
  </si>
  <si>
    <t>MAGAJIN RUMFA ROAD</t>
  </si>
  <si>
    <t>DANBAZAU ROAD</t>
  </si>
  <si>
    <t>MAYU ROAD</t>
  </si>
  <si>
    <t>SOCIAL INSURANCE ROAD</t>
  </si>
  <si>
    <t>A ISMAIL ADAMU GANO STREET</t>
  </si>
  <si>
    <t>MUHAMMAD DANKABO AVENUE</t>
  </si>
  <si>
    <t>DAN KURA STREET</t>
  </si>
  <si>
    <t>ZOO ROAD</t>
  </si>
  <si>
    <t>SULE BATSARI AVENUE</t>
  </si>
  <si>
    <t>SULE DANBATTA STREET</t>
  </si>
  <si>
    <t>MUDI ALASAN ROAD</t>
  </si>
  <si>
    <t>IBB WAY</t>
  </si>
  <si>
    <t>ABADIE STREET</t>
  </si>
  <si>
    <t>SULE BOMPAI STREET</t>
  </si>
  <si>
    <t>UMARU BABURA ROAD</t>
  </si>
  <si>
    <t>RWAFF ROAD</t>
  </si>
  <si>
    <t>CHURCH ROAD</t>
  </si>
  <si>
    <t>HON. SIDI HAMID ALI STREET</t>
  </si>
  <si>
    <t>ADEOLA STREET</t>
  </si>
  <si>
    <t>JIBRIN ABDU STREET</t>
  </si>
  <si>
    <t>GARBA UBALE STREET</t>
  </si>
  <si>
    <t>LIMAN BASHIR STREET</t>
  </si>
  <si>
    <t>DR. G.N. HAMZA STREET</t>
  </si>
  <si>
    <t>DANWAWU STREET</t>
  </si>
  <si>
    <t>SANI TRADER STREET</t>
  </si>
  <si>
    <t>BARGERY ROAD</t>
  </si>
  <si>
    <t>ISAH WAZIRI ROAD</t>
  </si>
  <si>
    <t>KAWU MAI WANKI STREET</t>
  </si>
  <si>
    <t>BATAWA ROAD</t>
  </si>
  <si>
    <t>MAITAMA STREET</t>
  </si>
  <si>
    <t>SIR PETER OBEBI CLOSE</t>
  </si>
  <si>
    <t>ABDUL'AZIZ HARUNA STREET</t>
  </si>
  <si>
    <t>MUSTAPHA TELA STREET</t>
  </si>
  <si>
    <t>MUSTAPHA TELA STREETMUSA TUDUN WADA LINK</t>
  </si>
  <si>
    <t>NA'ANNABI AHMED STREETMUSA TUDUN WADA LINK</t>
  </si>
  <si>
    <t>NA'ANNABI AHMED STREETMADINA LINK</t>
  </si>
  <si>
    <t>DPO STREETMADINA LINK</t>
  </si>
  <si>
    <t>DPO STREETIBRAHIM GODI STREET</t>
  </si>
  <si>
    <t>HANGA AVENUEIBRAHIM GODI STREET</t>
  </si>
  <si>
    <t>HANGA AVENUEMALAM BUHARI LINK</t>
  </si>
  <si>
    <t>DAN GAYA STREET</t>
  </si>
  <si>
    <t>M.J. LAWAL STREET</t>
  </si>
  <si>
    <t>ABDULRAHMAN ABUBAKAR LINK</t>
  </si>
  <si>
    <t>UMAR MADAHAJI STREET</t>
  </si>
  <si>
    <t>GIRGIRI LAWAN LINK</t>
  </si>
  <si>
    <t>AMINU BABANDI STREET</t>
  </si>
  <si>
    <t>IBRAHIM HARUNA CLOSE</t>
  </si>
  <si>
    <t>BBY LINK</t>
  </si>
  <si>
    <t>NAZIRU SARKIN WAKA STREET</t>
  </si>
  <si>
    <t>MUSA TUDUN WADA LINK</t>
  </si>
  <si>
    <t>MADINA LINK</t>
  </si>
  <si>
    <t>IBRAHIM GODI STREET</t>
  </si>
  <si>
    <t>ADAMU BAKER STREET</t>
  </si>
  <si>
    <t>HALLIRU ROAD</t>
  </si>
  <si>
    <t>MOHAMMED VICE ADAMU ROAD</t>
  </si>
  <si>
    <t>HOTORO AVENUE</t>
  </si>
  <si>
    <t>LAYIN ALARAMONA STREET</t>
  </si>
  <si>
    <t>IBRAHIM KALA ROAD</t>
  </si>
  <si>
    <t>WADA ALIYU ROAD</t>
  </si>
  <si>
    <t>IBRAHIM JOBE CRESCENT</t>
  </si>
  <si>
    <t>GASHASH ROAD</t>
  </si>
  <si>
    <t>YALWAN DANZIAL LINK</t>
  </si>
  <si>
    <t>ABBA HABIB LINKADAMU JOJI ROAD</t>
  </si>
  <si>
    <t>MUSA Y MAI KIFI AVENUEADAMU JOJI ROAD</t>
  </si>
  <si>
    <t>MUSA Y MAI KIFI AVENUEJABBO ROAD</t>
  </si>
  <si>
    <t>IDRIS UMAR ROADJABBO ROAD</t>
  </si>
  <si>
    <t>IDRIS UMAR ROADSARDAUNA HABIB AVENUE</t>
  </si>
  <si>
    <t>UMAR SANUSI STREETSARDAUNA HABIB AVENUE</t>
  </si>
  <si>
    <t>UMAR SANUSI STREETSULTAN ROAD</t>
  </si>
  <si>
    <t>BABURA ROADIBRAHIM GODI STREET</t>
  </si>
  <si>
    <t>LUGARD AVENUEDAUDA BIRMA STREET</t>
  </si>
  <si>
    <t>YANDUTSE ROADMADUGU LINK</t>
  </si>
  <si>
    <t>YANDUTSE ROADLARABA ROAD</t>
  </si>
  <si>
    <t>IYAKA ROADLAMIDO TERRACE</t>
  </si>
  <si>
    <t>BORNO AVENUELAMIDO TERRACE</t>
  </si>
  <si>
    <t>BORNO AVENUESARDAUNA CRESCENT</t>
  </si>
  <si>
    <t>KASHIM IBRAHIM WAYSARDAUNA CRESCENT</t>
  </si>
  <si>
    <t>BELLO KANO STREETBELLO ADOKE CLOSE</t>
  </si>
  <si>
    <t>COMMISSIONER ROADSURAJO MARSHAL LINK</t>
  </si>
  <si>
    <t>DAN HAUSA ROADSALIHU ZAWA'I UBA AVENUE</t>
  </si>
  <si>
    <t>DR BALA MUHAMMAD ROADSURAJO MARSHAL LINK</t>
  </si>
  <si>
    <t>DR BALA MUHAMMAD ROAD</t>
  </si>
  <si>
    <t>ADAMU JOJI ROAD</t>
  </si>
  <si>
    <t>JABBO ROAD</t>
  </si>
  <si>
    <t>SARDAUNA HABIB AVENUE</t>
  </si>
  <si>
    <t>SULTAN ROAD</t>
  </si>
  <si>
    <t>DAUDA BIRMA STREET</t>
  </si>
  <si>
    <t>MADUGU LINK</t>
  </si>
  <si>
    <t>LAMIDO TERRACE</t>
  </si>
  <si>
    <t>SARDAUNA CRESCENT</t>
  </si>
  <si>
    <t>BELLO ADOKE CLOSE</t>
  </si>
  <si>
    <t>SURAJO MARSHAL LINK</t>
  </si>
  <si>
    <t>SALIHU ZAWA'I UBA AVENUE</t>
  </si>
  <si>
    <t>ALI UNGUWAR GANO STREET</t>
  </si>
  <si>
    <t>ALMAGHILI STREET</t>
  </si>
  <si>
    <t>R KABIRU STREET</t>
  </si>
  <si>
    <t>SANIN GIWA STREET</t>
  </si>
  <si>
    <t>FESTING ROAD</t>
  </si>
  <si>
    <t>KABBA STREET</t>
  </si>
  <si>
    <t>YOLAWA ROAD</t>
  </si>
  <si>
    <t>MURTALA MUHAMMED WAY</t>
  </si>
  <si>
    <t>BROTHER STREET</t>
  </si>
  <si>
    <t>BOMPAI ROAD</t>
  </si>
  <si>
    <t>KAZAURE ROAD</t>
  </si>
  <si>
    <t>NIGER STREET</t>
  </si>
  <si>
    <t>BELLO ROAD</t>
  </si>
  <si>
    <t>IGBO ROAD</t>
  </si>
  <si>
    <t>YORUBA ROAD</t>
  </si>
  <si>
    <t>AITKEN ROAD</t>
  </si>
  <si>
    <t>ABEOKUTA ROAD</t>
  </si>
  <si>
    <t>ENUGU ROAD</t>
  </si>
  <si>
    <t>MILLER ROAD</t>
  </si>
  <si>
    <t>MISSION ROAD</t>
  </si>
  <si>
    <t>SANUSI STREET</t>
  </si>
  <si>
    <t>MAHOGANY STREET</t>
  </si>
  <si>
    <t>BALLAT HUGHES AVENUE</t>
  </si>
  <si>
    <t>WARRI ROAD</t>
  </si>
  <si>
    <t>SULAIMAN CRESCENT</t>
  </si>
  <si>
    <t>KORAU ROAD</t>
  </si>
  <si>
    <t>LAYIN MADORA STREET</t>
  </si>
  <si>
    <t>AIRPORT ROAD</t>
  </si>
  <si>
    <t>EGBE ROAD</t>
  </si>
  <si>
    <t>ODUTOLA STREET</t>
  </si>
  <si>
    <t>FEDERAL SECRETARIAT ROAD</t>
  </si>
  <si>
    <t>HAJJ CAMP ROAD</t>
  </si>
  <si>
    <t>NGURU AVENUE</t>
  </si>
  <si>
    <t>MUSA FAGGE LINK</t>
  </si>
  <si>
    <t>KURA ROAD</t>
  </si>
  <si>
    <t>SOKOTO ROAD</t>
  </si>
  <si>
    <t>MUHAMMED BELLO COUNCILLOR STREET</t>
  </si>
  <si>
    <t>ISAH KAITA ROAD</t>
  </si>
  <si>
    <t>MAL. HUSSAINI STREET</t>
  </si>
  <si>
    <t>OLUSEGUN OBASANJO WAY</t>
  </si>
  <si>
    <t>GIDADO MUKHTAR LINK</t>
  </si>
  <si>
    <t>SABARA AVENUE</t>
  </si>
  <si>
    <t>MA'AJIN WATARI STREET</t>
  </si>
  <si>
    <t>KWANAR MAGGI STREET</t>
  </si>
  <si>
    <t>BASHIR SULE MAITAMA AVENUE</t>
  </si>
  <si>
    <t>BABA IMPOSSIBLE STREET</t>
  </si>
  <si>
    <t>MUH'D FAITH KARUBE STREET</t>
  </si>
  <si>
    <t>AMB. BUBA AHMED STREET</t>
  </si>
  <si>
    <t>MAIMUNA LINK</t>
  </si>
  <si>
    <t>NASIRU SAMINU LINK</t>
  </si>
  <si>
    <t>ENGR. GAMBO ABUBAKAR STREET</t>
  </si>
  <si>
    <t>NATIONAL AVENUE</t>
  </si>
  <si>
    <t>ALI ALI MUHAMMAD LINK</t>
  </si>
  <si>
    <t>DR. ALI IDI LINK</t>
  </si>
  <si>
    <t>RENNER STREET</t>
  </si>
  <si>
    <t>ADNAN BABAYOLA LINK</t>
  </si>
  <si>
    <t>NASIRU ALI YAKASAI STREET</t>
  </si>
  <si>
    <t>GIDAN KARA LINK</t>
  </si>
  <si>
    <t>MALAM MADORI STREET</t>
  </si>
  <si>
    <t>SANI IDI DAN FULANI STREET</t>
  </si>
  <si>
    <t>HAMZA ABDULLAHI ROAD</t>
  </si>
  <si>
    <t>SABBABU STREET</t>
  </si>
  <si>
    <t>SANI LAWAN STREET</t>
  </si>
  <si>
    <t>GIDADO ROAD</t>
  </si>
  <si>
    <t>JIBRIL WUDIL STREET</t>
  </si>
  <si>
    <t>TUKUR ROAD</t>
  </si>
  <si>
    <t>AHMED DAKU ROAD</t>
  </si>
  <si>
    <t>SEN. ISA KACHAKO ROAD</t>
  </si>
  <si>
    <t>ADO GWARAM ROAD</t>
  </si>
  <si>
    <t>AHMED YEKEDIMA ROAD</t>
  </si>
  <si>
    <t>NUHU ALPA ROAD</t>
  </si>
  <si>
    <t>SANI YARO STREET</t>
  </si>
  <si>
    <t>WASHIR HOSPITAL ROAD</t>
  </si>
  <si>
    <t>SANI GARBA STREET</t>
  </si>
  <si>
    <t>KURA MUHAMMED STREET</t>
  </si>
  <si>
    <t>YANKABA COURT ROAD</t>
  </si>
  <si>
    <t>ALH BATURE ABDULAZIZ STREET</t>
  </si>
  <si>
    <t>YANKABA STREET</t>
  </si>
  <si>
    <t>MUAZU HAMZA STREET</t>
  </si>
  <si>
    <t>ROYAL STREET</t>
  </si>
  <si>
    <t>SHEHU NA ALLAH STREET</t>
  </si>
  <si>
    <t>UMAR KAWAJI STREET</t>
  </si>
  <si>
    <t>SAMADI STREET</t>
  </si>
  <si>
    <t>KANYA STREET</t>
  </si>
  <si>
    <t>UMAR DAN AZUMI STREET</t>
  </si>
  <si>
    <t>SA'AD TANKO STREET</t>
  </si>
  <si>
    <t>AHMAD ASHAKA STREET</t>
  </si>
  <si>
    <t>FAGWALAWA LINK</t>
  </si>
  <si>
    <t>BARAU DANBATTA ROAD</t>
  </si>
  <si>
    <t>KALU STREET</t>
  </si>
  <si>
    <t>BARAU DANBATTA LINK</t>
  </si>
  <si>
    <t>ZANNAN ALBASU STREET</t>
  </si>
  <si>
    <t>ALI ZANGO STREET</t>
  </si>
  <si>
    <t>YUSUF ABDULLAHI STREET</t>
  </si>
  <si>
    <t>YUSUF KWARI LINK</t>
  </si>
  <si>
    <t>FREETOWN STREET</t>
  </si>
  <si>
    <t>SARKIN YAKI STREET</t>
  </si>
  <si>
    <t>WHETHERHEAD STREET</t>
  </si>
  <si>
    <t>ZUNGERU ROAD</t>
  </si>
  <si>
    <t>CEASER AVENUE</t>
  </si>
  <si>
    <t>VAN GEORGE CLOSE</t>
  </si>
  <si>
    <t>ZAKARI SADIQ LINK</t>
  </si>
  <si>
    <t>IBRAHIM ZUBAIRU STREET</t>
  </si>
  <si>
    <t>FOUNDATION ROAD</t>
  </si>
  <si>
    <t>MAL. BILYA STREET</t>
  </si>
  <si>
    <t>ADO JA'AFAR STREET</t>
  </si>
  <si>
    <t>TARAUNI MARKET ROAD</t>
  </si>
  <si>
    <t>MUSTAPHA TELA CLOSE</t>
  </si>
  <si>
    <t>IZZUDDEEN ABUBAKAR LINK</t>
  </si>
  <si>
    <t>BICHI LINK</t>
  </si>
  <si>
    <t>SALIHU GALEEL STREET</t>
  </si>
  <si>
    <t>IBRAHIM UMAR STREET</t>
  </si>
  <si>
    <t>BAWO ROAD</t>
  </si>
  <si>
    <t>19TH LINK</t>
  </si>
  <si>
    <t>LAWAN NA'ALLAH STREET</t>
  </si>
  <si>
    <t>IBRAHIM TAIWO ROAD</t>
  </si>
  <si>
    <t>ARAKAN ROAD</t>
  </si>
  <si>
    <t>TAMANDU CLOSE</t>
  </si>
  <si>
    <t>TAMANDU ROAD</t>
  </si>
  <si>
    <t>LAWAN ATANA ROAD</t>
  </si>
  <si>
    <t>STADIUM ROAD</t>
  </si>
  <si>
    <t>EMIR ROAD</t>
  </si>
  <si>
    <t>OBASANJO ROAD</t>
  </si>
  <si>
    <t>YUSUF KURFI STREET</t>
  </si>
  <si>
    <t>REVENUE ROAD</t>
  </si>
  <si>
    <t>ALWALI ROAD</t>
  </si>
  <si>
    <t>USMAN LIMAN ROAD</t>
  </si>
  <si>
    <t>CIVIC CENTRE ROAD</t>
  </si>
  <si>
    <t>INUWA WADA LANE</t>
  </si>
  <si>
    <t>AJASA ROAD</t>
  </si>
  <si>
    <t>TREE LANE</t>
  </si>
  <si>
    <t>IROKO AVENUE</t>
  </si>
  <si>
    <t>KING'S GARDEN ROAD</t>
  </si>
  <si>
    <t>IJEBU ROAD</t>
  </si>
  <si>
    <t>MIDDLE ROAD</t>
  </si>
  <si>
    <t>MAGANDA ROAD</t>
  </si>
  <si>
    <t>BANK ROAD</t>
  </si>
  <si>
    <t>SANI MARSHAL ROAD</t>
  </si>
  <si>
    <t>INDEPENDENCE ROAD</t>
  </si>
  <si>
    <t>ILARO ROAD</t>
  </si>
  <si>
    <t>FRANCE ROAD</t>
  </si>
  <si>
    <t>PARK ROAD</t>
  </si>
  <si>
    <t>GEN. BASHIR MAGASHI ROAD</t>
  </si>
  <si>
    <t>GARBA SHEHU STREET</t>
  </si>
  <si>
    <t>BASHIR DALHATU STREET</t>
  </si>
  <si>
    <t>KIYASHI AVENUE</t>
  </si>
  <si>
    <t>SHEHU KAZAURE STREET</t>
  </si>
  <si>
    <t>NURA TURAKI STREET</t>
  </si>
  <si>
    <t>KANKAROFI STREET</t>
  </si>
  <si>
    <t>BABA KOKI STREET</t>
  </si>
  <si>
    <t>NUPE ROAD</t>
  </si>
  <si>
    <t>LAYIN MAI KOSAI ROAD</t>
  </si>
  <si>
    <t>INUWA DUTSE STREET</t>
  </si>
  <si>
    <t>KARKASARA WAY</t>
  </si>
  <si>
    <t>TAHIR ROAD</t>
  </si>
  <si>
    <t>ALU AVENUE</t>
  </si>
  <si>
    <t>LAFIA ROAD</t>
  </si>
  <si>
    <t>LODGE ROAD</t>
  </si>
  <si>
    <t>SHADAI CLOSE</t>
  </si>
  <si>
    <t>MEDICAL AVENUE</t>
  </si>
  <si>
    <t>NEW HOSPITAL ROAD</t>
  </si>
  <si>
    <t>POLICE WALK WAY</t>
  </si>
  <si>
    <t>BADAWA LAYOUT ROAD</t>
  </si>
  <si>
    <t>KAWO MAIGARI ROAD</t>
  </si>
  <si>
    <t>SALISU MAI BOREHOLE STREET</t>
  </si>
  <si>
    <t>HABIBA YAHAYA LINK</t>
  </si>
  <si>
    <t>YABUKU ABDUL PAIKO LINK</t>
  </si>
  <si>
    <t>A MAI GORO SAGAGI LINK</t>
  </si>
  <si>
    <t>DR ABDU GREMA LINK</t>
  </si>
  <si>
    <t>HOTORO TINSHAMA ROADADAKAWA LINK</t>
  </si>
  <si>
    <t>HOTORO TINSHAMA ROAD</t>
  </si>
  <si>
    <t>HIGH TENSION LINE</t>
  </si>
  <si>
    <t>HIGH TENSION LINEASMA'U LINK</t>
  </si>
  <si>
    <t>AYUBA MAI MAI STREET</t>
  </si>
  <si>
    <t>KWANYAWA STREET</t>
  </si>
  <si>
    <t>AUDU SAYE STREET</t>
  </si>
  <si>
    <t>AUYO STREET</t>
  </si>
  <si>
    <t>GARBA KAZAURE STREET</t>
  </si>
  <si>
    <t>UMAR IDRIS ILLO STREET</t>
  </si>
  <si>
    <t>B.A ABDULLAHI LINK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</si>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</sst>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M1000" sheet="Copy of Responses"/>
  </cacheSource>
  <cacheFields>
    <cacheField name="Timestamp" numFmtId="164">
      <sharedItems containsDate="1" containsString="0" containsBlank="1">
        <d v="2025-08-17T23:09:07Z"/>
        <d v="2025-08-17T23:03:31Z"/>
        <d v="2025-08-17T22:58:28Z"/>
        <d v="2025-08-17T22:54:51Z"/>
        <d v="2025-08-17T22:50:25Z"/>
        <d v="2025-08-17T22:47:49Z"/>
        <d v="2025-08-17T22:43:26Z"/>
        <d v="2025-08-17T22:39:10Z"/>
        <d v="2025-08-17T21:00:37Z"/>
        <d v="2025-08-17T20:51:07Z"/>
        <d v="2025-08-17T20:44:10Z"/>
        <d v="2025-08-17T20:32:47Z"/>
        <d v="2025-08-17T20:29:28Z"/>
        <d v="2025-08-17T20:25:25Z"/>
        <d v="2025-08-17T12:50:16Z"/>
        <d v="2025-08-17T12:47:14Z"/>
        <d v="2025-08-16T17:38:57Z"/>
        <d v="2025-08-16T12:48:26Z"/>
        <d v="2025-08-16T12:43:28Z"/>
        <d v="2025-08-16T12:40:48Z"/>
        <d v="2025-08-16T12:39:03Z"/>
        <d v="2025-08-16T12:35:28Z"/>
        <d v="2025-08-13T09:34:30Z"/>
        <d v="2025-08-13T09:32:29Z"/>
        <d v="2025-08-13T09:30:31Z"/>
        <d v="2025-08-13T09:28:37Z"/>
        <d v="2025-08-13T09:24:13Z"/>
        <d v="2025-08-13T09:21:29Z"/>
        <d v="2025-08-13T09:18:25Z"/>
        <d v="2025-08-13T09:15:51Z"/>
        <d v="2025-08-13T09:13:08Z"/>
        <d v="2025-08-13T09:11:00Z"/>
        <d v="2025-08-13T09:08:38Z"/>
        <d v="2025-08-12T08:08:12Z"/>
        <d v="2025-08-11T23:43:22Z"/>
        <d v="2025-08-11T23:41:40Z"/>
        <d v="2025-08-11T23:25:58Z"/>
        <d v="2025-08-11T23:21:50Z"/>
        <d v="2025-08-11T23:19:57Z"/>
        <d v="2025-08-11T23:17:38Z"/>
        <d v="2025-08-11T23:15:50Z"/>
        <d v="2025-08-11T23:13:21Z"/>
        <d v="2025-08-11T23:11:27Z"/>
        <d v="2025-08-11T23:09:14Z"/>
        <d v="2025-08-11T23:07:29Z"/>
        <d v="2025-08-11T23:04:54Z"/>
        <d v="2025-08-11T23:02:59Z"/>
        <d v="2025-08-11T23:00:58Z"/>
        <d v="2025-08-11T22:58:00Z"/>
        <d v="2025-08-11T22:56:17Z"/>
        <d v="2025-08-11T22:53:53Z"/>
        <d v="2025-08-11T22:50:54Z"/>
        <d v="2025-08-11T22:49:38Z"/>
        <d v="2025-08-11T22:47:38Z"/>
        <d v="2025-08-11T22:45:35Z"/>
        <d v="2025-08-11T22:43:52Z"/>
        <d v="2025-08-11T22:42:05Z"/>
        <d v="2025-08-11T22:40:14Z"/>
        <d v="2025-08-11T22:37:13Z"/>
        <d v="2025-08-11T22:33:51Z"/>
        <d v="2025-08-11T22:28:06Z"/>
        <d v="2025-08-10T12:03:24Z"/>
        <d v="2025-08-10T12:02:08Z"/>
        <d v="2025-08-10T12:00:47Z"/>
        <d v="2025-08-10T11:00:26Z"/>
        <d v="2025-08-10T10:58:47Z"/>
        <d v="2025-08-10T10:56:17Z"/>
        <d v="2025-08-10T10:54:31Z"/>
        <d v="2025-08-10T10:52:31Z"/>
        <d v="2025-08-10T10:50:34Z"/>
        <d v="2025-08-10T10:48:03Z"/>
        <d v="2025-08-10T10:46:34Z"/>
        <d v="2025-08-10T10:44:52Z"/>
        <d v="2025-08-10T10:43:03Z"/>
        <d v="2025-08-09T22:51:46Z"/>
        <d v="2025-08-09T22:49:25Z"/>
        <d v="2025-08-09T22:44:54Z"/>
        <d v="2025-08-09T22:42:57Z"/>
        <d v="2025-08-09T22:40:59Z"/>
        <d v="2025-08-09T22:39:17Z"/>
        <d v="2025-08-09T22:37:16Z"/>
        <d v="2025-08-09T22:35:12Z"/>
        <d v="2025-08-09T21:26:16Z"/>
        <d v="2025-08-09T21:24:08Z"/>
        <d v="2025-08-09T21:12:04Z"/>
        <d v="2025-08-09T21:10:13Z"/>
        <d v="2025-08-09T21:08:11Z"/>
        <d v="2025-08-09T21:06:29Z"/>
        <d v="2025-08-09T21:04:38Z"/>
        <d v="2025-08-09T18:46:22Z"/>
        <d v="2025-08-09T18:44:00Z"/>
        <d v="2025-08-09T18:41:15Z"/>
        <d v="2025-08-09T18:38:59Z"/>
        <d v="2025-08-09T18:36:37Z"/>
        <d v="2025-08-09T18:33:19Z"/>
        <d v="2025-08-09T18:30:22Z"/>
        <d v="2025-08-09T15:27:14Z"/>
        <d v="2025-08-09T15:20:31Z"/>
        <d v="2025-08-09T15:15:36Z"/>
        <d v="2025-08-09T15:10:55Z"/>
        <d v="2025-08-09T15:03:54Z"/>
        <d v="2025-08-09T15:01:28Z"/>
        <d v="2025-08-09T14:59:05Z"/>
        <d v="2025-08-09T14:52:29Z"/>
        <d v="2025-08-09T14:50:52Z"/>
        <d v="2025-08-09T10:46:40Z"/>
        <d v="2025-08-09T10:40:50Z"/>
        <d v="2025-08-09T10:36:11Z"/>
        <d v="2025-08-09T10:25:04Z"/>
        <d v="2025-08-09T10:13:20Z"/>
        <d v="2025-08-09T10:09:46Z"/>
        <d v="2025-08-09T10:03:45Z"/>
        <d v="2025-08-09T10:01:44Z"/>
        <d v="2025-08-09T09:50:52Z"/>
        <d v="2025-08-09T09:47:10Z"/>
        <d v="2025-08-08T15:33:01Z"/>
        <d v="2025-08-08T15:31:09Z"/>
        <d v="2025-08-08T15:17:36Z"/>
        <d v="2025-08-08T15:09:41Z"/>
        <d v="2025-08-07T23:18:17Z"/>
        <d v="2025-08-07T23:13:49Z"/>
        <d v="2025-08-07T23:11:27Z"/>
        <d v="2025-08-07T23:09:21Z"/>
        <d v="2025-08-07T23:07:13Z"/>
        <d v="2025-08-07T23:03:57Z"/>
        <d v="2025-08-07T23:02:17Z"/>
        <d v="2025-08-07T23:00:38Z"/>
        <d v="2025-08-07T22:58:53Z"/>
        <d v="2025-08-07T22:56:49Z"/>
        <d v="2025-08-07T22:54:03Z"/>
        <d v="2025-08-07T22:51:51Z"/>
        <d v="2025-08-07T22:48:38Z"/>
        <d v="2025-08-07T22:47:01Z"/>
        <d v="2025-08-07T22:44:59Z"/>
        <d v="2025-08-07T22:21:52Z"/>
        <d v="2025-08-07T22:20:05Z"/>
        <d v="2025-08-07T22:13:46Z"/>
        <d v="2025-08-07T22:11:46Z"/>
        <d v="2025-08-07T22:09:39Z"/>
        <d v="2025-08-07T22:07:23Z"/>
        <d v="2025-08-07T22:05:43Z"/>
        <d v="2025-08-07T22:04:00Z"/>
        <d v="2025-08-07T17:12:06Z"/>
        <d v="2025-08-07T17:05:50Z"/>
        <d v="2025-08-07T16:04:33Z"/>
        <d v="2025-08-07T15:58:23Z"/>
        <d v="2025-08-07T15:53:52Z"/>
        <d v="2025-08-07T15:48:23Z"/>
        <d v="2025-08-06T21:34:38Z"/>
        <d v="2025-08-06T21:32:27Z"/>
        <d v="2025-08-06T21:30:17Z"/>
        <d v="2025-08-06T21:28:26Z"/>
        <d v="2025-08-06T21:25:33Z"/>
        <d v="2025-08-06T21:21:48Z"/>
        <d v="2025-08-06T21:19:34Z"/>
        <d v="2025-08-06T21:17:22Z"/>
        <d v="2025-08-06T21:15:33Z"/>
        <d v="2025-08-06T21:13:01Z"/>
        <d v="2025-08-06T21:11:03Z"/>
        <d v="2025-08-06T21:08:24Z"/>
        <d v="2025-08-06T21:06:18Z"/>
        <d v="2025-08-06T14:08:04Z"/>
        <d v="2025-08-06T13:39:03Z"/>
        <d v="2025-08-06T13:31:57Z"/>
        <d v="2025-08-06T13:30:04Z"/>
        <d v="2025-08-06T13:18:13Z"/>
        <d v="2025-08-05T16:01:29Z"/>
        <d v="2025-08-05T15:58:58Z"/>
        <d v="2025-08-05T15:56:41Z"/>
        <d v="2025-08-05T15:54:11Z"/>
        <d v="2025-08-05T15:49:49Z"/>
        <d v="2025-08-05T15:47:44Z"/>
        <d v="2025-08-05T15:45:21Z"/>
        <d v="2025-08-05T15:42:57Z"/>
        <d v="2025-08-05T15:36:31Z"/>
        <d v="2025-08-05T15:33:13Z"/>
        <d v="2025-08-05T15:30:32Z"/>
        <d v="2025-08-05T15:28:56Z"/>
        <d v="2025-08-05T15:12:18Z"/>
        <d v="2025-08-05T15:10:40Z"/>
        <d v="2025-08-05T15:06:49Z"/>
        <d v="2025-08-05T15:05:14Z"/>
        <d v="2025-08-05T15:01:08Z"/>
        <d v="2025-08-05T14:59:36Z"/>
        <d v="2025-08-05T14:55:50Z"/>
        <d v="2025-08-05T14:54:18Z"/>
        <d v="2025-08-05T14:44:16Z"/>
        <d v="2025-08-05T14:42:45Z"/>
        <d v="2025-08-05T14:16:55Z"/>
        <d v="2025-08-05T14:15:06Z"/>
        <d v="2025-08-05T14:12:18Z"/>
        <d v="2025-08-05T14:06:57Z"/>
        <d v="2025-08-05T14:04:21Z"/>
        <d v="2025-08-05T14:02:34Z"/>
        <d v="2025-08-05T14:00:07Z"/>
        <d v="2025-08-05T13:52:52Z"/>
        <d v="2025-08-05T12:57:11Z"/>
        <d v="2025-08-05T12:54:46Z"/>
        <d v="2025-08-05T12:52:09Z"/>
        <d v="2025-08-05T12:49:20Z"/>
        <d v="2025-08-05T12:47:10Z"/>
        <d v="2025-08-05T12:45:05Z"/>
        <d v="2025-08-05T12:43:19Z"/>
        <d v="2025-08-05T12:41:08Z"/>
        <d v="2025-08-05T12:38:42Z"/>
        <d v="2025-08-05T12:36:27Z"/>
        <d v="2025-08-05T12:34:26Z"/>
        <d v="2025-08-05T12:31:59Z"/>
        <d v="2025-08-05T12:25:53Z"/>
        <d v="2025-08-05T12:23:54Z"/>
        <d v="2025-08-05T12:21:44Z"/>
        <d v="2025-08-05T12:19:24Z"/>
        <d v="2025-08-05T11:58:42Z"/>
        <d v="2025-08-04T21:54:53Z"/>
        <d v="2025-08-04T21:52:24Z"/>
        <d v="2025-08-04T21:48:26Z"/>
        <d v="2025-08-04T21:47:03Z"/>
        <d v="2025-08-04T21:43:29Z"/>
        <d v="2025-08-04T21:42:04Z"/>
        <d v="2025-08-04T21:40:29Z"/>
        <d v="2025-08-04T21:39:15Z"/>
        <d v="2025-08-04T21:37:47Z"/>
        <d v="2025-08-04T21:36:24Z"/>
        <d v="2025-08-04T21:34:42Z"/>
        <d v="2025-08-04T21:32:27Z"/>
        <d v="2025-08-04T21:31:02Z"/>
        <d v="2025-08-04T21:29:49Z"/>
        <d v="2025-08-04T15:04:03Z"/>
        <d v="2025-08-04T14:32:27Z"/>
        <d v="2025-08-04T14:30:34Z"/>
        <d v="2025-08-03T22:17:01Z"/>
        <d v="2025-08-03T22:15:31Z"/>
        <d v="2025-08-03T22:14:05Z"/>
        <d v="2025-08-03T22:12:53Z"/>
        <d v="2025-08-03T22:11:36Z"/>
        <d v="2025-08-03T22:10:18Z"/>
        <d v="2025-08-02T07:40:23Z"/>
        <d v="2025-08-02T07:39:19Z"/>
        <d v="2025-08-02T07:37:45Z"/>
        <d v="2025-08-02T07:36:32Z"/>
        <d v="2025-08-02T07:35:22Z"/>
        <d v="2025-08-02T07:33:58Z"/>
        <d v="2025-08-02T07:31:28Z"/>
        <d v="2025-08-02T07:28:29Z"/>
        <d v="2025-08-02T07:26:59Z"/>
        <d v="2025-08-02T07:25:48Z"/>
        <d v="2025-08-02T07:24:08Z"/>
        <d v="2025-08-02T07:23:02Z"/>
        <d v="2025-08-02T07:21:53Z"/>
        <d v="2025-08-02T07:19:13Z"/>
        <d v="2025-08-02T07:18:08Z"/>
        <d v="2025-08-02T07:16:50Z"/>
        <d v="2025-08-02T07:12:23Z"/>
        <d v="2025-08-02T07:11:15Z"/>
        <d v="2025-08-02T06:42:20Z"/>
        <d v="2025-08-02T06:41:09Z"/>
        <d v="2025-08-02T06:40:01Z"/>
        <d v="2025-08-02T06:38:10Z"/>
        <d v="2025-08-02T06:33:11Z"/>
        <d v="2025-08-02T06:31:54Z"/>
        <d v="2025-08-02T06:30:09Z"/>
        <d v="2025-08-02T06:28:53Z"/>
        <d v="2025-08-02T06:27:41Z"/>
        <d v="2025-08-02T06:26:26Z"/>
        <d v="2025-08-02T06:25:19Z"/>
        <d v="2025-08-02T06:24:04Z"/>
        <d v="2025-08-02T06:22:46Z"/>
        <d v="2025-08-02T06:21:15Z"/>
        <d v="2025-08-02T06:19:48Z"/>
        <d v="2025-08-02T06:18:42Z"/>
        <d v="2025-08-02T06:17:37Z"/>
        <d v="2025-08-02T06:16:12Z"/>
        <d v="2025-08-02T06:12:02Z"/>
        <d v="2025-08-02T06:10:36Z"/>
        <d v="2025-08-01T11:20:53Z"/>
        <d v="2025-08-01T11:09:39Z"/>
        <d v="2025-08-01T11:06:41Z"/>
        <d v="2025-08-01T11:04:21Z"/>
        <d v="2025-08-01T10:58:04Z"/>
        <d v="2025-08-01T10:54:04Z"/>
        <d v="2025-08-01T09:27:03Z"/>
        <d v="2025-08-01T09:24:57Z"/>
        <d v="2025-08-01T09:18:54Z"/>
        <d v="2025-08-01T09:13:43Z"/>
        <d v="2025-08-01T08:59:56Z"/>
        <d v="2025-08-01T08:57:44Z"/>
        <d v="2025-08-01T08:27:06Z"/>
        <d v="2025-08-01T08:23:44Z"/>
        <d v="2025-08-01T08:21:37Z"/>
        <d v="2025-08-01T08:19:57Z"/>
        <d v="2025-08-01T06:48:54Z"/>
        <d v="2025-08-01T06:47:24Z"/>
        <d v="2025-08-01T06:44:13Z"/>
        <d v="2025-08-01T06:38:52Z"/>
        <d v="2025-08-01T06:37:09Z"/>
        <d v="2025-08-01T06:34:12Z"/>
        <d v="2025-08-01T06:32:09Z"/>
        <d v="2025-08-01T06:13:43Z"/>
        <d v="2025-08-01T06:09:38Z"/>
        <d v="2025-08-01T06:04:37Z"/>
        <d v="2025-08-01T06:00:58Z"/>
        <d v="2025-08-01T05:58:45Z"/>
        <d v="2025-08-01T05:56:11Z"/>
        <d v="2025-08-01T05:53:33Z"/>
        <d v="2025-08-01T05:51:22Z"/>
        <d v="2025-08-01T05:44:12Z"/>
        <d v="2025-08-01T05:36:47Z"/>
        <d v="2025-08-01T05:31:53Z"/>
        <d v="2025-08-01T05:28:09Z"/>
        <d v="2025-08-01T02:06:48Z"/>
        <d v="2025-08-01T01:59:29Z"/>
        <d v="2025-08-01T01:57:15Z"/>
        <d v="2025-08-01T01:47:40Z"/>
        <d v="2025-08-01T01:43:47Z"/>
        <d v="2025-08-01T01:41:25Z"/>
        <d v="2025-08-01T01:33:33Z"/>
        <d v="2025-08-01T01:31:34Z"/>
        <d v="2025-08-01T01:26:11Z"/>
        <d v="2025-08-01T01:21:31Z"/>
        <d v="2025-08-01T01:15:25Z"/>
        <d v="2025-08-01T01:12:06Z"/>
        <d v="2025-08-01T01:08:05Z"/>
        <d v="2025-08-01T01:05:26Z"/>
        <d v="2025-08-01T01:03:22Z"/>
        <d v="2025-07-31T21:23:18Z"/>
        <d v="2025-07-31T21:22:19Z"/>
        <d v="2025-07-31T21:20:43Z"/>
        <d v="2025-07-31T21:18:18Z"/>
        <d v="2025-07-31T21:16:11Z"/>
        <d v="2025-07-31T21:13:59Z"/>
        <d v="2025-07-31T21:12:14Z"/>
        <d v="2025-07-31T21:08:52Z"/>
        <d v="2025-07-31T21:07:08Z"/>
        <d v="2025-07-31T21:03:57Z"/>
        <d v="2025-07-31T21:02:52Z"/>
        <d v="2025-07-31T21:00:52Z"/>
        <d v="2025-07-31T20:59:37Z"/>
        <d v="2025-07-31T20:50:59Z"/>
        <d v="2025-07-31T20:49:33Z"/>
        <d v="2025-07-31T20:35:14Z"/>
        <d v="2025-07-31T20:33:54Z"/>
        <d v="2025-07-31T11:39:52Z"/>
        <d v="2025-07-31T11:27:52Z"/>
        <d v="2025-07-31T11:15:54Z"/>
        <d v="2025-07-31T11:10:02Z"/>
        <d v="2025-07-31T10:33:23Z"/>
        <d v="2025-07-31T10:31:25Z"/>
        <d v="2025-07-31T10:26:52Z"/>
        <d v="2025-07-31T10:24:33Z"/>
        <d v="2025-07-31T10:20:38Z"/>
        <d v="2025-07-31T10:18:26Z"/>
        <d v="2025-07-30T22:22:30Z"/>
        <d v="2025-07-30T22:22:25Z"/>
        <d v="2025-07-30T22:19:31Z"/>
        <d v="2025-07-30T22:14:50Z"/>
        <d v="2025-07-30T22:10:16Z"/>
        <d v="2025-07-30T21:59:23Z"/>
        <d v="2025-07-30T21:56:14Z"/>
        <d v="2025-07-30T21:53:53Z"/>
        <d v="2025-07-30T21:52:40Z"/>
        <d v="2025-07-30T21:49:31Z"/>
        <d v="2025-07-30T21:46:04Z"/>
        <d v="2025-07-30T19:10:46Z"/>
        <d v="2025-07-30T19:08:47Z"/>
        <d v="2025-07-30T19:05:06Z"/>
        <d v="2025-07-30T19:03:01Z"/>
        <d v="2025-07-30T18:59:19Z"/>
        <d v="2025-07-30T18:57:29Z"/>
        <d v="2025-07-30T18:56:52Z"/>
        <d v="2025-07-30T18:55:09Z"/>
        <d v="2025-07-30T18:54:50Z"/>
        <d v="2025-07-30T18:51:47Z"/>
        <d v="2025-07-30T18:49:53Z"/>
        <d v="2025-07-30T18:48:04Z"/>
        <d v="2025-07-30T18:45:46Z"/>
        <d v="2025-07-30T18:42:21Z"/>
        <d v="2025-07-30T18:42:06Z"/>
        <d v="2025-07-30T18:37:52Z"/>
        <d v="2025-07-30T18:33:53Z"/>
        <d v="2025-07-30T18:30:54Z"/>
        <d v="2025-07-30T18:28:40Z"/>
        <d v="2025-07-30T18:26:51Z"/>
        <d v="2025-07-30T18:23:15Z"/>
        <d v="2025-07-30T18:21:43Z"/>
        <d v="2025-07-30T18:16:41Z"/>
        <d v="2025-07-30T18:14:55Z"/>
        <d v="2025-07-30T18:12:36Z"/>
        <d v="2025-07-30T18:11:01Z"/>
        <d v="2025-07-30T18:08:46Z"/>
        <d v="2025-07-30T18:07:21Z"/>
        <d v="2025-07-30T18:05:05Z"/>
        <d v="2025-07-30T18:03:11Z"/>
        <d v="2025-07-30T18:01:09Z"/>
        <d v="2025-07-30T17:59:59Z"/>
        <d v="2025-07-30T17:53:25Z"/>
        <d v="2025-07-30T17:51:15Z"/>
        <d v="2025-07-30T17:46:20Z"/>
        <d v="2025-07-30T17:44:00Z"/>
        <d v="2025-07-30T17:40:36Z"/>
        <d v="2025-07-30T17:38:41Z"/>
        <d v="2025-07-30T17:36:44Z"/>
        <d v="2025-07-30T17:34:24Z"/>
        <d v="2025-07-30T17:30:48Z"/>
        <d v="2025-07-30T17:27:57Z"/>
        <d v="2025-07-30T17:26:21Z"/>
        <d v="2025-07-30T13:07:01Z"/>
        <d v="2025-07-30T12:46:04Z"/>
        <d v="2025-07-30T12:38:30Z"/>
        <d v="2025-07-30T12:35:38Z"/>
        <d v="2025-07-30T12:32:36Z"/>
        <d v="2025-07-30T12:30:28Z"/>
        <d v="2025-07-30T12:24:13Z"/>
        <d v="2025-07-30T12:19:45Z"/>
        <d v="2025-07-30T12:13:11Z"/>
        <d v="2025-07-28T23:49:45Z"/>
        <d v="2025-07-28T23:47:50Z"/>
        <d v="2025-07-28T23:41:03Z"/>
        <d v="2025-07-28T23:38:17Z"/>
        <d v="2025-07-28T23:36:52Z"/>
        <d v="2025-07-28T23:35:35Z"/>
        <d v="2025-07-28T23:34:17Z"/>
        <d v="2025-07-28T23:32:56Z"/>
        <d v="2025-07-28T23:21:25Z"/>
        <d v="2025-07-28T23:17:58Z"/>
        <d v="2025-07-28T23:15:32Z"/>
        <d v="2025-07-28T23:12:22Z"/>
        <d v="2025-07-28T23:07:24Z"/>
        <d v="2025-07-28T23:04:20Z"/>
        <d v="2025-07-28T23:02:05Z"/>
        <d v="2025-07-28T22:59:44Z"/>
        <d v="2025-07-28T22:58:28Z"/>
        <d v="2025-07-28T22:54:44Z"/>
        <d v="2025-07-28T14:05:11Z"/>
        <d v="2025-07-28T14:03:36Z"/>
        <d v="2025-07-28T13:57:55Z"/>
        <d v="2025-07-27T22:14:27Z"/>
        <d v="2025-07-27T22:12:39Z"/>
        <d v="2025-07-27T22:08:09Z"/>
        <d v="2025-07-27T22:05:46Z"/>
        <d v="2025-07-27T22:03:04Z"/>
        <d v="2025-07-27T22:01:30Z"/>
        <d v="2025-07-27T17:24:50Z"/>
        <d v="2025-07-27T17:22:57Z"/>
        <d v="2025-07-27T17:16:19Z"/>
        <d v="2025-07-27T17:14:33Z"/>
        <d v="2025-07-27T17:11:13Z"/>
        <d v="2025-07-27T17:09:34Z"/>
        <d v="2025-07-27T16:58:08Z"/>
        <d v="2025-07-27T16:54:56Z"/>
        <d v="2025-07-27T16:51:38Z"/>
        <d v="2025-07-27T16:49:12Z"/>
        <d v="2025-07-27T16:38:13Z"/>
        <d v="2025-07-27T16:36:12Z"/>
        <d v="2025-07-27T16:32:13Z"/>
        <d v="2025-07-27T16:29:34Z"/>
        <d v="2025-07-27T16:27:32Z"/>
        <d v="2025-07-27T16:24:43Z"/>
        <d v="2025-07-27T16:22:52Z"/>
        <d v="2025-07-27T15:08:47Z"/>
        <d v="2025-07-27T15:07:10Z"/>
        <d v="2025-07-27T15:03:39Z"/>
        <d v="2025-07-27T15:01:13Z"/>
        <d v="2025-07-27T14:58:28Z"/>
        <d v="2025-07-27T14:56:39Z"/>
        <d v="2025-07-27T14:54:26Z"/>
        <d v="2025-07-27T14:49:26Z"/>
        <d v="2025-07-27T14:46:43Z"/>
        <d v="2025-07-27T14:44:35Z"/>
        <d v="2025-07-27T14:41:32Z"/>
        <d v="2025-07-27T14:38:02Z"/>
        <d v="2025-07-27T13:15:20Z"/>
        <d v="2025-07-27T13:07:52Z"/>
        <d v="2025-07-27T13:05:48Z"/>
        <d v="2025-07-27T13:02:49Z"/>
        <d v="2025-07-27T13:00:47Z"/>
        <d v="2025-07-27T12:59:01Z"/>
        <d v="2025-07-27T12:57:16Z"/>
        <d v="2025-07-27T12:55:19Z"/>
        <d v="2025-07-27T12:53:44Z"/>
        <d v="2025-07-27T12:51:16Z"/>
        <d v="2025-07-27T12:49:22Z"/>
        <d v="2025-07-27T12:32:53Z"/>
        <d v="2025-07-27T12:30:22Z"/>
        <d v="2025-07-27T12:27:44Z"/>
        <d v="2025-07-27T12:25:20Z"/>
        <d v="2025-07-27T12:16:16Z"/>
        <d v="2025-07-27T12:13:42Z"/>
        <d v="2025-07-26T21:44:17Z"/>
        <d v="2025-07-26T21:42:27Z"/>
        <d v="2025-07-26T21:40:16Z"/>
        <d v="2025-07-26T21:38:46Z"/>
        <d v="2025-07-26T21:36:24Z"/>
        <d v="2025-07-26T21:34:35Z"/>
        <d v="2025-07-26T21:32:44Z"/>
        <d v="2025-07-26T21:28:57Z"/>
        <d v="2025-07-26T21:27:35Z"/>
        <d v="2025-07-26T21:26:15Z"/>
        <d v="2025-07-26T21:24:47Z"/>
        <d v="2025-07-26T21:16:27Z"/>
        <d v="2025-07-26T21:13:04Z"/>
        <d v="2025-07-26T01:05:41Z"/>
        <d v="2025-07-26T01:04:22Z"/>
        <d v="2025-07-26T01:01:37Z"/>
        <d v="2025-07-26T01:00:25Z"/>
        <d v="2025-07-26T00:57:55Z"/>
        <d v="2025-07-26T00:56:46Z"/>
        <d v="2025-07-26T00:55:09Z"/>
        <d v="2025-07-26T00:53:56Z"/>
        <d v="2025-07-26T00:52:13Z"/>
        <d v="2025-07-26T00:51:07Z"/>
        <d v="2025-07-26T00:49:49Z"/>
        <d v="2025-07-26T00:48:06Z"/>
        <d v="2025-07-26T00:41:44Z"/>
        <d v="2025-07-26T00:39:25Z"/>
        <d v="2025-07-26T00:35:51Z"/>
        <d v="2025-07-26T00:27:33Z"/>
        <d v="2025-07-26T00:26:15Z"/>
        <d v="2025-07-26T00:24:37Z"/>
        <d v="2025-07-26T00:22:32Z"/>
        <d v="2025-07-26T00:17:01Z"/>
        <d v="2025-07-26T00:15:51Z"/>
        <d v="2025-07-26T00:13:43Z"/>
        <d v="2025-07-26T00:12:32Z"/>
        <d v="2025-07-26T00:11:09Z"/>
        <d v="2025-07-26T00:09:42Z"/>
        <d v="2025-07-26T00:07:47Z"/>
        <d v="2025-07-26T00:06:25Z"/>
        <d v="2025-07-26T00:04:53Z"/>
        <d v="2025-07-26T00:02:25Z"/>
        <d v="2025-07-25T23:49:49Z"/>
        <d v="2025-07-25T23:48:33Z"/>
        <d v="2025-07-25T16:10:26Z"/>
        <d v="2025-07-25T16:09:06Z"/>
        <d v="2025-07-25T16:02:45Z"/>
        <d v="2025-07-25T16:01:26Z"/>
        <d v="2025-07-25T15:57:13Z"/>
        <d v="2025-07-25T15:54:18Z"/>
        <d v="2025-07-25T15:49:08Z"/>
        <d v="2025-07-25T15:47:08Z"/>
        <d v="2025-07-25T15:37:39Z"/>
        <d v="2025-07-25T15:35:02Z"/>
        <d v="2025-07-25T15:33:12Z"/>
        <d v="2025-07-25T15:29:50Z"/>
        <d v="2025-07-25T15:25:51Z"/>
        <d v="2025-07-25T15:24:29Z"/>
        <d v="2025-07-23T22:43:27Z"/>
        <d v="2025-07-23T22:35:25Z"/>
        <d v="2025-07-23T22:28:02Z"/>
        <d v="2025-07-23T22:23:42Z"/>
        <d v="2025-07-23T22:15:18Z"/>
        <d v="2025-07-23T22:12:38Z"/>
        <d v="2025-07-23T22:04:10Z"/>
        <d v="2025-07-23T21:58:33Z"/>
        <d v="2025-07-23T21:55:21Z"/>
        <d v="2025-07-23T21:37:30Z"/>
        <d v="2025-07-23T21:34:03Z"/>
        <d v="2025-07-23T21:30:00Z"/>
        <d v="2025-07-23T21:25:22Z"/>
        <d v="2025-07-23T21:18:05Z"/>
        <d v="2025-07-23T21:12:14Z"/>
        <d v="2025-07-23T21:06:20Z"/>
        <d v="2025-07-21T22:53:07Z"/>
        <d v="2025-07-21T22:51:35Z"/>
        <d v="2025-07-21T22:46:46Z"/>
        <d v="2025-07-21T22:45:30Z"/>
        <d v="2025-07-21T22:43:21Z"/>
        <d v="2025-07-21T22:41:42Z"/>
        <d v="2025-07-21T22:40:03Z"/>
        <d v="2025-07-21T22:37:59Z"/>
        <d v="2025-07-21T22:36:36Z"/>
        <d v="2025-07-21T22:32:58Z"/>
        <d v="2025-07-21T22:31:11Z"/>
        <d v="2025-07-19T18:40:05Z"/>
        <d v="2025-07-19T18:38:22Z"/>
        <d v="2025-07-19T18:37:24Z"/>
        <d v="2025-07-19T18:35:56Z"/>
        <d v="2025-07-19T18:35:03Z"/>
        <d v="2025-07-19T18:33:03Z"/>
        <d v="2025-07-19T18:31:49Z"/>
        <d v="2025-07-19T18:29:11Z"/>
        <d v="2025-07-19T18:28:06Z"/>
        <d v="2025-07-19T18:26:27Z"/>
        <d v="2025-07-19T18:25:23Z"/>
        <d v="2025-07-19T18:23:39Z"/>
        <d v="2025-07-19T18:22:01Z"/>
        <d v="2025-07-19T18:19:11Z"/>
        <d v="2025-07-19T18:17:56Z"/>
        <d v="2025-07-19T18:16:11Z"/>
        <d v="2025-07-19T18:15:09Z"/>
        <d v="2025-07-19T18:13:20Z"/>
        <d v="2025-07-19T18:12:07Z"/>
        <d v="2025-07-19T18:10:23Z"/>
        <d v="2025-07-19T18:09:06Z"/>
        <d v="2025-07-19T18:06:25Z"/>
        <d v="2025-07-19T18:04:49Z"/>
        <d v="2025-07-19T18:02:47Z"/>
        <d v="2025-07-19T18:01:27Z"/>
        <d v="2025-07-19T17:59:14Z"/>
        <d v="2025-07-19T17:57:23Z"/>
        <d v="2025-07-19T17:54:32Z"/>
        <d v="2025-07-19T17:53:07Z"/>
        <d v="2025-07-18T22:55:44Z"/>
        <d v="2025-07-18T22:53:32Z"/>
        <d v="2025-07-18T22:48:24Z"/>
        <d v="2025-07-18T22:41:17Z"/>
        <d v="2025-07-18T22:39:01Z"/>
        <d v="2025-07-18T22:36:29Z"/>
        <d v="2025-07-18T22:30:55Z"/>
        <d v="2025-07-18T22:11:10Z"/>
        <d v="2025-07-18T22:08:29Z"/>
        <d v="2025-07-18T22:05:48Z"/>
        <d v="2025-07-18T22:03:14Z"/>
        <d v="2025-07-18T21:58:56Z"/>
        <d v="2025-07-18T21:56:29Z"/>
        <d v="2025-07-18T21:54:38Z"/>
        <d v="2025-07-18T21:52:05Z"/>
        <d v="2025-07-18T21:49:37Z"/>
        <d v="2025-07-18T21:42:50Z"/>
        <d v="2025-07-18T21:37:19Z"/>
        <d v="2025-07-18T21:33:40Z"/>
        <d v="2025-07-18T21:13:24Z"/>
        <d v="2025-07-18T21:10:57Z"/>
        <d v="2025-07-18T21:03:26Z"/>
        <d v="2025-07-18T20:57:48Z"/>
        <d v="2025-07-18T20:54:10Z"/>
        <d v="2025-07-18T17:50:34Z"/>
        <d v="2025-07-18T17:43:33Z"/>
        <d v="2025-07-18T17:33:05Z"/>
        <d v="2025-07-18T17:31:55Z"/>
        <d v="2025-07-18T17:31:36Z"/>
        <d v="2025-07-18T17:30:48Z"/>
        <d v="2025-07-18T17:30:02Z"/>
        <d v="2025-07-18T17:28:39Z"/>
        <d v="2025-07-18T17:26:42Z"/>
        <d v="2025-07-18T17:26:37Z"/>
        <d v="2025-07-18T17:25:40Z"/>
        <d v="2025-07-18T17:25:29Z"/>
        <d v="2025-07-18T17:21:54Z"/>
        <d v="2025-07-18T17:21:25Z"/>
        <d v="2025-07-18T17:20:30Z"/>
        <d v="2025-07-18T17:18:40Z"/>
        <d v="2025-07-18T17:17:26Z"/>
        <d v="2025-07-18T17:16:41Z"/>
        <d v="2025-07-18T17:14:16Z"/>
        <d v="2025-07-18T17:14:05Z"/>
        <d v="2025-07-18T17:12:43Z"/>
        <d v="2025-07-18T17:11:17Z"/>
        <d v="2025-07-18T17:10:59Z"/>
        <d v="2025-07-18T17:08:45Z"/>
        <d v="2025-07-18T17:08:41Z"/>
        <d v="2025-07-18T17:06:50Z"/>
        <d v="2025-07-18T17:03:50Z"/>
        <d v="2025-07-18T17:02:21Z"/>
        <d v="2025-07-18T17:01:45Z"/>
        <d v="2025-07-18T17:01:07Z"/>
        <d v="2025-07-18T16:59:44Z"/>
        <d v="2025-07-18T16:44:10Z"/>
        <d v="2025-07-18T16:42:16Z"/>
        <d v="2025-07-18T16:40:28Z"/>
        <d v="2025-07-18T16:38:48Z"/>
        <d v="2025-07-18T16:05:14Z"/>
        <d v="2025-07-18T16:04:55Z"/>
        <d v="2025-07-18T16:02:13Z"/>
        <d v="2025-07-18T16:01:18Z"/>
        <d v="2025-07-18T16:01:03Z"/>
        <d v="2025-07-18T15:59:42Z"/>
        <d v="2025-07-18T15:59:33Z"/>
        <d v="2025-07-18T15:57:20Z"/>
        <d v="2025-07-18T15:56:40Z"/>
        <d v="2025-07-18T15:56:11Z"/>
        <d v="2025-07-18T15:49:28Z"/>
        <d v="2025-07-18T15:48:09Z"/>
        <d v="2025-07-18T15:41:35Z"/>
        <d v="2025-07-18T15:39:04Z"/>
        <d v="2025-07-18T15:35:10Z"/>
        <d v="2025-07-18T15:33:11Z"/>
        <d v="2025-07-18T15:32:07Z"/>
        <d v="2025-07-18T15:30:12Z"/>
        <d v="2025-07-18T15:29:02Z"/>
        <d v="2025-07-18T15:28:36Z"/>
        <d v="2025-07-18T15:27:02Z"/>
        <d v="2025-07-18T15:24:44Z"/>
        <d v="2025-07-18T15:23:16Z"/>
        <d v="2025-07-18T15:21:57Z"/>
        <d v="2025-07-18T15:19:55Z"/>
        <d v="2025-07-18T15:18:53Z"/>
        <d v="2025-07-18T15:16:27Z"/>
        <d v="2025-07-18T15:13:43Z"/>
        <d v="2025-07-18T15:11:22Z"/>
        <d v="2025-07-18T14:50:28Z"/>
        <d v="2025-07-18T14:36:55Z"/>
        <d v="2025-07-18T01:44:43Z"/>
        <d v="2025-07-18T01:07:06Z"/>
        <d v="2025-07-18T01:05:09Z"/>
        <d v="2025-07-18T01:02:40Z"/>
        <d v="2025-07-18T00:58:59Z"/>
        <d v="2025-07-18T00:55:32Z"/>
        <d v="2025-07-18T00:53:17Z"/>
        <d v="2025-07-18T00:50:19Z"/>
        <d v="2025-07-18T00:40:50Z"/>
        <d v="2025-07-17T20:06:40Z"/>
        <d v="2025-07-17T20:04:44Z"/>
        <d v="2025-07-17T20:03:01Z"/>
        <d v="2025-07-17T19:40:16Z"/>
        <d v="2025-07-17T19:33:27Z"/>
        <d v="2025-07-17T19:31:34Z"/>
        <d v="2025-07-17T19:30:09Z"/>
        <d v="2025-07-17T17:26:10Z"/>
        <d v="2025-07-17T17:24:25Z"/>
        <d v="2025-07-17T09:34:03Z"/>
        <d v="2025-07-17T09:32:27Z"/>
        <d v="2025-07-17T09:29:12Z"/>
        <d v="2025-07-17T09:27:21Z"/>
        <d v="2025-07-17T09:25:01Z"/>
        <d v="2025-07-17T09:22:25Z"/>
        <d v="2025-07-17T09:20:34Z"/>
        <d v="2025-07-17T09:17:28Z"/>
        <d v="2025-07-15T13:29:07Z"/>
        <d v="2025-07-15T13:04:29Z"/>
        <d v="2025-07-15T13:02:39Z"/>
        <d v="2025-07-15T12:56:41Z"/>
        <d v="2025-07-15T12:54:33Z"/>
        <d v="2025-07-15T12:51:17Z"/>
        <d v="2025-07-15T12:48:53Z"/>
        <d v="2025-07-15T12:44:45Z"/>
        <d v="2025-07-15T12:40:47Z"/>
        <d v="2025-07-15T12:39:03Z"/>
        <d v="2025-07-15T12:35:59Z"/>
        <d v="2025-07-15T12:34:17Z"/>
        <d v="2025-07-15T12:32:03Z"/>
        <d v="2025-07-15T12:29:55Z"/>
        <d v="2025-07-15T12:27:37Z"/>
        <d v="2025-07-15T12:25:24Z"/>
        <d v="2025-07-15T11:58:53Z"/>
        <d v="2025-07-15T11:52:36Z"/>
        <d v="2025-07-15T11:41:15Z"/>
        <d v="2025-07-15T11:39:36Z"/>
        <d v="2025-07-15T11:26:16Z"/>
        <d v="2025-07-15T11:24:12Z"/>
        <d v="2025-07-15T11:18:53Z"/>
        <d v="2025-07-15T11:14:20Z"/>
        <d v="2025-07-15T11:11:34Z"/>
        <d v="2025-07-15T11:07:23Z"/>
        <d v="2025-07-15T10:58:18Z"/>
        <d v="2025-07-15T10:56:05Z"/>
        <d v="2025-07-15T10:53:32Z"/>
        <d v="2025-07-15T10:51:42Z"/>
        <d v="2025-07-15T10:49:10Z"/>
        <d v="2025-07-15T10:45:20Z"/>
        <d v="2025-07-15T10:42:34Z"/>
        <d v="2025-07-15T10:40:10Z"/>
        <d v="2025-07-15T10:38:08Z"/>
        <d v="2025-07-14T15:55:10Z"/>
        <d v="2025-07-14T15:53:53Z"/>
        <d v="2025-07-14T15:52:08Z"/>
        <d v="2025-07-14T15:50:44Z"/>
        <d v="2025-07-14T15:47:48Z"/>
        <d v="2025-07-14T15:46:38Z"/>
        <d v="2025-07-14T15:45:22Z"/>
        <d v="2025-07-14T15:44:03Z"/>
        <d v="2025-07-14T15:40:53Z"/>
        <d v="2025-07-14T15:36:20Z"/>
        <d v="2025-07-14T15:33:29Z"/>
        <d v="2025-07-14T15:30:59Z"/>
        <d v="2025-07-14T15:24:03Z"/>
        <d v="2025-07-14T15:19:00Z"/>
        <d v="2025-07-14T15:10:25Z"/>
        <d v="2025-07-14T15:08:55Z"/>
        <d v="2025-07-14T15:06:53Z"/>
        <d v="2025-07-14T15:05:43Z"/>
        <d v="2025-07-14T15:04:08Z"/>
        <d v="2025-07-14T14:54:50Z"/>
        <d v="2025-07-14T14:53:20Z"/>
        <d v="2025-07-14T14:51:54Z"/>
        <d v="2025-07-14T14:50:07Z"/>
        <d v="2025-07-14T14:46:49Z"/>
        <d v="2025-07-14T14:45:29Z"/>
        <d v="2025-07-14T14:42:10Z"/>
        <d v="2025-07-14T14:33:13Z"/>
        <d v="2025-07-14T14:31:39Z"/>
        <d v="2025-07-14T14:29:55Z"/>
        <d v="2025-07-14T14:28:33Z"/>
        <d v="2025-07-14T14:26:57Z"/>
        <d v="2025-07-14T14:25:46Z"/>
        <d v="2025-07-14T14:24:19Z"/>
        <d v="2025-07-14T14:22:55Z"/>
        <d v="2025-07-14T14:21:33Z"/>
        <d v="2025-07-14T14:20:08Z"/>
        <d v="2025-07-14T14:16:13Z"/>
        <d v="2025-07-14T14:14:48Z"/>
        <d v="2025-07-14T14:13:14Z"/>
        <d v="2025-07-14T14:11:59Z"/>
        <d v="2025-07-14T14:10:31Z"/>
        <d v="2025-07-14T14:08:54Z"/>
        <d v="2025-07-14T14:06:45Z"/>
        <d v="2025-07-14T14:04:55Z"/>
        <d v="2025-07-14T14:02:56Z"/>
        <d v="2025-07-14T13:58:24Z"/>
        <d v="2025-07-14T13:48:01Z"/>
        <d v="2025-07-14T12:02:30Z"/>
        <d v="2025-07-14T12:00:55Z"/>
        <d v="2025-07-14T11:59:32Z"/>
        <d v="2025-07-14T11:55:12Z"/>
        <d v="2025-07-14T11:51:19Z"/>
        <d v="2025-07-14T11:49:47Z"/>
        <d v="2025-07-13T06:52:38Z"/>
        <d v="2025-07-13T06:44:58Z"/>
        <d v="2025-07-13T06:40:28Z"/>
        <d v="2025-07-13T06:38:13Z"/>
        <d v="2025-07-13T06:35:52Z"/>
        <d v="2025-07-13T06:33:14Z"/>
        <d v="2025-07-13T06:30:34Z"/>
        <d v="2025-07-13T06:25:29Z"/>
        <d v="2025-07-13T00:47:45Z"/>
        <d v="2025-07-13T00:38:26Z"/>
        <d v="2025-07-13T00:35:56Z"/>
        <d v="2025-07-13T00:32:28Z"/>
        <d v="2025-07-13T00:29:22Z"/>
        <d v="2025-07-13T00:27:10Z"/>
        <d v="2025-07-13T00:24:37Z"/>
        <d v="2025-07-13T00:21:56Z"/>
        <d v="2025-07-13T00:18:15Z"/>
        <d v="2025-07-13T00:16:13Z"/>
        <d v="2025-07-08T07:40:48Z"/>
        <d v="2025-07-08T07:37:14Z"/>
        <d v="2025-07-07T21:34:06Z"/>
        <d v="2025-07-07T21:32:19Z"/>
        <d v="2025-07-07T21:27:51Z"/>
        <d v="2025-07-07T21:14:36Z"/>
        <d v="2025-07-07T21:12:24Z"/>
        <d v="2025-07-07T20:52:55Z"/>
        <d v="2025-07-07T20:49:21Z"/>
        <d v="2025-07-07T20:13:55Z"/>
        <d v="2025-07-07T20:10:40Z"/>
        <d v="2025-07-07T20:05:36Z"/>
        <d v="2025-07-07T20:03:23Z"/>
        <d v="2025-07-07T20:01:02Z"/>
        <d v="2025-07-07T19:57:41Z"/>
        <d v="2025-07-07T19:50:22Z"/>
        <d v="2025-07-07T19:48:17Z"/>
        <d v="2025-07-07T19:05:46Z"/>
        <d v="2025-07-07T19:04:20Z"/>
        <d v="2025-07-07T19:02:47Z"/>
        <d v="2025-07-07T18:55:51Z"/>
        <d v="2025-07-06T23:52:52Z"/>
        <d v="2025-07-06T23:51:18Z"/>
        <d v="2025-07-06T23:47:08Z"/>
        <d v="2025-07-06T23:45:00Z"/>
        <d v="2025-07-06T23:42:22Z"/>
        <d v="2025-07-06T23:40:50Z"/>
        <d v="2025-07-06T23:38:39Z"/>
        <d v="2025-07-06T23:37:13Z"/>
        <d v="2025-07-06T23:35:25Z"/>
        <d v="2025-07-06T23:32:55Z"/>
        <d v="2025-07-06T23:26:47Z"/>
        <d v="2025-07-06T23:22:57Z"/>
        <d v="2025-07-06T23:19:51Z"/>
        <d v="2025-08-20T19:58:31Z"/>
        <d v="2025-08-20T20:00:15Z"/>
        <d v="2025-08-20T20:02:59Z"/>
        <d v="2025-08-20T20:04:58Z"/>
        <d v="2025-08-20T20:06:48Z"/>
        <d v="2025-08-20T20:10:29Z"/>
        <d v="2025-08-20T20:16:40Z"/>
        <d v="2025-08-20T20:30:11Z"/>
        <d v="2025-08-20T20:38:15Z"/>
        <d v="2025-08-20T20:40:08Z"/>
        <d v="2025-08-20T20:43:44Z"/>
        <m/>
      </sharedItems>
    </cacheField>
    <cacheField name="Email Address" numFmtId="0">
      <sharedItems containsBlank="1">
        <s v="ajisadiqdala@gmail.com"/>
        <s v="umrdalhatu@gmail.com"/>
        <s v="elhabs256@gmail.com"/>
        <s v="umarturaki65@gmail.com"/>
        <s v="iahmadzakari@gmail.com"/>
        <s v="m.salisushehu18@gmail.com"/>
        <m/>
      </sharedItems>
    </cacheField>
    <cacheField name="Please Select Your Team" numFmtId="0">
      <sharedItems containsBlank="1">
        <s v="Sadiq Dala"/>
        <s v="Umar Dalhatu"/>
        <s v="Abdullahi Elhabeeb"/>
        <s v="Umar Farouk"/>
        <s v="Sadiq Ilu"/>
        <m/>
      </sharedItems>
    </cacheField>
    <cacheField name="Cluster Selection" numFmtId="0">
      <sharedItems containsBlank="1">
        <m/>
        <s v="Cluster 8"/>
        <s v="Cluster 3"/>
        <s v="Cluster 11"/>
        <s v="Cluster 17"/>
        <s v="Cluster 4"/>
      </sharedItems>
    </cacheField>
    <cacheField name="Streets in Cluster 3" numFmtId="0">
      <sharedItems containsBlank="1">
        <m/>
        <s v="GIDAN GIWA STREET"/>
        <s v="MAIDUGURI ROAD"/>
        <s v="JAKADAN GARKO STREET"/>
        <s v="SHUAIBU MAI-GORO STREET"/>
        <s v="MUSA GWADABE STREET"/>
        <s v="AMANALLAH STREET"/>
        <s v="PRESS ROAD"/>
        <s v="GUDA ABDULLAHI ROAD"/>
        <s v="GYADI - GYADI PRIMARY SCHOOL ROAD"/>
        <s v="BALA MAMSA STREET"/>
        <s v="ABDULLAHI KIRKI STREET"/>
        <s v="BABA IMPOSSIBLE STREET"/>
        <s v="NURA TURAKI STREET"/>
        <s v="KANKAROFI STREET"/>
        <s v="BABA KOKI STREET"/>
        <s v="NUPE ROAD"/>
        <s v="LAYIN MAI KOSAI ROAD"/>
        <s v="INUWA DUTSE STREET"/>
        <s v="KARKASARA WAY"/>
        <s v="TAHIR ROAD"/>
      </sharedItems>
    </cacheField>
    <cacheField name="Streets in Cluster 4" numFmtId="0">
      <sharedItems containsBlank="1">
        <m/>
        <s v="HALLIRU ROAD"/>
        <s v="MOHAMMED VICE ADAMU ROAD"/>
        <s v="HOTORO AVENUE"/>
        <s v="SANIN GIWA STREET"/>
        <s v="KABBA STREET"/>
        <s v="BROTHER STREET"/>
        <s v="AITKEN ROAD"/>
        <s v="ABEOKUTA ROAD"/>
        <s v="ENUGU ROAD"/>
        <s v="SANUSI STREET"/>
        <s v="MAHOGANY STREET"/>
        <s v="BALLAT HUGHES AVENUE"/>
        <s v="WARRI ROAD"/>
        <s v="IROKO AVENUE"/>
        <s v="KING'S GARDEN ROAD"/>
        <s v="IJEBU ROAD"/>
        <s v="MIDDLE ROAD"/>
      </sharedItems>
    </cacheField>
    <cacheField name="Streets in Cluster 8" numFmtId="0">
      <sharedItems containsBlank="1">
        <m/>
        <s v="GASHASH CLOSE"/>
        <s v="OLD COURT ROAD"/>
        <s v="YOLA STREET"/>
        <s v="ABARABA STREET"/>
        <s v="LAMIDO ROAD"/>
        <s v="MUHAMMED ALI ROAD"/>
        <s v="AVM. MUKHTAR MUHAMMAD CLOSE"/>
        <s v="YAKUBU AHMED AVENUE"/>
        <s v="PRESIDENT AVENUE"/>
        <s v="COURT HOUSE CLOSE"/>
        <s v="ADUA ROAD"/>
        <s v="TUDUNWADA D ROAD"/>
        <s v="HADEJIA ROAD"/>
        <s v="ADAMU DAN KABO CLOSE"/>
        <s v="BICHI CLOSE"/>
        <s v="COMMANDANT CLOSE"/>
        <s v="MYONGU ROAD"/>
        <s v="WADA ALIYU ROAD"/>
        <s v="IBRAHIM JOBE CRESCENT"/>
        <s v="GASHASH ROAD"/>
        <s v="FESTING ROAD"/>
        <s v="MURTALA MUHAMMED WAY"/>
        <s v="BOMPAI ROAD"/>
        <s v="SULAIMAN CRESCENT"/>
        <s v="KORAU ROAD"/>
      </sharedItems>
    </cacheField>
    <cacheField name="Streets in Cluster 11" numFmtId="0">
      <sharedItems containsBlank="1">
        <m/>
        <s v="LAWAN ADAMU CLOSE"/>
        <s v="GARKO CRESCENT"/>
        <s v="USMAN YARHIYA LINK"/>
        <s v="SANI ABACHA WAY"/>
        <s v="DAR-ES SALAM STREET"/>
        <s v="S/FEGI STREET"/>
        <s v="LAYIN MAI GIGINYU STREET"/>
        <s v="AUDU BAKO WAY"/>
        <s v="EYE HOSPITAL ROAD"/>
        <s v="DANBATTA WAY"/>
        <s v="MUSA KAUGAMA STREET"/>
        <s v="TRANSFORMER WAY"/>
        <s v="LAYIN ALARAMONA STREET"/>
        <s v="IBRAHIM KALA ROAD"/>
        <s v="YOLAWA ROAD"/>
        <s v="NIGER STREET"/>
        <s v="BELLO ROAD"/>
        <s v="IGBO ROAD"/>
        <s v="YORUBA ROAD"/>
        <s v="MILLER ROAD"/>
        <s v="MISSION ROAD"/>
        <s v="MAGANDA ROAD"/>
        <s v="BANK ROAD"/>
        <s v="SANI MARSHAL ROAD"/>
        <s v="INDEPENDENCE ROAD"/>
        <s v="ILARO ROAD"/>
        <s v="FRANCE ROAD"/>
        <s v="PARK ROAD"/>
      </sharedItems>
    </cacheField>
    <cacheField name="Streets in Cluster 17" numFmtId="0">
      <sharedItems containsBlank="1">
        <m/>
        <s v="IBRAHIM EL-TAYYIB CLOSE"/>
        <s v="I. MA SAMA CLOSE"/>
        <s v="ALFA WALI STREET"/>
        <s v="AGWAGWA STREET"/>
        <s v="DABINO AVENUE"/>
        <s v="YUSUF MAITAMA SULE AVENUE"/>
        <s v="ADAMU BAKER STREET"/>
        <s v="KAZAURE ROAD"/>
        <s v="SABARA AVENUE"/>
        <s v="MA'AJIN WATARI STREET"/>
        <s v="KWANAR MAGGI STREET"/>
        <s v="BASHIR SULE MAITAMA AVENUE"/>
        <s v="GEN. BASHIR MAGASHI ROAD"/>
        <s v="GARBA SHEHU STREET"/>
        <s v="BASHIR DALHATU STREET"/>
        <s v="KIYASHI AVENUE"/>
        <s v="SHEHU KAZAURE STREET"/>
      </sharedItems>
    </cacheField>
    <cacheField name="Umar Dalhatu Cluster Selection" numFmtId="0">
      <sharedItems containsBlank="1">
        <m/>
        <s v="Cluster 10"/>
        <s v="Cluster 1"/>
        <s v="Cluster 7"/>
        <s v="Cluster 14"/>
        <s v="Cluster 20"/>
      </sharedItems>
    </cacheField>
    <cacheField name="Streets in Cluster 1" numFmtId="0">
      <sharedItems containsBlank="1">
        <m/>
        <s v="A.M. PANDA STREET"/>
        <s v="RABI'U SULAIMAN CLOSE"/>
        <s v="BARRISTER ISA BELLO STREET"/>
        <s v="B Z TAGWAI STREET"/>
        <s v="SANI SHUAIBU STREET"/>
        <s v="MUSA KALLA STREET"/>
        <s v="HAFSAT AVENUE"/>
        <s v="ADEOLA STREET"/>
        <s v="JIBRIN ABDU STREET"/>
        <s v="SANI TRADER STREET"/>
        <s v="MAITAMA STREET"/>
        <s v="SIR PETER OBEBI CLOSE"/>
        <s v="NA'ANNABI AHMED STREET"/>
        <s v="M.J. LAWAL STREET"/>
        <s v="ABDULRAHMAN ABUBAKAR LINK"/>
        <s v="UMAR MADAHAJI STREET"/>
        <s v="GIRGIRI LAWAN LINK"/>
        <s v="AMINU BABANDI STREET"/>
        <s v="IBRAHIM HARUNA CLOSE"/>
        <s v="BBY LINK"/>
        <s v="YALWAN DANZIAL LINK"/>
        <s v="ABBA HABIB LINK"/>
        <s v="MUSA Y MAI KIFI AVENUE"/>
        <s v="IDRIS UMAR ROAD"/>
        <s v="UMAR SANUSI STREET"/>
        <s v="MUH'D FAITH KARUBE STREET"/>
        <s v="AMB. BUBA AHMED STREET"/>
        <s v="MAIMUNA LINK"/>
        <s v="NASIRU SAMINU LINK"/>
        <s v="ENGR. GAMBO ABUBAKAR STREET"/>
        <s v="NATIONAL AVENUE"/>
        <s v="ALI ALI MUHAMMAD LINK"/>
        <s v="DR. ALI IDI LINK"/>
        <s v="RENNER STREET"/>
        <s v="ADNAN BABAYOLA LINK"/>
        <s v="NASIRU ALI YAKASAI STREET"/>
        <s v="GIDAN KARA LINK"/>
        <s v="MALAM MADORI STREET"/>
        <s v="SANI IDI DAN FULANI STREET"/>
        <s v="ALI ZANGO STREET"/>
        <s v="YUSUF ABDULLAHI STREET"/>
        <s v="YUSUF KWARI LINK"/>
        <s v="ZAKARI SADIQ LINK"/>
        <s v="IZZUDDEEN ABUBAKAR LINK"/>
        <s v="BICHI LINK"/>
        <s v="SALIHU GALEEL STREET"/>
        <s v="BADAWA LAYOUT ROAD"/>
        <s v="SALISU MAI BOREHOLE STREET"/>
        <s v="HABIBA YAHAYA LINK"/>
        <s v="YABUKU ABDUL PAIKO LINK"/>
        <s v="A MAI GORO SAGAGI LINK"/>
        <s v="DR ABDU GREMA LINK"/>
        <s v="UMAR IDRIS ILLO STREET"/>
        <s v="B.A ABDULLAHI LINK"/>
      </sharedItems>
    </cacheField>
    <cacheField name="Streets in Cluster 7" numFmtId="0">
      <sharedItems containsBlank="1">
        <m/>
        <s v="AMINU DANWAWU STREET"/>
        <s v="AMINU MODI STREET"/>
        <s v="GARBA UBALE STREET"/>
        <s v="LIMAN BASHIR STREET"/>
        <s v="DR. G.N. HAMZA STREET"/>
        <s v="DANWAWU STREET"/>
        <s v="ISAH WAZIRI ROAD"/>
        <s v="SANI YARO STREET"/>
        <s v="WASHIR HOSPITAL ROAD"/>
        <s v="SANI GARBA STREET"/>
        <s v="KURA MUHAMMED STREET"/>
        <s v="YANKABA COURT ROAD"/>
        <s v="ALH BATURE ABDULAZIZ STREET"/>
        <s v="YANKABA STREET"/>
        <s v="MUAZU HAMZA STREET"/>
        <s v="ROYAL STREET"/>
        <s v="SHEHU NA ALLAH STREET"/>
        <s v="UMAR KAWAJI STREET"/>
        <s v="SAMADI STREET"/>
        <s v="KANYA STREET"/>
        <s v="UMAR DAN AZUMI STREET"/>
        <s v="SA'AD TANKO STREET"/>
        <s v="AHMAD ASHAKA STREET"/>
        <s v="FAGWALAWA LINK"/>
        <s v="BARAU DANBATTA ROAD"/>
        <s v="KALU STREET"/>
        <s v="BARAU DANBATTA LINK"/>
        <s v="IBRAHIM ZUBAIRU STREET"/>
      </sharedItems>
    </cacheField>
    <cacheField name="Streets in Cluster 10" numFmtId="0">
      <sharedItems containsBlank="1">
        <m/>
        <s v="HAUSAWA MODEL PRIMARY SCHOOL ROAD"/>
        <s v="NASIR WANZAN STREET"/>
        <s v="BABBAN LAYI ROAD"/>
        <s v="ABBAS MAI WANKI STREET"/>
        <s v="SANI GWARZO STREET"/>
        <s v="SOCIAL INSURANCE ROAD"/>
        <s v="A ISMAIL ADAMU GANO STREET"/>
        <s v="MUHAMMAD DANKABO AVENUE"/>
        <s v="DAN KURA STREET"/>
        <s v="ZOO ROAD"/>
        <s v="SULE BATSARI AVENUE"/>
        <s v="SULE DANBATTA STREET"/>
        <s v="MUDI ALASAN ROAD"/>
        <s v="MUSTAPHA TELA STREET"/>
        <s v="DPO STREET"/>
        <s v="DAN GAYA STREET"/>
        <s v="LAYIN MADORA STREET"/>
        <s v="ZANNAN ALBASU STREET"/>
        <s v="MUSTAPHA TELA CLOSE"/>
        <s v="KAWO MAIGARI ROAD"/>
        <s v="AYUBA MAI MAI STREET"/>
        <s v="KWANYAWA STREET"/>
        <s v="AUDU SAYE STREET"/>
        <s v="AUYO STREET"/>
        <s v="GARBA KAZAURE STREET"/>
      </sharedItems>
    </cacheField>
    <cacheField name="Streets in Cluster 14" numFmtId="0">
      <sharedItems containsBlank="1">
        <m/>
        <s v="LARABA CLOSE"/>
        <s v="UNITY COMPREHENSIVE STREET"/>
        <s v="ISUHU ROBA STREET"/>
        <s v="BALA SHOE SHINER STREET"/>
        <s v="DAN MADARI STREET"/>
        <s v="GIDAN GERO STREET"/>
        <s v="AIRPORT ROAD"/>
        <s v="EGBE ROAD"/>
        <s v="ODUTOLA STREET"/>
        <s v="FEDERAL SECRETARIAT ROAD"/>
        <s v="HAJJ CAMP ROAD"/>
        <s v="NGURU AVENUE"/>
        <s v="FREETOWN STREET"/>
        <s v="SARKIN YAKI STREET"/>
        <s v="WHETHERHEAD STREET"/>
        <s v="ZUNGERU ROAD"/>
        <s v="CEASER AVENUE"/>
        <s v="VAN GEORGE CLOSE"/>
      </sharedItems>
    </cacheField>
    <cacheField name="Streets in Cluster 20" numFmtId="0">
      <sharedItems containsBlank="1">
        <m/>
        <s v="MAI GATARI STREET"/>
        <s v="CBN QUARTERS ROAD"/>
        <s v="HON. SIDI HAMID ALI STREET"/>
        <s v="ABDUL'AZIZ HARUNA STREET"/>
        <s v="HANGA AVENUE"/>
        <s v="HOTORO TINSHAMA ROAD"/>
        <s v="HIGH TENSION LINE"/>
      </sharedItems>
    </cacheField>
    <cacheField name="Abdullahi Elhabeeb Cluster Selection" numFmtId="0">
      <sharedItems containsBlank="1">
        <m/>
        <s v="Cluster 13"/>
        <s v="Cluster 18"/>
        <s v="Cluster 16"/>
        <s v="Cluster 6"/>
        <s v="Cluster 2"/>
      </sharedItems>
    </cacheField>
    <cacheField name="Streets in Cluster 6" numFmtId="0">
      <sharedItems containsBlank="1">
        <m/>
        <s v="NORTHWEST UNIVERSITY ROAD"/>
        <s v="SALEH RIMIN GADO STREET"/>
        <s v="MAIRUWA STREET"/>
        <s v="FARM CENTER ROAD"/>
        <s v="MAL UZAIRU STREET"/>
        <s v="LAYIN MASALLACI STREET"/>
        <s v="LAYIN FARIN GIDA STREET"/>
        <s v="SABO BAKIN ZUWO ROAD"/>
        <s v="LAYIN GWAN GWAN STREET"/>
        <s v="LAUTAI ROAD"/>
        <s v="YAUTAI LINK"/>
        <s v="MALAMI STREET"/>
        <s v="BAGUDU STREET"/>
        <s v="SARKIN KASUWA STREET"/>
        <s v="LAMIDO CRESCENT"/>
        <s v="MAGAJIN RUMFA ROAD"/>
        <s v="KURA ROAD"/>
        <s v="SOKOTO ROAD"/>
        <s v="MUHAMMED BELLO COUNCILLOR STREET"/>
        <s v="MAL. HUSSAINI STREET"/>
        <s v="HAMZA ABDULLAHI ROAD"/>
        <s v="SABBABU STREET"/>
        <s v="SANI LAWAN STREET"/>
        <s v="GIDADO ROAD"/>
        <s v="JIBRIL WUDIL STREET"/>
        <s v="TUKUR ROAD"/>
        <s v="AHMED DAKU ROAD"/>
        <s v="SEN. ISA KACHAKO ROAD"/>
        <s v="ADO GWARAM ROAD"/>
        <s v="AHMED YEKEDIMA ROAD"/>
        <s v="NUHU ALPA ROAD"/>
        <s v="FOUNDATION ROAD"/>
        <s v="MAL. BILYA STREET"/>
        <s v="ADO JA'AFAR STREET"/>
        <s v="TARAUNI MARKET ROAD"/>
      </sharedItems>
    </cacheField>
    <cacheField name="Streets in Cluster 2" numFmtId="0">
      <sharedItems containsBlank="1">
        <m/>
        <s v="BUK ROAD"/>
        <s v="DURBIN KATSINA ROAD"/>
        <s v="TSAUNA CLOSE"/>
        <s v="STATE ROAD"/>
        <s v="USMANIYYA LINK"/>
        <s v="MURTALA MOHAMMED WAY"/>
        <s v="LAGOS STREET"/>
        <s v="BIDA ROAD"/>
        <s v="AJASA YAN SIMINTI ROAD"/>
        <s v="MATAN FADA ROAD"/>
        <s v="MUSA FAGGE LINK"/>
        <s v="OLUSEGUN OBASANJO WAY"/>
        <s v="IBRAHIM TAIWO ROAD"/>
        <s v="ARAKAN ROAD"/>
        <s v="TAMANDU CLOSE"/>
        <s v="TAMANDU ROAD"/>
        <s v="LAWAN ATANA ROAD"/>
        <s v="STADIUM ROAD"/>
        <s v="EMIR ROAD"/>
        <s v="OBASANJO ROAD"/>
        <s v="YUSUF KURFI STREET"/>
        <s v="REVENUE ROAD"/>
        <s v="ALWALI ROAD"/>
        <s v="USMAN LIMAN ROAD"/>
        <s v="CIVIC CENTRE ROAD"/>
        <s v="INUWA WADA LANE"/>
        <s v="AJASA ROAD"/>
        <s v="TREE LANE"/>
      </sharedItems>
    </cacheField>
    <cacheField name="Streets in Cluster 16" numFmtId="0">
      <sharedItems containsBlank="1">
        <m/>
        <s v="RESEARCH LANE"/>
        <s v="NASIRU KABARA STREET"/>
        <s v="AUTAN BAWO STREET"/>
        <s v="ALIYU MODDIBO STREET"/>
        <s v="MOHAMMED MOHAMMED AVENUE"/>
        <s v="ISAH KAITA ROAD"/>
        <s v="IBRAHIM UMAR STREET"/>
        <s v="BAWO ROAD"/>
        <s v="19TH LINK"/>
        <s v="LAWAN NA'ALLAH STREET"/>
      </sharedItems>
    </cacheField>
    <cacheField name="Streets in Cluster 13" numFmtId="0">
      <sharedItems containsBlank="1">
        <m/>
        <s v="10TH STREET"/>
        <s v="12TH STREET"/>
        <s v="SULE GAYA ROAD"/>
        <s v="GIMBA UMAR CLOSE"/>
        <s v="ABBAS LINK"/>
        <s v="KWAIRANGA ROAD"/>
        <s v="DANBAZAU ROAD"/>
        <s v="MAYU ROAD"/>
        <s v="GIDADO MUKHTAR LINK"/>
        <s v="ALU AVENUE"/>
        <s v="LAFIA ROAD"/>
        <s v="LODGE ROAD"/>
        <s v="SHADAI CLOSE"/>
        <s v="MEDICAL AVENUE"/>
        <s v="NEW HOSPITAL ROAD"/>
        <s v="POLICE WALK WAY"/>
      </sharedItems>
    </cacheField>
    <cacheField name="Streets in Cluster 18" numFmtId="0">
      <sharedItems containsBlank="1">
        <m/>
        <s v="TUKUR LINK"/>
        <s v="DUTSE ROAD"/>
        <s v="ALI YAKASAI STREET"/>
        <s v="YUSUF ROAD"/>
        <s v="YAKUBU BAKO CLOSE"/>
        <s v="MUHAMMED NASIR MUKTAR CLOSE"/>
        <s v="DABO MOHAMMED CLOSE"/>
        <s v="SULE BOMPAI STREET"/>
        <s v="UMARU BABURA ROAD"/>
        <s v="RWAFF ROAD"/>
        <s v="BARGERY ROAD"/>
        <s v="KAWU MAI WANKI STREET"/>
        <s v="BATAWA ROAD"/>
      </sharedItems>
    </cacheField>
    <cacheField name="Sadiq Dala Cluster Selection" numFmtId="0">
      <sharedItems containsBlank="1">
        <s v="Cluster 19"/>
        <s v="Cluster 12"/>
        <s v="Cluster 5"/>
        <s v="Cluster 9"/>
        <m/>
        <s v="Cluster 15"/>
      </sharedItems>
    </cacheField>
    <cacheField name="Streets in Cluster 5" numFmtId="0">
      <sharedItems containsBlank="1">
        <m/>
        <s v="BAYAN GANDU ROAD"/>
        <s v="SERVICE STREET"/>
        <s v="SAGIR W.MAI IYALI STREET"/>
        <s v="ALHAJI BALA STREET"/>
        <s v="LAYIN MAKABARTA ROAD"/>
        <s v="FAROUK RABIU ROAD"/>
        <s v="MAL. KHIDIR BASHIR STREET"/>
        <s v="YAKUBU BOKOTI STREET"/>
        <s v="MAL ADAM STREET"/>
        <s v="YAR AKWA LAYIN CEMENT STREET"/>
        <s v="GARKI ROAD"/>
        <s v="NAZIRU SARKIN WAKA STREET"/>
        <s v="ALI UNGUWAR GANO STREET"/>
        <s v="ALMAGHILI STREET"/>
        <s v="R KABIRU STREET"/>
        <s v="BARDE STREET"/>
        <s v="DARMANAWA ROAD"/>
      </sharedItems>
    </cacheField>
    <cacheField name="Streets in Cluster 9" numFmtId="0">
      <sharedItems containsBlank="1">
        <m/>
        <s v="COURT ROAD"/>
        <s v="GALADIMA STREET"/>
        <s v="NEW ROAD"/>
        <s v="BELLO DAN DAGO ROAD"/>
        <s v="HAJIYA SA'A STREET"/>
        <s v="ABBALE STREET"/>
        <s v="ABDULLAHI WASE ROAD"/>
        <s v="SANI UNGOGGO ROAD"/>
        <s v="DUNI STREET"/>
        <s v="UNITY ROAD"/>
        <s v="ABDULLAHI BAYERO ROAD"/>
        <s v="IBB WAY"/>
        <s v="ABADIE STREET"/>
        <s v="CHURCH ROAD"/>
        <s v="A D TITIMA STREET"/>
        <s v="YAKUBU UMAR STREET"/>
      </sharedItems>
    </cacheField>
    <cacheField name="Streets in Cluster 15" numFmtId="0">
      <sharedItems containsBlank="1">
        <m/>
        <s v="DR M SHABA STREET"/>
        <s v="BAKWA AVENUE"/>
        <s v="HASSAN GWARZO STREET"/>
        <s v="MAI HULA STREET"/>
        <s v="UMAR TURAWA STREET"/>
        <s v="TUDUN MALIKI ROAD"/>
        <s v="MUHAMMAD SHESHE STREET"/>
        <s v="KARAI CLOSE"/>
        <s v="MADU BAKTAMA STREET"/>
        <s v="SHEIKH TIJJANI KALARAWI STREET"/>
        <s v="TANKO YAKASAI STREET"/>
        <s v="KABO AVENUE"/>
        <s v="MAIDABINO AVENUE"/>
        <s v="LAYIN LAJAWA ROAD"/>
      </sharedItems>
    </cacheField>
    <cacheField name="Streets in Cluster 12" numFmtId="0">
      <sharedItems containsBlank="1">
        <m/>
        <s v="JIGAWA ROAD"/>
        <s v="BUNA ROAD"/>
        <s v="JUSTICE DAHIRU MUSTAPHA ROAD"/>
        <s v="DORAWA ROAD"/>
        <s v="ABBA GANA STREET"/>
        <s v="AHMADU BELLO WAY"/>
        <s v="IBRAHIM DABO ROAD"/>
        <s v="BABURA ROAD"/>
        <s v="LUGARD AVENUE"/>
        <s v="YANDUTSE ROAD"/>
        <s v="IYAKA ROAD"/>
        <s v="BORNO AVENUE"/>
        <s v="KASHIM IBRAHIM WAY"/>
        <s v="BELLO KANO STREET"/>
        <s v="COMMISSIONER ROAD"/>
        <s v="DAN HAUSA ROAD"/>
        <s v="DR BALA MUHAMMAD ROAD"/>
      </sharedItems>
    </cacheField>
    <cacheField name="Streets in Cluster 19" numFmtId="0">
      <sharedItems containsBlank="1">
        <s v="UMARU BABURA LINK"/>
        <s v="GARBA YAKASAI LINK"/>
        <s v="LARABA ROAD"/>
        <m/>
        <s v="DARMA LINK"/>
        <s v="ABUBAKAR TSAV STREET"/>
        <s v="GIGINYU BARRACKS ROAD"/>
        <s v="YAKUBU SULEIMAN LINK"/>
        <s v="UMAR GALADIMA ROAD"/>
        <s v="ASMA'U LINK"/>
        <s v="DAN WUDIL LINK"/>
        <s v="ADAKAWA LINK"/>
        <s v="AHAD CRESCENT"/>
        <s v="YOLAWA LINK"/>
        <s v="KABO LINK"/>
        <s v="ZUBAIRU INUWA LINK"/>
        <s v="WRECCA ROAD"/>
        <s v="MALAM BUHARI LINK"/>
        <s v="BABAN KWARI ROAD"/>
        <s v="MUSA TUDUN WADA LINK"/>
        <s v="MADINA LINK"/>
        <s v="IBRAHIM GODI STREET"/>
        <s v="ADAMU JOJI ROAD"/>
        <s v="JABBO ROAD"/>
        <s v="SARDAUNA HABIB AVENUE"/>
        <s v="SULTAN ROAD"/>
        <s v="DAUDA BIRMA STREET"/>
        <s v="MADUGU LINK"/>
        <s v="LAMIDO TERRACE"/>
        <s v="SARDAUNA CRESCENT"/>
        <s v="BELLO ADOKE CLOSE"/>
        <s v="SURAJO MARSHAL LINK"/>
        <s v="SALIHU ZAWA'I UBA AVENUE"/>
      </sharedItems>
    </cacheField>
    <cacheField name="Installation Points">
      <sharedItems containsBlank="1" containsMixedTypes="1" containsNumber="1" containsInteger="1">
        <s v="Point 2"/>
        <s v="Point 1"/>
        <n v="2.0"/>
        <n v="1.0"/>
        <m/>
      </sharedItems>
    </cacheField>
    <cacheField name="LATITUDE" numFmtId="0">
      <sharedItems containsString="0" containsBlank="1" containsNumber="1">
        <n v="11.988879"/>
        <n v="11.993546"/>
        <n v="11.988553"/>
        <n v="11.990016"/>
        <n v="11.992911"/>
        <n v="11.992416"/>
        <n v="11.993591"/>
        <n v="12.012237"/>
        <n v="11.949135"/>
        <n v="12.014483"/>
        <n v="11.96822"/>
        <n v="12.010775"/>
        <n v="11.941463"/>
        <n v="11.944812"/>
        <n v="11.96705682"/>
        <n v="11.966964"/>
        <n v="12.018467"/>
        <n v="11.95351"/>
        <n v="11.95367235"/>
        <n v="11.953658"/>
        <n v="11.95404936"/>
        <n v="12.000671"/>
        <n v="12.00014"/>
        <n v="12.01048788"/>
        <n v="12.011946"/>
        <n v="11.979373"/>
        <n v="11.978409"/>
        <n v="12.03179698"/>
        <n v="12.032754"/>
        <n v="11.974459"/>
        <n v="11.976583"/>
        <n v="11.986771"/>
        <n v="11.99993972"/>
        <n v="11.96830455"/>
        <n v="11.98472698"/>
        <n v="11.98687202"/>
        <n v="12.00166356"/>
        <n v="11.95345337"/>
        <n v="11.97683135"/>
        <n v="11.97411308"/>
        <n v="11.96685046"/>
        <n v="11.95716415"/>
        <n v="11.95198485"/>
        <n v="11.914852"/>
        <n v="11.93683056"/>
        <n v="11.95018476"/>
        <n v="12.004822"/>
        <n v="11.968521"/>
        <n v="11.968373"/>
        <n v="12.008"/>
        <n v="12.005913"/>
        <n v="11.990755"/>
        <n v="11.993615"/>
        <n v="11.993657"/>
        <n v="12.006003"/>
        <n v="12.007171"/>
        <n v="11.960993"/>
        <n v="11.960924"/>
        <n v="11.965592"/>
        <n v="11.964948"/>
        <n v="11.95483"/>
        <n v="11.953855"/>
        <n v="11.965142"/>
        <n v="11.957541"/>
        <n v="11.9558"/>
        <n v="11.957932"/>
        <n v="12.020436"/>
        <n v="12.00110097"/>
        <n v="11.97211"/>
        <n v="11.970492"/>
        <n v="11.9723"/>
        <n v="12.000658"/>
        <n v="11.97308589"/>
        <n v="11.989198"/>
        <n v="11.989532"/>
        <n v="12.01401"/>
        <n v="12.004627"/>
        <n v="12.00584"/>
        <n v="12.008713"/>
        <n v="12.006206"/>
        <n v="11.970588"/>
        <n v="11.97772204"/>
        <n v="12.00071"/>
        <n v="11.99395"/>
        <n v="12.006396"/>
        <n v="12.020449"/>
        <n v="12.004779"/>
        <n v="12.01547"/>
        <n v="12.00716"/>
        <n v="11.99702"/>
        <n v="11.999456"/>
        <n v="11.99820295"/>
        <n v="11.99605"/>
        <n v="12.000652"/>
        <n v="11.990852"/>
        <n v="11.97210432"/>
        <n v="11.969342"/>
        <n v="11.986422"/>
        <n v="11.988842"/>
        <n v="11.97872565"/>
        <n v="11.979599"/>
        <n v="11.9757042"/>
        <n v="11.968354"/>
        <n v="11.994854"/>
        <n v="11.99485"/>
        <n v="11.994813"/>
        <n v="11.993056"/>
        <n v="12.025643"/>
        <n v="12.025736"/>
        <n v="12.026479"/>
        <n v="12.029617"/>
        <n v="12.028591"/>
        <n v="12.015233"/>
        <n v="12.014038"/>
        <n v="11.992041"/>
        <n v="12.009168"/>
        <n v="12.008588"/>
        <n v="12.003801"/>
        <n v="12.007244"/>
        <n v="12.010563"/>
        <n v="12.01199"/>
        <n v="12.011523"/>
        <n v="12.001056"/>
        <n v="12.006953"/>
        <n v="12.007115"/>
        <n v="12.008745"/>
        <n v="12.006097"/>
        <n v="12.00586"/>
        <n v="12.011964"/>
        <n v="12.010879"/>
        <n v="12.007189"/>
        <n v="11.949729"/>
        <n v="11.947291"/>
        <n v="11.942822"/>
        <n v="11.941604"/>
        <n v="11.941058"/>
        <n v="11.941005"/>
        <n v="11.939752"/>
        <n v="11.939236"/>
        <n v="11.938153"/>
        <n v="11.941359"/>
        <n v="11.94274"/>
        <n v="11.941608"/>
        <n v="11.940429"/>
        <n v="11.97496389"/>
        <n v="11.975042"/>
        <n v="11.991738"/>
        <n v="11.992681"/>
        <n v="11.976742"/>
        <n v="11.99703724"/>
        <n v="12.007482"/>
        <n v="12.00677333"/>
        <n v="11.9856943"/>
        <n v="11.98317949"/>
        <n v="11.98421072"/>
        <n v="11.98164142"/>
        <n v="11.981627"/>
        <n v="11.99437793"/>
        <n v="11.96976137"/>
        <n v="11.98184005"/>
        <n v="11.98239081"/>
        <n v="11.9772418"/>
        <n v="11.98058"/>
        <n v="11.98520526"/>
        <n v="11.97607144"/>
        <n v="11.97544946"/>
        <n v="11.98359918"/>
        <n v="11.985094"/>
        <n v="11.9944188"/>
        <n v="11.99355"/>
        <n v="8.57793499"/>
        <n v="11.99412319"/>
        <n v="11.99387107"/>
        <n v="11.992978"/>
        <n v="11.990878"/>
        <n v="11.988588"/>
        <n v="11.99134"/>
        <n v="11.997021"/>
        <n v="11.991806"/>
        <n v="11.994366"/>
        <n v="11.91858"/>
        <n v="11.992945"/>
        <n v="11.993526"/>
        <n v="11.979822"/>
        <n v="11.985879"/>
        <n v="11.987259"/>
        <n v="11.987356"/>
        <n v="11.99716"/>
        <n v="11.997662"/>
        <n v="11.96697"/>
        <n v="11.963383"/>
        <n v="11.963893"/>
        <n v="11.966277"/>
        <n v="11.982466"/>
        <n v="11.979816"/>
        <n v="11.994656"/>
        <n v="11.994543"/>
        <n v="11.988184"/>
        <n v="11.988167"/>
        <n v="11.990213"/>
        <n v="11.991877"/>
        <n v="12.002788"/>
        <n v="12.002729"/>
        <n v="11.99392454"/>
        <n v="11.96433587"/>
        <n v="12.003936"/>
        <n v="11.987034"/>
        <n v="11.970544"/>
        <n v="11.969605"/>
        <n v="11.966256"/>
        <n v="11.969917"/>
        <n v="11.970065"/>
        <n v="11.972391"/>
        <n v="11.96657"/>
        <n v="11.969053"/>
        <n v="11.967528"/>
        <n v="11.968845"/>
        <n v="11.999702"/>
        <n v="12.01183"/>
        <n v="12.006481"/>
        <n v="12.01231"/>
        <n v="12.017972"/>
        <n v="12.016637"/>
        <n v="12.018376"/>
        <n v="12.019305"/>
        <n v="12.024645"/>
        <n v="12.026196"/>
        <n v="12.007975"/>
        <n v="12.011175"/>
        <n v="11.986904"/>
        <n v="11.986733"/>
        <n v="11.985446"/>
        <n v="11.985715"/>
        <n v="11.977971"/>
        <n v="11.977547"/>
        <n v="11.974726"/>
        <n v="11.975108"/>
        <n v="11.968189"/>
        <n v="11.966195"/>
        <n v="11.971279"/>
        <n v="11.970105"/>
        <n v="11.976915"/>
        <n v="12.000852"/>
        <n v="12.006174"/>
        <n v="12.003325"/>
        <n v="12.003759"/>
        <n v="12.002765"/>
        <n v="11.992206"/>
        <n v="11.990885"/>
        <n v="11.976931"/>
        <n v="11.97529"/>
        <n v="11.962784"/>
        <n v="11.977801"/>
        <n v="11.970859"/>
        <n v="11.971331"/>
        <n v="11.968836"/>
        <n v="11.971336"/>
        <n v="11.973788"/>
        <n v="11.972363"/>
        <n v="11.97367"/>
        <n v="11.974862"/>
        <n v="12.012336"/>
        <n v="12.006149"/>
        <n v="12.004751"/>
        <n v="12.009262"/>
        <n v="12.00569228"/>
        <n v="12.00797793"/>
        <n v="11.978291"/>
        <n v="12.005735"/>
        <n v="11.986157"/>
        <n v="12.003455"/>
        <n v="12.012136"/>
        <n v="11.98983086"/>
        <n v="11.99175"/>
        <n v="11.94202045"/>
        <n v="12.0026072"/>
        <n v="12.01069936"/>
        <n v="11.993774"/>
        <n v="12.01855129"/>
        <n v="11.979475"/>
        <n v="11.9821"/>
        <n v="12.01077"/>
        <n v="12.01422"/>
        <n v="12.0005"/>
        <n v="12.0003373"/>
        <n v="11.998402"/>
        <n v="11.98717"/>
        <n v="11.992928"/>
        <n v="12.002561"/>
        <n v="11.979842"/>
        <n v="11.989596"/>
        <n v="11.981576"/>
        <n v="11.9908"/>
        <n v="11.9896101"/>
        <n v="11.99953262"/>
        <n v="11.998708"/>
        <n v="11.97817563"/>
        <n v="11.98127403"/>
        <n v="11.98097198"/>
        <n v="11.977067"/>
        <n v="11.970077"/>
        <n v="11.97140713"/>
        <n v="11.96981028"/>
        <n v="11.97480263"/>
        <n v="11.972536"/>
        <n v="12.00420344"/>
        <n v="12.00324169"/>
        <n v="12.01772795"/>
        <n v="12.01756"/>
        <n v="12.018166"/>
        <n v="12.008264"/>
        <n v="12.01309"/>
        <n v="12.006978"/>
        <n v="12.00953"/>
        <n v="12.01593305"/>
        <n v="11.99609961"/>
        <n v="11.99629225"/>
        <n v="11.99672369"/>
        <n v="12.01532302"/>
        <n v="12.01543107"/>
        <n v="12.01376586"/>
        <n v="12.01427019"/>
        <n v="12.00496662"/>
        <n v="12.006108"/>
        <n v="12.00682277"/>
        <n v="11.987875"/>
        <n v="11.99123462"/>
        <n v="12.007488"/>
        <n v="12.012496"/>
        <n v="12.006203"/>
        <n v="12.01052"/>
        <n v="11.961095"/>
        <n v="12.00738"/>
        <n v="12.00735"/>
        <n v="11.99369365"/>
        <n v="11.9974744"/>
        <n v="11.964438"/>
        <n v="11.98813639"/>
        <n v="11.98573844"/>
        <n v="11.97986742"/>
        <n v="11.97994157"/>
        <n v="11.99131258"/>
        <n v="11.98100479"/>
        <n v="11.96469448"/>
        <n v="11.96601413"/>
        <n v="11.98247"/>
        <n v="11.981888"/>
        <n v="11.99681771"/>
        <n v="11.99738853"/>
        <n v="11.99688214"/>
        <n v="11.99690006"/>
        <n v="11.99553865"/>
        <n v="11.99632"/>
        <n v="11.99211091"/>
        <n v="11.99346964"/>
        <n v="11.99575927"/>
        <n v="11.99440737"/>
        <n v="11.99415762"/>
        <n v="11.99479684"/>
        <n v="11.94667742"/>
        <n v="11.94558037"/>
        <n v="11.99703864"/>
        <n v="11.99617532"/>
        <n v="11.98885116"/>
        <n v="11.99020712"/>
        <n v="11.98591722"/>
        <n v="11.98758884"/>
        <n v="11.98732404"/>
        <n v="11.971253"/>
        <n v="11.973922"/>
        <n v="11.975455"/>
        <n v="11.97132"/>
        <n v="11.971867"/>
        <n v="11.980106"/>
        <n v="11.97364"/>
        <n v="11.975777"/>
        <n v="11.97802"/>
        <n v="11.988573"/>
        <n v="11.988724"/>
        <n v="11.988674"/>
        <n v="11.989458"/>
        <n v="12.002562"/>
        <n v="12.001628"/>
        <n v="12.004426"/>
        <n v="12.004928"/>
        <n v="12.006753"/>
        <n v="11.99693043"/>
        <n v="11.99746656"/>
        <n v="12.007548"/>
        <n v="11.99629375"/>
        <n v="11.99044878"/>
        <n v="11.98631"/>
        <n v="11.9890317"/>
        <n v="11.98846925"/>
        <n v="11.98710793"/>
        <n v="11.98581181"/>
        <n v="11.982097"/>
        <n v="11.98278142"/>
        <n v="11.98362809"/>
        <n v="11.985394"/>
        <n v="11.98653333"/>
        <n v="11.98646667"/>
        <n v="11.98857"/>
        <n v="11.99424093"/>
        <n v="11.99752651"/>
        <n v="11.98568576"/>
        <n v="11.98935616"/>
        <n v="11.98856802"/>
        <n v="11.99355853"/>
        <n v="11.99190469"/>
        <n v="11.98685559"/>
        <n v="8.563286803"/>
        <n v="8.564407534"/>
        <n v="11.99363863"/>
        <n v="11.9936451"/>
        <n v="8.566843705"/>
        <n v="11.99489747"/>
        <n v="11.94477125"/>
        <n v="11.94328946"/>
        <n v="11.93855679"/>
        <n v="11.93817239"/>
        <n v="11.93667304"/>
        <n v="11.94069059"/>
        <n v="12.018433"/>
        <n v="12.014454"/>
        <n v="12.018404"/>
        <n v="12.014464"/>
        <n v="12.031109"/>
        <n v="12.030112"/>
        <n v="12.006378"/>
        <n v="12.023994"/>
        <n v="12.023358"/>
        <n v="12.019698"/>
        <n v="12.005047"/>
        <n v="12.00792"/>
        <n v="12.004162"/>
        <n v="12.008886"/>
        <n v="12.009968"/>
        <n v="12.009424"/>
        <n v="12.003768"/>
        <n v="12.010179"/>
        <n v="12.010155"/>
        <n v="12.016679"/>
        <n v="12.020508"/>
        <n v="12.021303"/>
        <n v="12.022094"/>
        <n v="12.02146"/>
        <n v="12.020522"/>
        <n v="12.016838"/>
        <n v="12.016305"/>
        <n v="12.010521"/>
        <n v="12.018372"/>
        <n v="12.011239"/>
        <n v="12.014488"/>
        <n v="12.018412"/>
        <n v="12.032488"/>
        <n v="12.030512"/>
        <n v="12.025813"/>
        <n v="12.025689"/>
        <n v="12.022879"/>
        <n v="12.022832"/>
        <n v="12.0028"/>
        <n v="8.571088"/>
        <n v="8.567862"/>
        <n v="8.560906"/>
        <n v="11.98080355"/>
        <n v="12.03017415"/>
        <n v="12.02818502"/>
        <n v="12.0265397"/>
        <n v="12.02574169"/>
        <n v="12.02253483"/>
        <n v="12.02739254"/>
        <n v="12.02808936"/>
        <n v="12.0279379"/>
        <n v="12.02738657"/>
        <n v="12.026489"/>
        <n v="11.989044"/>
        <n v="11.99140568"/>
        <n v="11.982003"/>
        <n v="11.98222249"/>
        <n v="11.982783"/>
        <n v="11.978737"/>
        <n v="11.97987056"/>
        <n v="11.969217"/>
        <n v="11.96922417"/>
        <n v="11.967627"/>
        <n v="11.9748"/>
        <n v="11.97741556"/>
        <n v="11.99348"/>
        <n v="11.977492"/>
        <n v="11.992248"/>
        <n v="8.552105"/>
        <n v="11.983503"/>
        <n v="11.980155"/>
        <n v="11.978138"/>
        <n v="11.979791"/>
        <n v="11.976828"/>
        <n v="11.980774"/>
        <n v="11.976173"/>
        <n v="11.974086"/>
        <n v="11.975828"/>
        <n v="11.968107"/>
        <n v="11.963129"/>
        <n v="11.9913217"/>
        <n v="11.9918821"/>
        <n v="11.992403"/>
        <n v="11.99357844"/>
        <n v="11.9944163"/>
        <n v="11.99410421"/>
        <n v="11.99385622"/>
        <n v="11.99463819"/>
        <n v="11.99522271"/>
        <n v="11.99474593"/>
        <n v="11.9946441"/>
        <n v="11.99515737"/>
        <n v="11.99558742"/>
        <n v="11.99566897"/>
        <n v="11.99758963"/>
        <n v="11.99733428"/>
        <n v="11.981597"/>
        <n v="11.981581"/>
        <n v="11.97456334"/>
        <n v="11.970538"/>
        <n v="11.97069708"/>
        <n v="11.971787"/>
        <n v="11.97384281"/>
        <n v="11.985992"/>
        <n v="11.987588"/>
        <n v="11.975283"/>
        <n v="11.97597247"/>
        <n v="11.985843"/>
        <n v="12.000738"/>
        <n v="12.00084"/>
        <n v="11.980294"/>
        <n v="11.9778"/>
        <n v="11.977771"/>
        <n v="11.977793"/>
        <n v="11.97931"/>
        <n v="11.97944"/>
        <n v="11.978796"/>
        <n v="12.011298"/>
        <n v="12.00525287"/>
        <n v="12.01900101"/>
        <n v="12.01260693"/>
        <n v="12.01315122"/>
        <n v="12.00757803"/>
        <n v="12.008848"/>
        <n v="12.01013057"/>
        <n v="12.0075823"/>
        <n v="12.01362301"/>
        <n v="12.01391958"/>
        <n v="12.01526793"/>
        <n v="12.01026851"/>
        <n v="12.00886496"/>
        <n v="12.00884832"/>
        <n v="12.00873371"/>
        <n v="12.00593"/>
        <n v="12.00944606"/>
        <n v="12.00662031"/>
        <n v="12.00954493"/>
        <n v="11.98083725"/>
        <n v="11.994251"/>
        <n v="11.99690254"/>
        <n v="11.9972823"/>
        <n v="12.02573164"/>
        <n v="12.02655485"/>
        <n v="12.0275951"/>
        <n v="11.99574036"/>
        <n v="11.99574199"/>
        <n v="11.97757"/>
        <n v="11.976886"/>
        <n v="11.977354"/>
        <n v="11.976922"/>
        <n v="11.96986"/>
        <n v="11.979989"/>
        <n v="11.973295"/>
        <n v="11.98011822"/>
        <n v="11.9951966"/>
        <n v="11.97592"/>
        <n v="11.96756"/>
        <n v="11.97015"/>
        <n v="8.53734"/>
        <n v="11.97024"/>
        <n v="11.9895"/>
        <n v="11.99366"/>
        <n v="11.99367"/>
        <n v="11.00123"/>
        <n v="11.99758"/>
        <n v="11.99542"/>
        <n v="11.9936"/>
        <n v="11.9918"/>
        <n v="11.9903"/>
        <n v="11.9904"/>
        <n v="11.99"/>
        <n v="11.9982"/>
        <n v="12.0041"/>
        <n v="12.00256"/>
        <n v="12.00245"/>
        <n v="12.0006"/>
        <n v="12.0004"/>
        <n v="11.9985"/>
        <n v="12.030332"/>
        <n v="12.031767"/>
        <n v="12.026146"/>
        <n v="12.025033"/>
        <n v="12.024255"/>
        <n v="12.02433"/>
        <n v="12.019679"/>
        <n v="12.019582"/>
        <n v="12.013485"/>
        <n v="12.014441"/>
        <n v="12.003562"/>
        <n v="12.024801"/>
        <n v="12.008701"/>
        <n v="12.022057"/>
        <n v="12.019993"/>
        <n v="12.014433"/>
        <n v="12.012207"/>
        <n v="12.01206"/>
        <n v="12.014262"/>
        <n v="12.01467"/>
        <n v="12.013472"/>
        <n v="12.00454"/>
        <n v="12.005875"/>
        <n v="12.008095"/>
        <n v="12.007685"/>
        <n v="11.98618016"/>
        <n v="11.97912453"/>
        <n v="11.97489435"/>
        <n v="11.97567927"/>
        <n v="11.97906117"/>
        <n v="11.97449635"/>
        <n v="11.9763659"/>
        <n v="11.97494248"/>
        <n v="11.97588783"/>
        <n v="11.96855654"/>
        <n v="11.96968177"/>
        <n v="11.96844762"/>
        <n v="11.96864193"/>
        <n v="11.96999556"/>
        <n v="11.96874352"/>
        <n v="11.97025658"/>
        <n v="11.96646151"/>
        <n v="11.96906862"/>
        <n v="11.96873487"/>
        <n v="11.96717347"/>
        <n v="11.95859775"/>
        <n v="11.96355501"/>
        <n v="11.94322302"/>
        <n v="11.96359461"/>
        <n v="11.96551665"/>
        <n v="11.96883597"/>
        <n v="11.96627601"/>
        <n v="12.00046"/>
        <n v="11.99851"/>
        <n v="11.99269"/>
        <n v="11.99086"/>
        <n v="11.98893"/>
        <n v="11.99392"/>
        <n v="12.00024"/>
        <n v="11.00024"/>
        <n v="11.99759"/>
        <n v="11.99589"/>
        <n v="11.99611"/>
        <n v="11.9958"/>
        <n v="11.9926"/>
        <n v="11.997439"/>
        <n v="11.9968041965477"/>
        <n v="11.99661415"/>
        <n v="11.9829815"/>
        <n v="11.97620852"/>
        <n v="11.99574252"/>
        <n v="11.957726"/>
        <n v="11.957447"/>
        <n v="11.946583"/>
        <n v="11.945991"/>
        <n v="11.939342"/>
        <n v="11.946758"/>
        <n v="11.94761"/>
        <n v="11.991"/>
        <n v="11.952544"/>
        <n v="11.947468"/>
        <n v="11.990896"/>
        <m/>
      </sharedItems>
    </cacheField>
    <cacheField name="LONGITUDE" numFmtId="0">
      <sharedItems containsString="0" containsBlank="1" containsNumber="1">
        <n v="8.571841"/>
        <n v="8.569171"/>
        <n v="8.568056"/>
        <n v="8.544262"/>
        <n v="8.569572"/>
        <n v="8.569545"/>
        <n v="8.568826"/>
        <n v="8.52487"/>
        <n v="8.550088"/>
        <n v="8.534677"/>
        <n v="8.553611"/>
        <n v="8.556532"/>
        <n v="8.552836"/>
        <n v="8.536942153"/>
        <n v="8.539032"/>
        <n v="8.529527"/>
        <n v="8.523716"/>
        <n v="8.522900968"/>
        <n v="8.522832"/>
        <n v="8.5233627"/>
        <n v="8.558725"/>
        <n v="8.558667"/>
        <n v="8.569714329"/>
        <n v="8.576555"/>
        <n v="8.558701"/>
        <n v="8.496173624"/>
        <n v="8.495102"/>
        <n v="8.56136"/>
        <n v="8.560618"/>
        <n v="8.481079"/>
        <n v="8.555373708"/>
        <n v="8.566742167"/>
        <n v="8.586025012"/>
        <n v="8.5331379"/>
        <n v="8.544258638"/>
        <n v="8.51995006"/>
        <n v="8.549425256"/>
        <n v="8.540237167"/>
        <n v="8.530215322"/>
        <n v="8.541973322"/>
        <n v="8.537317069"/>
        <n v="8.554973"/>
        <n v="8.55684518"/>
        <n v="8.565481567"/>
        <n v="8.55817"/>
        <n v="8.549793"/>
        <n v="8.549005"/>
        <n v="8.572059"/>
        <n v="8.572301"/>
        <n v="8.56875"/>
        <n v="8.568991"/>
        <n v="8.566788"/>
        <n v="8.565299"/>
        <n v="8.574163"/>
        <n v="8.57405"/>
        <n v="8.538695"/>
        <n v="8.537351"/>
        <n v="8.537951"/>
        <n v="8.539685"/>
        <n v="8.540648"/>
        <n v="8.528592"/>
        <n v="8.534946"/>
        <n v="8.540515"/>
        <n v="8.539546"/>
        <n v="8.564263"/>
        <n v="8.548727248"/>
        <n v="8.533301"/>
        <n v="8.53557"/>
        <n v="8.534203"/>
        <n v="8.53596"/>
        <n v="8.557390242"/>
        <n v="8.541985"/>
        <n v="8.544478"/>
        <n v="8.575959"/>
        <n v="8.572465"/>
        <n v="8.572381"/>
        <n v="8.576188"/>
        <n v="8.576714"/>
        <n v="8.556404"/>
        <n v="8.55803266"/>
        <n v="8.555341"/>
        <n v="8.555234"/>
        <n v="8.563399"/>
        <n v="8.558677783"/>
        <n v="8.568268"/>
        <n v="8.567372"/>
        <n v="8.555647"/>
        <n v="8.555511"/>
        <n v="8.555589472"/>
        <n v="8.55563"/>
        <n v="8.552676"/>
        <n v="8.555926"/>
        <n v="8.556727"/>
        <n v="8.550654"/>
        <n v="8.53578"/>
        <n v="8.559606415"/>
        <n v="8.559046"/>
        <n v="8.562106"/>
        <n v="8.554858"/>
        <n v="8.566735"/>
        <n v="8.568253"/>
        <n v="8.568119"/>
        <n v="8.568222"/>
        <n v="8.536195"/>
        <n v="8.534536"/>
        <n v="8.536214"/>
        <n v="8.533699"/>
        <n v="8.533993"/>
        <n v="8.53624"/>
        <n v="8.543422"/>
        <n v="8.563194"/>
        <n v="8.55093"/>
        <n v="8.556386"/>
        <n v="8.561049"/>
        <n v="8.532437"/>
        <n v="8.535244"/>
        <n v="8.533357"/>
        <n v="8.527867"/>
        <n v="8.52684"/>
        <n v="8.52763"/>
        <n v="8.525886"/>
        <n v="8.529208"/>
        <n v="8.576755"/>
        <n v="8.57106"/>
        <n v="8.573256"/>
        <n v="8.573217"/>
        <n v="8.572158"/>
        <n v="8.72158"/>
        <n v="8.55448"/>
        <n v="8.556635"/>
        <n v="8.557071"/>
        <n v="8.554541"/>
        <n v="8.554809"/>
        <n v="8.555391"/>
        <n v="8.555388"/>
        <n v="8.559017"/>
        <n v="8.559406"/>
        <n v="8.560149"/>
        <n v="8.55963"/>
        <n v="8.556957"/>
        <n v="8.557428"/>
        <n v="8.562019444"/>
        <n v="8.536749"/>
        <n v="8.536534"/>
        <n v="8.56527"/>
        <n v="8.575485903"/>
        <n v="8.579565"/>
        <n v="8.579671587"/>
        <n v="8.582618228"/>
        <n v="8.584282433"/>
        <n v="8.584107723"/>
        <n v="8.574736837"/>
        <n v="8.574221"/>
        <n v="8.541771922"/>
        <n v="8.542606866"/>
        <n v="8.580200096"/>
        <n v="8.582112687"/>
        <n v="8.577316331"/>
        <n v="8.579276"/>
        <n v="8.581861492"/>
        <n v="8.57441855"/>
        <n v="8.574808166"/>
        <n v="8.582608444"/>
        <n v="8.581287"/>
        <n v="8.576738"/>
        <n v="8.575157"/>
        <n v="8.57793499"/>
        <n v="8.576851271"/>
        <n v="8.571336"/>
        <n v="8.571197"/>
        <n v="8.56934"/>
        <n v="8.568862"/>
        <n v="8.566665"/>
        <n v="8.571215"/>
        <n v="8.570396"/>
        <n v="8.56879"/>
        <n v="8.568163"/>
        <n v="8.569808"/>
        <n v="8.567868"/>
        <n v="8.568035"/>
        <n v="8.567419"/>
        <n v="8.566457"/>
        <n v="8.567817"/>
        <n v="8.565905"/>
        <n v="8.551421"/>
        <n v="8.592294"/>
        <n v="8.556895"/>
        <n v="8.557206"/>
        <n v="8.565883"/>
        <n v="8.565393"/>
        <n v="8.570522"/>
        <n v="8.571759"/>
        <n v="8.570723"/>
        <n v="8.568759"/>
        <n v="8.564557"/>
        <n v="8.564399"/>
        <n v="8.561742"/>
        <n v="8.565718"/>
        <n v="8.573818338"/>
        <n v="8.563100633"/>
        <n v="8.543085"/>
        <n v="8.546572"/>
        <n v="8.548043"/>
        <n v="8.546846"/>
        <n v="8.557395"/>
        <n v="8.559788"/>
        <n v="8.568329"/>
        <n v="8.564673"/>
        <n v="8.544861"/>
        <n v="8.546077"/>
        <n v="8.543136"/>
        <n v="8.553248"/>
        <n v="8.564543"/>
        <n v="8.560286"/>
        <n v="8.559722"/>
        <n v="8.554084"/>
        <n v="8.545547"/>
        <n v="8.542556"/>
        <n v="8.543461"/>
        <n v="8.542417"/>
        <n v="8.559934"/>
        <n v="8.559952"/>
        <n v="8.549485"/>
        <n v="8.586397"/>
        <n v="8.566365"/>
        <n v="8.567846"/>
        <n v="8.569505"/>
        <n v="8.573248"/>
        <n v="8.573153"/>
        <n v="8.570744"/>
        <n v="8.566192"/>
        <n v="8.568013"/>
        <n v="8.546528"/>
        <n v="8.545087"/>
        <n v="8.544397"/>
        <n v="8.544653"/>
        <n v="8.543235"/>
        <n v="8.556988"/>
        <n v="8.55986"/>
        <n v="8.554214"/>
        <n v="8.554211"/>
        <n v="8.54325"/>
        <n v="8.55006"/>
        <n v="8.555753"/>
        <n v="8.558882"/>
        <n v="8.558121"/>
        <n v="8.534278"/>
        <n v="8.557971"/>
        <n v="8.563453"/>
        <n v="8.55961"/>
        <n v="8.55718"/>
        <n v="8.555463"/>
        <n v="8.558641"/>
        <n v="8.559051"/>
        <n v="8.560781"/>
        <n v="8.559714"/>
        <n v="8.526393"/>
        <n v="8.56123"/>
        <n v="8.541733"/>
        <n v="8.542594"/>
        <n v="8.532885957"/>
        <n v="8.532098973"/>
        <n v="8.5444972"/>
        <n v="8.561053"/>
        <n v="8.551136"/>
        <n v="8.529414"/>
        <n v="8.526198"/>
        <n v="8.544421984"/>
        <n v="8.541601"/>
        <n v="8.55784802"/>
        <n v="8.532088277"/>
        <n v="8.53462193"/>
        <n v="8.544438"/>
        <n v="8.52943567"/>
        <n v="8.54441"/>
        <n v="8.538826"/>
        <n v="8.532935"/>
        <n v="8.532455"/>
        <n v="8.537457"/>
        <n v="8.537727"/>
        <n v="8.535807"/>
        <n v="8.542012"/>
        <n v="8.541444"/>
        <n v="8.568747"/>
        <n v="8.561489"/>
        <n v="8.550549"/>
        <n v="8.558385"/>
        <n v="8.55583"/>
        <n v="8.550353053"/>
        <n v="8.546634259"/>
        <n v="8.542747"/>
        <n v="8.540660359"/>
        <n v="8.533878499"/>
        <n v="8.53259112"/>
        <n v="8.53032"/>
        <n v="8.530935"/>
        <n v="8.542502622"/>
        <n v="8.536706054"/>
        <n v="8.537340337"/>
        <n v="8.537933"/>
        <n v="8.52489943"/>
        <n v="8.528539698"/>
        <n v="8.529438956"/>
        <n v="8.574209"/>
        <n v="8.577084"/>
        <n v="8.550679"/>
        <n v="8.566527"/>
        <n v="8.564987"/>
        <n v="8.565114"/>
        <n v="8.53249587"/>
        <n v="8.576884472"/>
        <n v="8.574767172"/>
        <n v="8.574797169"/>
        <n v="8.576187334"/>
        <n v="8.576785043"/>
        <n v="8.580250266"/>
        <n v="8.580254962"/>
        <n v="8.578192962"/>
        <n v="8.586341"/>
        <n v="8.580343486"/>
        <n v="8.539648"/>
        <n v="8.539406721"/>
        <n v="8.568696"/>
        <n v="8.568855"/>
        <n v="8.576729"/>
        <n v="8.570883"/>
        <n v="8.536085"/>
        <n v="8.569329"/>
        <n v="8.568707"/>
        <n v="8.535977338"/>
        <n v="8.577715239"/>
        <n v="8.563345"/>
        <n v="8.584792179"/>
        <n v="8.583746399"/>
        <n v="8.574172234"/>
        <n v="8.574988374"/>
        <n v="8.57239211"/>
        <n v="8.573148892"/>
        <n v="8.568506101"/>
        <n v="8.566444698"/>
        <n v="8.576927"/>
        <n v="8.577404"/>
        <n v="8.573178985"/>
        <n v="8.573169142"/>
        <n v="8.570981421"/>
        <n v="8.571570159"/>
        <n v="8.540472645"/>
        <n v="8.539354365"/>
        <n v="8.542411463"/>
        <n v="8.542488196"/>
        <n v="8.538946412"/>
        <n v="8.541051902"/>
        <n v="8.543105102"/>
        <n v="8.54244922"/>
        <n v="8.551740066"/>
        <n v="8.552357706"/>
        <n v="8.567789799"/>
        <n v="8.568498658"/>
        <n v="8.571847548"/>
        <n v="11.98591722"/>
        <n v="8.568032292"/>
        <n v="8.568566542"/>
        <n v="8.56646193"/>
        <n v="8.539852"/>
        <n v="8.538865"/>
        <n v="8.569724"/>
        <n v="8.5759223"/>
        <n v="8.581724"/>
        <n v="8.569864"/>
        <n v="8.570197"/>
        <n v="8.573778"/>
        <n v="8.57319"/>
        <n v="8.568028"/>
        <n v="8.564904"/>
        <n v="8.56814"/>
        <n v="8.564653"/>
        <n v="8.564036"/>
        <n v="8.560989"/>
        <n v="8.554717"/>
        <n v="8.556502"/>
        <n v="8.558437"/>
        <n v="8.542833036"/>
        <n v="8.540946994"/>
        <n v="8.542428"/>
        <n v="8.542561916"/>
        <n v="8.541678079"/>
        <n v="8.551113"/>
        <n v="8.546970999"/>
        <n v="8.546244344"/>
        <n v="8.541475141"/>
        <n v="8.540936673"/>
        <n v="8.5466639"/>
        <n v="8.545207104"/>
        <n v="8.543247097"/>
        <n v="8.5449694"/>
        <n v="8.544566667"/>
        <n v="8.543333333"/>
        <n v="8.568718"/>
        <n v="8.560425784"/>
        <n v="8.562120974"/>
        <n v="8.560242925"/>
        <n v="8.561689638"/>
        <n v="8.567681443"/>
        <n v="8.568775281"/>
        <n v="8.563286803"/>
        <n v="8.564043913"/>
        <n v="8.564407534"/>
        <n v="8.565262614"/>
        <n v="8.566124656"/>
        <n v="8.566843705"/>
        <n v="8.568508218"/>
        <n v="8.552792516"/>
        <n v="8.55359462"/>
        <n v="8.555333744"/>
        <n v="8.55577063"/>
        <n v="8.55996523"/>
        <n v="8.561554052"/>
        <n v="8.530953"/>
        <n v="8.531028"/>
        <n v="8.529424"/>
        <n v="8.529448"/>
        <n v="8.535521"/>
        <n v="8.53601"/>
        <n v="8.53875"/>
        <n v="8.561283"/>
        <n v="8.547382"/>
        <n v="8.544063"/>
        <n v="8.543858"/>
        <n v="8.55506"/>
        <n v="8.549334"/>
        <n v="8.543529"/>
        <n v="8.553269"/>
        <n v="8.55643"/>
        <n v="8.541584"/>
        <n v="8.536218"/>
        <n v="8.538681"/>
        <n v="8.539821"/>
        <n v="8.532632"/>
        <n v="8.532648"/>
        <n v="8.532653"/>
        <n v="8.532656"/>
        <n v="8.539495"/>
        <n v="8.539579"/>
        <n v="8.539544"/>
        <n v="8.552146"/>
        <n v="8.552777"/>
        <n v="8.544435"/>
        <n v="8.556681"/>
        <n v="8.531901"/>
        <n v="8.531646"/>
        <n v="8.535432"/>
        <n v="8.536694"/>
        <n v="8.52953"/>
        <n v="8.539551"/>
        <n v="8.534815"/>
        <n v="8.539548"/>
        <n v="8.561096"/>
        <n v="12.002649"/>
        <n v="11.999743"/>
        <n v="11.999992"/>
        <n v="8.578230519"/>
        <n v="8.51158372"/>
        <n v="8.515239653"/>
        <n v="8.529386867"/>
        <n v="8.529183174"/>
        <n v="8.516379784"/>
        <n v="8.529384879"/>
        <n v="8.523780445"/>
        <n v="8.525757051"/>
        <n v="8.529927719"/>
        <n v="8.530159"/>
        <n v="8.55301"/>
        <n v="8.53867215"/>
        <n v="8.562775"/>
        <n v="8.560541508"/>
        <n v="8.539224"/>
        <n v="8.553091"/>
        <n v="8.561000516"/>
        <n v="8.557763"/>
        <n v="8.55781123"/>
        <n v="8.536561"/>
        <n v="8.535734"/>
        <n v="8.558852684"/>
        <n v="8.53355"/>
        <n v="8.558792"/>
        <n v="8.552105"/>
        <n v="11.989888"/>
        <n v="8.566164"/>
        <n v="8.569674"/>
        <n v="8.568321"/>
        <n v="8.565612"/>
        <n v="8.567587"/>
        <n v="8.571182"/>
        <n v="8.566964"/>
        <n v="8.565602"/>
        <n v="8.562963"/>
        <n v="8.554487"/>
        <n v="8.562111"/>
        <n v="8.571844703"/>
        <n v="8.571844057"/>
        <n v="8.57183"/>
        <n v="8.572088571"/>
        <n v="8.572159484"/>
        <n v="8.572088085"/>
        <n v="8.57215835"/>
        <n v="8.573816899"/>
        <n v="8.575065686"/>
        <n v="8.575148236"/>
        <n v="8.577747732"/>
        <n v="8.577638971"/>
        <n v="8.576992003"/>
        <n v="8.577530563"/>
        <n v="8.576544125"/>
        <n v="8.574633653"/>
        <n v="8.554994"/>
        <n v="8.5549361"/>
        <n v="8.557185514"/>
        <n v="8.556129"/>
        <n v="8.55660452"/>
        <n v="8.558604"/>
        <n v="8.560990795"/>
        <n v="8.558057"/>
        <n v="8.552694"/>
        <n v="8.561972"/>
        <n v="8.561058385"/>
        <n v="8.551091"/>
        <n v="8.560751"/>
        <n v="8.552981"/>
        <n v="8.555686"/>
        <n v="8.551113889"/>
        <n v="8.553006"/>
        <n v="8.552058"/>
        <n v="8.552098"/>
        <n v="8.553151"/>
        <n v="8.554918"/>
        <n v="8.581513"/>
        <n v="8.583973364"/>
        <n v="8.581625466"/>
        <n v="8.584768125"/>
        <n v="8.583331358"/>
        <n v="8.580983076"/>
        <n v="8.576071"/>
        <n v="8.5782424"/>
        <n v="8.576498611"/>
        <n v="8.578965098"/>
        <n v="8.583296396"/>
        <n v="8.582385261"/>
        <n v="8.584834023"/>
        <n v="8.584879093"/>
        <n v="8.583467756"/>
        <n v="8.582101488"/>
        <n v="8.579012"/>
        <n v="8.579130755"/>
        <n v="8.578534861"/>
        <n v="8.580519494"/>
        <n v="8.576637473"/>
        <n v="8.575131"/>
        <n v="8.570448482"/>
        <n v="8.570430541"/>
        <n v="8.528589756"/>
        <n v="8.526920983"/>
        <n v="8.525659267"/>
        <n v="8.57262602"/>
        <n v="8.573188963"/>
        <n v="8.549244"/>
        <n v="8.55877"/>
        <n v="8.557162"/>
        <n v="8.559807"/>
        <n v="8.562698"/>
        <n v="8.560544"/>
        <n v="8.575006416"/>
        <n v="8.572100486"/>
        <n v="8.538696"/>
        <n v="8.536651"/>
        <n v="8.537989"/>
        <n v="8.53734"/>
        <n v="11.9748"/>
        <n v="8.535393"/>
        <n v="8.53414"/>
        <n v="8.533535"/>
        <n v="8.544757"/>
        <n v="8.544588"/>
        <n v="8.543925"/>
        <n v="8.543319"/>
        <n v="8.533897"/>
        <n v="8.53252"/>
        <n v="8.53184"/>
        <n v="8.53185"/>
        <n v="8.53958"/>
        <n v="8.538057"/>
        <n v="8.537688"/>
        <n v="8.53753"/>
        <n v="8.53469"/>
        <n v="8.535439"/>
        <n v="8.535972"/>
        <n v="8.535844"/>
        <n v="8.534262"/>
        <n v="8.534248"/>
        <n v="8.543843"/>
        <n v="8.53951"/>
        <n v="8.534727"/>
        <n v="8.5347"/>
        <n v="8.539543"/>
        <n v="8.550258"/>
        <n v="8.543621"/>
        <n v="8.537469"/>
        <n v="8.541607"/>
        <n v="8.543472"/>
        <n v="8.549483"/>
        <n v="8.577282"/>
        <n v="8.544682"/>
        <n v="8.544918"/>
        <n v="8.543018"/>
        <n v="8.539694"/>
        <n v="8.539763"/>
        <n v="8.543395"/>
        <n v="8.52632"/>
        <n v="8.533639"/>
        <n v="8.541843"/>
        <n v="8.540242"/>
        <n v="8.54219"/>
        <n v="8.56675745"/>
        <n v="8.5689745"/>
        <n v="8.57097267"/>
        <n v="8.57002008"/>
        <n v="8.56906821"/>
        <n v="8.56910425"/>
        <n v="8.5645873"/>
        <n v="8.56622415"/>
        <n v="8.56692982"/>
        <n v="8.56182391"/>
        <n v="8.54875378"/>
        <n v="8.54710692"/>
        <n v="8.54679281"/>
        <n v="8.5484231"/>
        <n v="8.54634982"/>
        <n v="8.54820474"/>
        <n v="8.54756354"/>
        <n v="8.54614689"/>
        <n v="8.54543689"/>
        <n v="8.54464557"/>
        <n v="8.54121536"/>
        <n v="8.54303771"/>
        <n v="8.56047988"/>
        <n v="8.54307563"/>
        <n v="8.5435988"/>
        <n v="8.54956928"/>
        <n v="8.54513872"/>
        <n v="8.557714"/>
        <n v="8.555831"/>
        <n v="8.554002"/>
        <n v="8.549676"/>
        <n v="8.550945"/>
        <n v="8.5504"/>
        <n v="8.551249"/>
        <n v="8.552249"/>
        <n v="8.550377"/>
        <n v="8.55059"/>
        <n v="8.55037"/>
        <n v="8.55771"/>
        <n v="8.570485"/>
        <n v="8.57464463495019"/>
        <n v="8.57464446349501"/>
        <n v="8.576753157"/>
        <n v="8.578761382"/>
        <n v="8.577720738"/>
        <n v="8.571568649"/>
        <n v="8.54176"/>
        <n v="8.53905"/>
        <n v="8.557922"/>
        <n v="8.556697"/>
        <n v="8.557006"/>
        <n v="8.551796"/>
        <n v="8.5553326"/>
        <n v="8.570609"/>
        <n v="8.553714"/>
        <n v="8.544971"/>
        <n v="8.570743"/>
        <m/>
      </sharedItems>
    </cacheField>
    <cacheField name="PICTURE UPLOAD" numFmtId="0">
      <sharedItems containsBlank="1">
        <s v="https://drive.google.com/open?id=1vA5UnIJiApycNAA0bGIiyPhpZo7tULEK"/>
        <s v="https://drive.google.com/open?id=17qJx6Nd-rRv357zyjD7bR5y6p6XvxOwD"/>
        <s v="https://drive.google.com/open?id=1kL56YqoUSa0lqyJqI_uJ7L8jBFaD8oOW"/>
        <s v="https://drive.google.com/open?id=1S1FSnxs6VPwa4uFlGHgss9GvJs6-kWec"/>
        <s v="https://drive.google.com/open?id=1kf54DxWA8xSEwkPvsBw6YsLT9gsTB2De"/>
        <s v="https://drive.google.com/open?id=1e12Dx-97pKHAY8MsfNiLSGgSy63w-hI4"/>
        <s v="https://drive.google.com/open?id=1Uksnk2v2UHx7srmqyvaJJczH7d2xKLPc"/>
        <s v="https://drive.google.com/open?id=1yvIqE4FpHOElrRQlVGuNijIjBtGVWyX3"/>
        <s v="https://drive.google.com/open?id=1elQq3jockCpJFe-mGpRIdukWHnJ69MLD"/>
        <s v="https://drive.google.com/open?id=1YY-7WBGgeypG5iIYh61c9PfMdkHWn34S"/>
        <s v="https://drive.google.com/open?id=1teHMq-ZjIEcnMHPp1gbJnewcLrkWdQYk"/>
        <s v="https://drive.google.com/open?id=1i1hIGkflyeEf3q19iIsvB6uHJIUkuphD"/>
        <s v="https://drive.google.com/open?id=1WHwSqwLNdIo25Wgx8QmwgQ86TWF-TgUq"/>
        <s v="https://drive.google.com/open?id=1GrtAhpoPffhoQd1VBFiu_TlQpqyHWtiv"/>
        <s v="https://drive.google.com/open?id=16aqy14pbwZRgLTAQxJ7aRoecDXLlMBmP"/>
        <s v="https://drive.google.com/open?id=1dIgMN8z03RRN3o_0cVqH4VOasDhxP9Gq"/>
        <s v="https://drive.google.com/open?id=1QKQZqWD7vi6HNQwEKeu33yT-InBvns4U"/>
        <s v="https://drive.google.com/open?id=1z68jt9o9SglVe7gPVVyLTCRqZyuZ1h9R"/>
        <s v="https://drive.google.com/open?id=1_w59FI7Mx2cNFtJvsSNrTN6ssf5lH4Ow"/>
        <s v="https://drive.google.com/open?id=1ezR7FhQZv92k23OkmPntrwBr4lKKsfuo"/>
        <s v="https://drive.google.com/open?id=1PhWVjxrEVjjYsfNuRvSesEnhL5Y8AUxB"/>
        <s v="https://drive.google.com/open?id=1Ol1Av6H3odwL3wiWWjFP9kyPAImLPfCG"/>
        <s v="https://drive.google.com/open?id=1i6Js6HTzOz1dBT6YlTO43ssl5QQyGaox"/>
        <s v="https://drive.google.com/open?id=1Of8IfjoXFrVM70ZBDEUvwRHlg5E72xa1"/>
        <s v="https://drive.google.com/open?id=1LoZVfF9dHGeVkKQmCTflnDhuTjl5CEN5"/>
        <s v="https://drive.google.com/open?id=1nBYVPSS_EZ_kK1onbCI61Q7RQMTg6LX9"/>
        <s v="https://drive.google.com/open?id=1wzZOrA-mBM0UxSMEHlvfAg9T3JF0Oljz"/>
        <s v="https://drive.google.com/open?id=1JwETgHIgrbviJsKU4fpV6PPdXVUhntkB"/>
        <s v="https://drive.google.com/open?id=1VRgIn_qhfCIRRLuzHXs8QRHeLdWuDpE3"/>
        <s v="https://drive.google.com/open?id=12F3rYRnbwniA48gSgBGA2KsCTgU6bgVZ"/>
        <s v="https://drive.google.com/open?id=1ff3gAYOswXJD0TQNHSu_aCg7QH2eohdM"/>
        <s v="https://drive.google.com/open?id=1UDzQfbVzEJHkGOS6FswO61wcGKO6CquP"/>
        <s v="https://drive.google.com/open?id=1-akPQol7Uj3nUybrC78VEDwC39WRdmUL"/>
        <s v="https://drive.google.com/open?id=1Hn4ys-0RvlZ33vrEs1Ss_BgIGb-yJfMX"/>
        <s v="https://drive.google.com/open?id=1_ttWa8oim-sxDEYaSiXOCjGOOw-eJ7f7"/>
        <s v="https://drive.google.com/open?id=1KdDZVixXNk6GvS8gvj8Z9sOIz0htiKlQ"/>
        <s v="https://drive.google.com/open?id=1IDb9OK7_oWhNTHfjXGb-Lf2eJkVcGwnD"/>
        <s v="https://drive.google.com/open?id=1P-Y7suPYWUjWpois3Vp2Ymh4XqRJLqPV"/>
        <s v="https://drive.google.com/open?id=1_Lv1HHJPW4SZ_7_DUtgKLBIOAp-KjlGD"/>
        <s v="https://drive.google.com/open?id=1g29qqpFEJHkpNHnz07kd7cF4NPOKxZ6F"/>
        <s v="https://drive.google.com/open?id=1jO79BQemhpoVs-9bAmDoWD_d5PciyRyh"/>
        <s v="https://drive.google.com/open?id=1QImAx-89lKOGUlkzA8jr8LND9yXsj_cm"/>
        <s v="https://drive.google.com/open?id=1vvsKcDlLu4gjlx4FMN7P1CdYHCnTxTwl"/>
        <s v="https://drive.google.com/open?id=137bp6XJyJ5sl93tPnebuqIpP68hN3IJd"/>
        <s v="https://drive.google.com/open?id=1cY9HQNhcONRbXx_k3y3z2kaTmXxJJZyF"/>
        <s v="https://drive.google.com/open?id=1OGe6d_TuG9d91t8mZUQOpuylmZMQbVcW"/>
        <s v="https://drive.google.com/open?id=1lANY4Cc8nRoS_sCuHZG5sLib5usJ68G-"/>
        <s v="https://drive.google.com/open?id=1Ixdmeof3ev9vRUIFVfGQ3fYAy0Nj6IIZ"/>
        <s v="https://drive.google.com/open?id=1IvfJ2aivNyK4mgo9h6pmrMRETmVzRhwl"/>
        <s v="https://drive.google.com/open?id=1AKRJRdE6NIKsvODrbauLhJBlnNfk3Nai"/>
        <s v="https://drive.google.com/open?id=1rvrH4pxf1yXsCVa-PA8nnrpQErl-oQGg"/>
        <s v="https://drive.google.com/open?id=1fPrszEjE1AjUHQBZFFcCfHufQ0qhDb_h"/>
        <s v="https://drive.google.com/open?id=1gb1FXZQ5f3c40oJ7aDsHzuFvupKvxRSC"/>
        <s v="https://drive.google.com/open?id=1Sl9vbsLxryQ96eKskqejMpIaVrukDLDs"/>
        <s v="https://drive.google.com/open?id=1WB-yiTQWgNPjkHxF69fU2PdsmTaxCn9E"/>
        <s v="https://drive.google.com/open?id=1xZLXHf9bIHRXSULhTDzkKrZOMAt---Ef"/>
        <s v="https://drive.google.com/open?id=1_f2od5_ezBUU4jg3R-Lwd7OHHhuKQ4nc"/>
        <s v="https://drive.google.com/open?id=1waZRKDLmAD32RKF4NY7OI8kCjq64DvbG"/>
        <s v="https://drive.google.com/open?id=1bRsTGQA9KO_khnCX6214YlqvbBymx_LM"/>
        <s v="https://drive.google.com/open?id=1rPF3ZicZOc3FZ_ack0nIn6tvg3YgFsmz"/>
        <s v="https://drive.google.com/open?id=1n63E6Xxmi5ZOPPLf47JyuOKAdjmmQP6x"/>
        <s v="https://drive.google.com/open?id=1ww9KaVgogOE96LvRXY4ekJkIc0eydtlM"/>
        <s v="https://drive.google.com/open?id=1LOvy19JXLGwcDdgKYeCJ4DmzTocC7aOV"/>
        <s v="https://drive.google.com/open?id=1cOLuKiQZXa-4IoKC8AxcC4TToTflGbzU"/>
        <s v="https://drive.google.com/open?id=1rKQeCb9kD2hT8snM4ztkHmsMCYDb_sak"/>
        <s v="https://drive.google.com/open?id=12qxO02ZPiitsK4PWLGQokDS4JVcByFRT"/>
        <s v="https://drive.google.com/open?id=15BgtfJOMTxuiRwnYyDyIhhaJFSvWcPHZ"/>
        <s v="https://drive.google.com/open?id=1_AkvsLkdXQOPtPK8rh09TfsfcNClLowa"/>
        <s v="https://drive.google.com/open?id=1XJRKQ8o6i4bt9jqh1CRB9OVV2RcV-V2k"/>
        <s v="https://drive.google.com/open?id=1BtVpzp3y8130h3Dvoh8cy3vhhG3RvE1C"/>
        <s v="https://drive.google.com/open?id=1s9WW_YgLnz0smvpITF08_HLbY4WntF9N"/>
        <s v="https://drive.google.com/open?id=1H2lnUP9OFDtIJ3ZFlbmVkr-zmpVa6Rq_"/>
        <s v="https://drive.google.com/open?id=1TRxZokMeH8k9VXxHO76PBH4KTAotKxra"/>
        <s v="https://drive.google.com/open?id=1aJrIO2nnEMuDLeNByS5xG_zJx9ttmg6l"/>
        <s v="https://drive.google.com/open?id=1Sz08ixNU6hQDYIYabzkjzR7rbdsrfCh7"/>
        <s v="https://drive.google.com/open?id=1vfNIT2waohrsTnDiJkCB13OnNFlkq6d7"/>
        <s v="https://drive.google.com/open?id=1fPiJjAyHF-ulUkz52gJZIRRNwnAOKWDR"/>
        <s v="https://drive.google.com/open?id=1riaGgDAS2AI_uJY4gXZszU3EzwJcB1o-"/>
        <s v="https://drive.google.com/open?id=1LPIIOGnS0_d0gNT6_iTq3P9oB0g4Yggs"/>
        <s v="https://drive.google.com/open?id=1FJ4tKlAHT9tbn4x8SUage_mvIgdoWIYl"/>
        <s v="https://drive.google.com/open?id=1rEsMxNPTIJBg-tNHtGdE32YF4zFOeX9L"/>
        <s v="https://drive.google.com/open?id=1wYR_WSzutMMEHHmwAEhg2gZ2YkExeiO7"/>
        <s v="https://drive.google.com/open?id=1CXCZxCe0HUI_bE1WUQk4rkaxJluYjKbS"/>
        <s v="https://drive.google.com/open?id=14S9ES0Sw83jTS5TRyOrYJWt_ppusSg_H"/>
        <s v="https://drive.google.com/open?id=1Jbboxv_BF6zw4CdCtbQ2m0hLUU2yAiVT"/>
        <s v="https://drive.google.com/open?id=1iVOIhTz7XU6VFWG9tjybbM1EDGGuagxY"/>
        <s v="https://drive.google.com/open?id=1l1jbD0mHScVugkTwd4Y25Kh_nEEI3MX9"/>
        <s v="https://drive.google.com/open?id=1AAeo6zhgvsPiBlGkqfUK7v_eY7lWagqc"/>
        <s v="https://drive.google.com/open?id=1r-OruzCDAMIkHnSauFWEUHej21HxS1V-"/>
        <s v="https://drive.google.com/open?id=1Go-mkovNZFUswU9dhrgJkSGP_i1MNJuN"/>
        <s v="https://drive.google.com/open?id=1UimNYGC4AlObfDQDhkdstSmKE3OYvEWv"/>
        <s v="https://drive.google.com/open?id=1T0MDgBLXc5uMCplwGdzpHNF4cH_RHzaN"/>
        <s v="https://drive.google.com/open?id=1Fqo_NP_9tHeIB0Z01egsFoZGeeN7MGTe"/>
        <s v="https://drive.google.com/open?id=171aDeTxPY2IndmTrUsQuVW8sy9dFf45E"/>
        <s v="https://drive.google.com/open?id=1DVSYRPvpUvluG7ANK4Pq10VFeiHAqDRP"/>
        <s v="https://drive.google.com/open?id=13dzEppiyC_Q0U3NlrvoUdTqx9gCGcrak"/>
        <s v="https://drive.google.com/open?id=1K28DOWZwX9QXJhsNPSyxal-dnjrzgXRu"/>
        <s v="https://drive.google.com/open?id=1jGb8xmMarUcsngQ17j595vQeq5WlbZU4"/>
        <s v="https://drive.google.com/open?id=1Vrh1ovagWgfJW5oPDyUn4L9-1UWOIuOq"/>
        <s v="https://drive.google.com/open?id=1NscRl3vwfmlu-OtSUYq8WpxJvLqPgfBc"/>
        <s v="https://drive.google.com/open?id=1K6L6z1hcz-eotwlPve61ZPJ9vEE4T1bf"/>
        <s v="https://drive.google.com/open?id=1pPx_4fd4i10Rw7VPqH533oFQ2SClOG1m"/>
        <s v="https://drive.google.com/open?id=1rkQB9ayFvi65OtWQltnodnIsxn-YmT57"/>
        <s v="https://drive.google.com/open?id=1jRwseAW817Xq2Y3zbZuVFv51_Y9DF8-j"/>
        <s v="https://drive.google.com/open?id=1qAkTQ4_0bybEYsplQCrOpeuwBo9barHs"/>
        <s v="https://drive.google.com/open?id=1qlvH6LiJGLJ5-MbTmod3cG7IeqNHlF-M"/>
        <s v="https://drive.google.com/open?id=1QU2_ly1Qm_FVdaeEe5oQaGmcRX5aPM00"/>
        <s v="https://drive.google.com/open?id=1glSNoOdrNP-f1bjKpuilDyq6rulPmpoY"/>
        <s v="https://drive.google.com/open?id=1ECtMI07nSsHD0O0hJzg0YvZO3O4W2aeL"/>
        <s v="https://drive.google.com/open?id=1Sg9QNKfXfQQeHiPRwg6qoAaQkzwW_5eG"/>
        <s v="https://drive.google.com/open?id=1kxII1j1fn6g0uxxm95SqlkYuZ5xNQ_gy"/>
        <s v="https://drive.google.com/open?id=16SHteqrD_Na2zI9khux2Ciim9wcfaxPt"/>
        <s v="https://drive.google.com/open?id=1Lsj0tT8HfzRYyt90Kj8t9bva71UUQNAn"/>
        <s v="https://drive.google.com/open?id=1lqNG7SvuEQ7ClX3bpp6jeYZNuIVk_6bS"/>
        <s v="https://drive.google.com/open?id=19w5epiuCrJ1NfGBNokaNJ84hEmBW4QYG"/>
        <s v="https://drive.google.com/open?id=13nD03be5QnaT1YYdjk4YvhGPCf3g9dy6"/>
        <s v="https://drive.google.com/open?id=1niTcJTHx-vQrEWMk-114HTVdM-IAE1Jc"/>
        <s v="https://drive.google.com/open?id=1G7lxPooH_vfBWcA6WMdKe2Vo-DpAuaAF"/>
        <s v="https://drive.google.com/open?id=1gGlEUNhGTVfWmOeHY28M_CJGjzOc7YTj"/>
        <s v="https://drive.google.com/open?id=1wtObT9e-Nq7bKpqMYl1a0VqvCPs5rLwG"/>
        <s v="https://drive.google.com/open?id=1SEF03L3PVcpehqQgVducBNmxbWrO8O7C"/>
        <s v="https://drive.google.com/open?id=1lk0srWnB40JpSEt8z9_xRL1TZJud-EzC"/>
        <s v="https://drive.google.com/open?id=174NP1A32WCfIvU1aKXg6R8UlkyGVByvX"/>
        <s v="https://drive.google.com/open?id=1D6HecYFwGmhXgXcmGMPMCha9gIKEFh2u"/>
        <s v="https://drive.google.com/open?id=1SS9ERGWz7_Bp5GUQpRHLDjJCpkOSUsM-"/>
        <s v="https://drive.google.com/open?id=1VecLgEEI8eLOBEWuCiw3uBaPjmere-L6"/>
        <s v="https://drive.google.com/open?id=13KeX3A93_8v70SH9Ucj3khwjC4n1Rsh8"/>
        <s v="https://drive.google.com/open?id=1qkq72lxBXkM4yCyC4-iUY_J4CqG5MbOT"/>
        <s v="https://drive.google.com/open?id=1s-S52-1C7FRk4WCkdrNR-wZeOFr2M85z"/>
        <s v="https://drive.google.com/open?id=12Idu7frGu236O90sIkgSV4NzD-RLTW9Y"/>
        <s v="https://drive.google.com/open?id=1qS1wR9DR6GfIfdCkGkA46xmtHy0X4ASa"/>
        <s v="https://drive.google.com/open?id=16sOZj9zrEfPtmXREQz93kcgWnfO_SbBM"/>
        <s v="https://drive.google.com/open?id=1-DH1EMYm9pNJp_nShFgr_HgROLkgNGJC"/>
        <s v="https://drive.google.com/open?id=1qH88Yowyfyn3d3DTGCOVireXGikZtHNq"/>
        <s v="https://drive.google.com/open?id=1FSnCkXID0Gx9zxupZcUbZz55uSEzJtei"/>
        <s v="https://drive.google.com/open?id=1ntNt89GOAvMaNb8Z8y9sDb_KvxgWP8-T"/>
        <s v="https://drive.google.com/open?id=1hfbCjL-caWisC35owzxtqar1mra1fTPR"/>
        <s v="https://drive.google.com/open?id=11UJoRm1BNHmzx7BqW7f7cSgDzJOiqGOV"/>
        <s v="https://drive.google.com/open?id=1m0axB0HrBwM6ryYvL2XZ67y6MUIu2EF3"/>
        <s v="https://drive.google.com/open?id=10DKEO_piAGDf4HJCJp1OGy9Keg0p0PGW"/>
        <s v="https://drive.google.com/open?id=1xrqnl5KpG24v6EJa6PQuk-vdAPtydLrY"/>
        <s v="https://drive.google.com/open?id=17cUS1QzSVuehfMOKJMV75MDrUFwYaZ5A"/>
        <s v="https://drive.google.com/open?id=1u2xPqOI6lSAZLDyA4DHznxVhLC-d0MrI"/>
        <s v="https://drive.google.com/open?id=1F45QiIpOyJJapi-ICCxfDM1sG-oSACWM"/>
        <s v="https://drive.google.com/open?id=1R4ZmyC-ipGNlmw8ID_bQ12YsvG-QLyFd"/>
        <s v="https://drive.google.com/open?id=1R5CVzyKGR8Fzo6cnQLWPA3LqpU_IbiwL"/>
        <s v="https://drive.google.com/open?id=1XPH2Wpob30Dj9b4ppsFa5FcALs76b4UU"/>
        <s v="https://drive.google.com/open?id=1P2RxY6fBuJ-SVa3MA_58IePBEvYtPTKu"/>
        <s v="https://drive.google.com/open?id=1wWvz5u319fSoNPpyYTcghnSDHbgGEGWk"/>
        <s v="https://drive.google.com/open?id=11-p0IsHoLdbCs1YUSjbyltjYKV__P0BX"/>
        <s v="https://drive.google.com/open?id=1v5w263PoDFnxX_e1RcATObhG5ZtQkoCV"/>
        <s v="https://drive.google.com/open?id=1ym0lcaLSUccIw1v9JX_O3unva6FSK9Eo"/>
        <s v="https://drive.google.com/open?id=1G0D4A2PFSNZzOrqfKls2mDZE1Z9rh7wT"/>
        <s v="https://drive.google.com/open?id=1oLVttsQSaWybSzJD8tTGAAro3wjRuyad"/>
        <s v="https://drive.google.com/open?id=1-4FRY_H6MmnXqkQ8qjNNI9cKqmN_yLyy"/>
        <s v="https://drive.google.com/open?id=1fau6EF2CLDg91eQlfIUL3sW3qs2fRN1s"/>
        <s v="https://drive.google.com/open?id=1yS4FaEcDNNYhUYyZax55_KB7bubnbrMw"/>
        <s v="https://drive.google.com/open?id=1iD-_VNbKJ7Ev9jtKRoDKpMM7D8R1FvWL"/>
        <s v="https://drive.google.com/open?id=1V6qZGcPNt-jMErt7VgkKLAHvPuAGAHc2"/>
        <s v="https://drive.google.com/open?id=1pZ9IwaarWEZr3ulQdprw74Yv2zh0xWQa"/>
        <s v="https://drive.google.com/open?id=1zRI-9znm1_P4SP1ScR9ToF_9v0xlj4ZA"/>
        <s v="https://drive.google.com/open?id=1O-3dwLNOmh3Zh1RnXNw6ZTAnw93wB2PY"/>
        <s v="https://drive.google.com/open?id=1N9HeHl0CDLBd7v02mjJUzrF7QgFzWdUK"/>
        <s v="https://drive.google.com/open?id=1D3yKi9j1ZISwZpiQ0DxR95TMJ-pSFJgW"/>
        <s v="https://drive.google.com/open?id=10rBGEK-SP0MAxQhXyuZ20TQgm_iu-yAt"/>
        <s v="https://drive.google.com/open?id=1ow3rMXNu6z6OKL4xh0qjY2ofMNPZmq38"/>
        <s v="https://drive.google.com/open?id=1OhqaU_pB5Jp_ZGgoEdpzrUyKodp_rXNw"/>
        <s v="https://drive.google.com/open?id=1Fs4w0rauXvnMik0RPHMnubLKx6P8DYK0"/>
        <s v="https://drive.google.com/open?id=1AGMaXHvr8bKw6ptGdyL5rjKo7m_Iw2Wu"/>
        <s v="https://drive.google.com/open?id=1a9XQ9yvcnNQIjfd8_ynmBG0VEqIy3S9V"/>
        <s v="https://drive.google.com/open?id=1fiN07bf3H_L8Li65C378sXOzN1RdYs2V"/>
        <s v="https://drive.google.com/open?id=1E2GfgG6eSYbIVbcjokqi06iSAjnKSrJb"/>
        <s v="https://drive.google.com/open?id=1gzu-n_4nCTdAKzxUGijWBXecjJZPxeQn"/>
        <s v="https://drive.google.com/open?id=1cnobpEVoL-5jQ4eM5-XjqW2oUvoGkbsW"/>
        <s v="https://drive.google.com/open?id=1NinuJ5kPYHH9RG2axe1pzXtjHNeh4Gdo"/>
        <s v="https://drive.google.com/open?id=1wJOSdymV924F1Qj3ibkdFcqPGryrnKvx"/>
        <s v="https://drive.google.com/open?id=1Hn089hYy9ym5amvIbjSuqsOd60D-sk7I"/>
        <s v="https://drive.google.com/open?id=1ptvHaMOvJMZuXOGHbkCH6yJRdH_ri34h"/>
        <s v="https://drive.google.com/open?id=1HjK_KT6P6GwHbJks1wCk11EQyfEA6D8Z"/>
        <s v="https://drive.google.com/open?id=1CO8eqBrCLV5fTJVjvOC2Ij5H_aTGb_a3"/>
        <s v="https://drive.google.com/open?id=1hLscsIhBhaJUEedvrrL2yYHnG_q7QIcW"/>
        <s v="https://drive.google.com/open?id=1Bo7gLP8vp2Q44vvxRL8jVqTrqOrNa4KO"/>
        <s v="https://drive.google.com/open?id=1t8WlTxBXycKYBvW9cc9eQWpxfuaNbRvb"/>
        <s v="https://drive.google.com/open?id=1-lU1veyPQ-ZLUtsqdJmdI2lI4DK7DTcT"/>
        <s v="https://drive.google.com/open?id=1BI2uhUuFFoOBEni28jc0ziHJm1vOg9QS"/>
        <s v="https://drive.google.com/open?id=1neg2NypIeb7g5zwCVZUOA3e5zYHkFzQP"/>
        <s v="https://drive.google.com/open?id=110AkPug0nNqoEzp_kxvSJnwH3HekslAg"/>
        <s v="https://drive.google.com/open?id=1ZeyAF_J0DxKecZqIT_6jy1hFE__Sf-iC"/>
        <s v="https://drive.google.com/open?id=1TxrlkE3sOxpWzQZj5a0OuCvlJynlz_5b"/>
        <s v="https://drive.google.com/open?id=182iJjt0r5VKWpKflmeye0PTq-mqmPyac"/>
        <s v="https://drive.google.com/open?id=1omLFIN-eP7uwNT2GwE1lHgE2P7KW-Xwr"/>
        <s v="https://drive.google.com/open?id=1Qz6NtFDzt8xSiEWR4B4Wf3yh89cluof5"/>
        <s v="https://drive.google.com/open?id=1Kf6tg_U5I2zVtDywJ__YCZJ1MF2P0ZOn"/>
        <s v="https://drive.google.com/open?id=1sN46O2g0lqgmLileEc57l1ZXmQaM8D2Y"/>
        <s v="https://drive.google.com/open?id=15MclmnPhIc6NWQoNtQvW-f_QPn4q7Qs9"/>
        <s v="https://drive.google.com/open?id=1fBf1dykF4Iuuazzk1Ceo-qgtQacIgHOx"/>
        <s v="https://drive.google.com/open?id=1oIx-Y3lpo1uulAzWzH4koUIxrIHV1gO7"/>
        <s v="https://drive.google.com/open?id=1L5zdjBEghrvffRR_0v_eYk4hM31NKUqT"/>
        <s v="https://drive.google.com/open?id=1hTCqw_7zDhq0E0XcEtkMeoFf7Ql2joE9"/>
        <s v="https://drive.google.com/open?id=13dH0OWYDnPoUHTgMnLkleWbbEl3Y1_tu"/>
        <s v="https://drive.google.com/open?id=1gV2RFYOLXoIZ1BOnsl4EadAeBCMs96kh"/>
        <s v="https://drive.google.com/open?id=1x1YrV4PApHc8r9pSqRA2hbn9at3iHs-V"/>
        <s v="https://drive.google.com/open?id=1RmiAzvY0nuBzWZSKxZNQ8sm3S_iKAn9z"/>
        <s v="https://drive.google.com/open?id=161Kc4zDfkxPbVtsSAXgiMQ23rKS2QdKc"/>
        <s v="https://drive.google.com/open?id=12qPbnPqu-e4PcqrpsJ3Rb4EFDvfRWcIa"/>
        <s v="https://drive.google.com/open?id=1osyM_8ew1CJeVQvdQ8tttH2Czd6igiHO"/>
        <s v="https://drive.google.com/open?id=1LhibvHtvmil5kX7_QIBt9XTKJQmNynsn"/>
        <s v="https://drive.google.com/open?id=1ddBy10CrwbRN3spKp3qd7seNyVZRr1-o"/>
        <s v="https://drive.google.com/open?id=1ZKCQjEWBr98weTSP8tPVpgOXYJodekSi"/>
        <s v="https://drive.google.com/open?id=16iS-yJAuvJPI44wufzSMiQ6saVM5yeA-"/>
        <s v="https://drive.google.com/open?id=1QU7pz7fbtK9MLsM0XqTU-b7x8gU5AYv9"/>
        <s v="https://drive.google.com/open?id=1W68evWfmMyMrQOs-p5jFAtD9KO5sgME0"/>
        <s v="https://drive.google.com/open?id=1mGHcYSgk6FQi1_ZqS4oTCumZrN4fUEdj"/>
        <s v="https://drive.google.com/open?id=1cNKCeSDtA-FqU_AYA6rCIgp2qSJwZjag"/>
        <s v="https://drive.google.com/open?id=1K27LpZvZCr41G-Q0JgC5_8sv8-cS2sf6"/>
        <s v="https://drive.google.com/open?id=1NdB7Q2SwPBRjMA43RhiZhhMZuRf8rbSa"/>
        <s v="https://drive.google.com/open?id=12pu42ccmfRgez8rLGIHoM-r-j1s2GV49"/>
        <s v="https://drive.google.com/open?id=1yNHdSZ616FUdRgCQ4UhHJFtoj2vCNHie"/>
        <s v="https://drive.google.com/open?id=1UwY72MjIu6MqVTJ0_vBvnmAhzX010k0n"/>
        <s v="https://drive.google.com/open?id=1Jpjr0N5D0G06RQkJ2SavRZo93UDmq6Qw"/>
        <s v="https://drive.google.com/open?id=1H62e5ZaRiA4A0ABRENST9Zu6U2EEa14d"/>
        <s v="https://drive.google.com/open?id=1JrvwPsXrlAitY5AyOCsMgvL3AeYoBhfz"/>
        <s v="https://drive.google.com/open?id=1MXhxaCAcFD-9gSk8xsE4MKSrjGtF3l1W"/>
        <s v="https://drive.google.com/open?id=1wEudBrdI2W3Pz1XtS4VesXlDN0xJzpeZ"/>
        <s v="https://drive.google.com/open?id=1UCjSrzLMtOfqGld-0X3R3zrIHkbgQ6qj"/>
        <s v="https://drive.google.com/open?id=1nhOZiGqdNFq_B149aSXHUUr2aIX1gR4L"/>
        <s v="https://drive.google.com/open?id=15nYCGgczcfLoQpJSCgs_iKoGEl7wUrtl"/>
        <s v="https://drive.google.com/open?id=1zyEHgX5SNhIHBNCFmzQPOMADPue5hlB3"/>
        <s v="https://drive.google.com/open?id=1adaaIcER1P0rk0X63Qhp8vk3Sr1N-zns"/>
        <s v="https://drive.google.com/open?id=1tLl3II8O_wuf5zuLMzM9Ob5dQnY7nQZT"/>
        <s v="https://drive.google.com/open?id=1FRer9vY6avkKjSyNH5g0hZAF1AeowCny"/>
        <s v="https://drive.google.com/open?id=1daOr5jym1DdSXLk7DetcaIjOLbbIlksb"/>
        <s v="https://drive.google.com/open?id=17f8vSx6oVLK_cSURhChiQ2lCSlRAhMs0"/>
        <s v="https://drive.google.com/open?id=1-O2lORQALXaJh8-Jp1WMMvnTOjgSo8g0"/>
        <s v="https://drive.google.com/open?id=1CoEuDvO9T279BGeyOdMq8wznv8VY1ko5"/>
        <s v="https://drive.google.com/open?id=1Nl-Pe356aPX42IuqePYO4eNliAMuyRFu"/>
        <s v="https://drive.google.com/open?id=1ctaSE-D3YpbhVyl4oXQjeJCvVq40t75M"/>
        <s v="https://drive.google.com/open?id=1EXaajhnQBf0MzkrUjKB24GovwsSD0amm"/>
        <s v="https://drive.google.com/open?id=13ZPBnpirwSL6yvAxEJ9ieIZ9tmEfFQUo"/>
        <s v="https://drive.google.com/open?id=1QVocPQUN0Vhxeli0H7l4bYZJEoZKIjX2"/>
        <s v="https://drive.google.com/open?id=1XTZyrVhS9i0XolKgSlThXhxNV0kpDYql"/>
        <s v="https://drive.google.com/open?id=1s2cxQ0uiz1bEoNFxKvrYm8y1iuEqz9p8"/>
        <s v="https://drive.google.com/open?id=1R6tmCH4Iq3YQTSSDrp3YQCGLvl1ZTkfB"/>
        <s v="https://drive.google.com/open?id=10RCSZZU-_TEOS9ukDRi2r_LMTur96V1u"/>
        <s v="https://drive.google.com/open?id=1xlWHQDBBm_7NnlVgaTCVWyXwAkys4d0M"/>
        <s v="https://drive.google.com/open?id=1X4XnIwP-lbMjcgyduUAUjnoYumWx15wq"/>
        <s v="https://drive.google.com/open?id=1ExUNAkT55tpHnVkKoAv9Ves7Z1yKAjaf"/>
        <s v="https://drive.google.com/open?id=1r_WAuZTumqcwQPN0aSjyS8cloOlEtUpO"/>
        <s v="https://drive.google.com/open?id=1g0PR6HJsopG1fwRtFsZbXAeOqwPQXETY"/>
        <s v="https://drive.google.com/open?id=123fQOKxMIdSvTz1dvMO5U4FOltFPZVeF"/>
        <s v="https://drive.google.com/open?id=1RGtUjz2DOLODz_hG8aKxf27uxaVflqax"/>
        <s v="https://drive.google.com/open?id=19g7_veS8FTtBM_FVhIPwSUDcmetVGq9L"/>
        <s v="https://drive.google.com/open?id=1XhHLTUrJaMayeq-ru-sGKE-HGl525PmA"/>
        <s v="https://drive.google.com/open?id=1VjJm4JyEBUzPy6f5mmDEu3o_I6TsHcLe"/>
        <s v="https://drive.google.com/open?id=1r4EdzB92SOmDGiG1N8DJbcU86DlSF-0J"/>
        <s v="https://drive.google.com/open?id=18Yfpp6ZPVW1aSqJOiWlV0lIei54v3loj"/>
        <s v="https://drive.google.com/open?id=1V-gh44Oc19zl8NpDtE-djEPbi1w3Ct-J"/>
        <s v="https://drive.google.com/open?id=1KIcBDWZ09mjjl1-x_oSpY9PfPEv_kYpO"/>
        <s v="https://drive.google.com/open?id=16kmEtyYH2rcVPP9vIQ8bUu7UwHbCechr"/>
        <s v="https://drive.google.com/open?id=1VB0PbqdAZLsZjm3m7MgxHNskNXMKv867"/>
        <s v="https://drive.google.com/open?id=16LH_UHRqJCCBXWN4YmK6tIZzheQlAhI9"/>
        <s v="https://drive.google.com/open?id=15XhBwdTQ1_4LvMwNpXzMNnWDLwwXEJkO"/>
        <s v="https://drive.google.com/open?id=1Wvagt4ZDyLKZw3kFTGZdOU5pD42z-pac"/>
        <s v="https://drive.google.com/open?id=144bELW0cSszhEUabwnjqepQYsrNlaNXv"/>
        <s v="https://drive.google.com/open?id=1cIpNyZ-rgMOF_aMa73S0jZaxLYkEfG9l"/>
        <s v="https://drive.google.com/open?id=10TCtDooGzJkY6XRLHH2SvH7ht6sAeOOr"/>
        <s v="https://drive.google.com/open?id=1FYPfEgu9lqOQg93NYyA8nTvXmcV7CQBL"/>
        <s v="https://drive.google.com/open?id=1FtE2lrPNMEFWPzeU9QyujzMYy5hVwTzu"/>
        <s v="https://drive.google.com/open?id=1VnkcsqAthotln97-IbW83FwA6dL4T5VX"/>
        <s v="https://drive.google.com/open?id=1yYZuJYTj5uDSdh2seVd2penV_ShbU6ow"/>
        <s v="https://drive.google.com/open?id=1AlFLj66qIZA-jqTBwudvISMIXDO_RSeS"/>
        <s v="https://drive.google.com/open?id=1ivTlvs4qDTSsVKlhnEP4QVPL7ilFphpy"/>
        <s v="https://drive.google.com/open?id=1LHgn2oV8lpxRHsV4zvvQeS38dJ_hFRWK"/>
        <s v="https://drive.google.com/open?id=1y_Q76yYB9XMZuwLAoN4mQSu7MQ4uPVbx"/>
        <s v="https://drive.google.com/open?id=1V5qg9_0arD8UQzYolLGQ7b-Qer1twRp_"/>
        <s v="https://drive.google.com/open?id=185ffvd4V9WCmDQ19zScKtiye3GyhQNNK"/>
        <s v="https://drive.google.com/open?id=12Lf6wkEaro_VZ6Lckfdr7Xkjk4X7qjk0"/>
        <s v="https://drive.google.com/open?id=1L1RtDDE-9Ukyo9MyZYdCI1ccLEZ3whRM"/>
        <s v="https://drive.google.com/open?id=1S2vBs80TlJCuxeHHQrSVQsDSkVr8FiA9"/>
        <s v="https://drive.google.com/open?id=1ZgJHjSYoStaZ8jsGblBPYuQIrbwGxmkk"/>
        <s v="https://drive.google.com/open?id=1e2iur-bfGFSJuM2phEw0AxePdJZN2jGm"/>
        <s v="https://drive.google.com/open?id=1UJ-cIwnmzjqAWQBZpiFX4wUiwWkVHeZ4"/>
        <s v="https://drive.google.com/open?id=1MmxEUU5U3mZS0ZS05ZQVR2aQyWDVHN-E"/>
        <s v="https://drive.google.com/open?id=1Ima0qYWa5Nwf-MoOSLDV9HDcv0NdWyC6"/>
        <s v="https://drive.google.com/open?id=1SQzBfqWA_XViWaUvkAzR94WKbIGkwy0G"/>
        <s v="https://drive.google.com/open?id=1-CbSMKcqTey_bsoFKO4os8gIWEfxaVpO"/>
        <s v="https://drive.google.com/open?id=1H20iquCXvw_kyybjkhMMEuTmDAJ0LOf9"/>
        <s v="https://drive.google.com/open?id=1Gc-rotebsK53Dyz4WoA6W9jYfEwTN85E"/>
        <s v="https://drive.google.com/open?id=1xAxar2PVy0SIVL8qLoKeLVce1y-4GciO"/>
        <s v="https://drive.google.com/open?id=1C7j14mc7h5fS3PnD_rbuHWDzi9At0cMB"/>
        <s v="https://drive.google.com/open?id=1BHuqy-Hmfp06RWKS63T7zOLUQQ8K9vai"/>
        <s v="https://drive.google.com/open?id=1jSnOja_Ha0wT3jfLxm0GK-T5c07zg6zY"/>
        <s v="https://drive.google.com/open?id=1ioalXLlUCf_SZn136EZtEhBpiwemMA09"/>
        <s v="https://drive.google.com/open?id=1RDUke50z829Q6yyvcGY7hOkZYmG6Rz-z"/>
        <s v="https://drive.google.com/open?id=12LwhxK7nWRARhQChyLRIDo3-a9jz64qU"/>
        <s v="https://drive.google.com/open?id=1HF17MRg5_knHWYgtPQSuCm2MbWikUIVI"/>
        <s v="https://drive.google.com/open?id=1IyczN1_uixvgQfOXAFWvWqbql3t7Be5A"/>
        <s v="https://drive.google.com/open?id=13wyxqr6oktnR6GKfN80KqUSQAdlmZonj"/>
        <s v="https://drive.google.com/open?id=10boUr0VQ1wm8L7NVtL09gwwkAll1ul5J"/>
        <s v="https://drive.google.com/open?id=1Ad3XAT6mGapcwa00s3Y59OYA7X3q8lG3"/>
        <s v="https://drive.google.com/open?id=1Kw0CLL7pEdPC5XXkc6drWmQZXEZZm7fB"/>
        <s v="https://drive.google.com/open?id=12YOeI9-3zGMBQAsZH7r3jtz1KKumK8pK"/>
        <s v="https://drive.google.com/open?id=1ICQZBqz_IB6sJOAYCJ58_NjKvzMBloqp"/>
        <s v="https://drive.google.com/open?id=1DBh9oMotF_DOMV-XPMnZb9UxiFeXd7-K"/>
        <s v="https://drive.google.com/open?id=1b7myKdYJqB7B154N38Vu8E4RAY1zXDfh"/>
        <s v="https://drive.google.com/open?id=1p5suCkaR2ENnjqAJNbNkKjjAIP7VQ8gO"/>
        <s v="https://drive.google.com/open?id=1uoaRQQpcdssfJ2z14gx96LaS4lsNPs6A"/>
        <s v="https://drive.google.com/open?id=1qhL6qf1_uqC_dN2KDHLB_ip0eEL2aVLG"/>
        <s v="https://drive.google.com/open?id=1-OgwIscBRwYnwhGPtPJZeJf3wmUF0A13"/>
        <s v="https://drive.google.com/open?id=1s4OULOmk71mQQbdHtJPkFzTZNEG5f-Ha"/>
        <s v="https://drive.google.com/open?id=1LbSdZIc1s4k908HVlxlwIsODaDxU5ROA"/>
        <s v="https://drive.google.com/open?id=1y4N2U0R6-075tofwsF0UDl989KkYIdoR"/>
        <s v="https://drive.google.com/open?id=1W06GGURxEzTrCea5t8TUkqQ6G1HAUTRb"/>
        <s v="https://drive.google.com/open?id=1vUrChfi3MeIFvlyBVpJGaUAVwX3SNsUg"/>
        <s v="https://drive.google.com/open?id=1uWRRK4NDwmYl55QaASwsP2JcJXOKaGqL"/>
        <s v="https://drive.google.com/open?id=19viOUUftPEMZHDZsWwh1_Q85uysR4TNX"/>
        <s v="https://drive.google.com/open?id=1brlAcMo_4ajWrqQbJV8koS5PhXuv_xgp"/>
        <s v="https://drive.google.com/open?id=1nd1VPMrgektpPkSHZyKWacSFs6angPvG"/>
        <s v="https://drive.google.com/open?id=1xI65L7MUYRXnY2b5kyxzWT2dIszOY1b6"/>
        <s v="https://drive.google.com/open?id=12xNnYEDRaZ3oJ5NDRhl2o1LGXexRyYLq"/>
        <s v="https://drive.google.com/open?id=1L_jr8BFXVZqyqYPmZglqekvgnP8oI9K7"/>
        <s v="https://drive.google.com/open?id=1HPShFFZVYMP9Tih-7p9pVSndtPo_99Gi"/>
        <s v="https://drive.google.com/open?id=1t48Zcm9wyCK0L6GukLCeDIuUyQkTVAGA"/>
        <s v="https://drive.google.com/open?id=12ClMPERUym5i6JKzLdbsuj6sXOTU9A2O"/>
        <s v="https://drive.google.com/open?id=1s4rrnrsB-wY-ukWFCeBXptCEbrltk6JO"/>
        <s v="https://drive.google.com/open?id=1ztnAEpXJP3PVF--XvY76_uUuFbNBskup"/>
        <s v="https://drive.google.com/open?id=1AuKPi7EGqKLcZpkujG-TU-tmjbfRamga"/>
        <s v="https://drive.google.com/open?id=1s8JjT5rG6q6eT3OpglYhECEV3gg5dB3G"/>
        <s v="https://drive.google.com/open?id=1ImFtAoTJ31Zakr_5ECIqoyyOkP7vd7ai"/>
        <s v="https://drive.google.com/open?id=1rX14oBNkTP3dLs5rObaaT0McshSRSOoo"/>
        <s v="https://drive.google.com/open?id=1a1BwfjndKP3MdSnTaXWB5d0aEDaRkbV8"/>
        <s v="https://drive.google.com/open?id=1EBlUfgDk0W4IhSadWP8c-cp9SxuLiwnN"/>
        <s v="https://drive.google.com/open?id=1b9MvlEtr5Hrd-FZuj_qVxEHlx2_FO9Rc"/>
        <s v="https://drive.google.com/open?id=1RUUCXqmhlnAE10lAmv4BTAkdHqRYFSw9"/>
        <s v="https://drive.google.com/open?id=1J09CEZ3HK_SPMq45Lw917MqMOLhyNwBB"/>
        <s v="https://drive.google.com/open?id=1f-DGG7-3jrkPjGFu7FV8b0z-9ManYT2x"/>
        <s v="https://drive.google.com/open?id=1NZJZoQFfKDEod08PtPPi1s0rWJCo-3sV"/>
        <s v="https://drive.google.com/open?id=1aFGJhiKJJc8oUpn4JbDXU8_dhwTCP2RV"/>
        <s v="https://drive.google.com/open?id=1-jID0F8vLWkPZIDA9gO6EIQJvoPZaK3g"/>
        <s v="https://drive.google.com/open?id=1YSQDLoY9p8DzaFsB4_sE7Yrn9mNEYdbw"/>
        <s v="https://drive.google.com/open?id=1hmdCywkzpxBlWhaCl8fAjit9j6hV9jXl"/>
        <s v="https://drive.google.com/open?id=1yasxh7190dhzz-NB75IG-w6oMW1Ihs5s"/>
        <s v="https://drive.google.com/open?id=10k3g62pVoCKHADmaq1awe-tvtCtVOdhq"/>
        <s v="https://drive.google.com/open?id=1IARHb0lkKnfuE0MWTyQ3qCVwDVATC5ef"/>
        <s v="https://drive.google.com/open?id=15fdOXKrAPJnxpox9OmNxWRdiNcQRSJZG"/>
        <s v="https://drive.google.com/open?id=1PboJt5Bar_RbW90SMh4JrnAAf-7C_Vik"/>
        <s v="https://drive.google.com/open?id=1K1zWwNz-Les_lw4onGSmntD-lBJCuclG"/>
        <s v="https://drive.google.com/open?id=1VGak71UlODq2qdnQUwIJ7zcKIqfQ52Lu"/>
        <s v="https://drive.google.com/open?id=1Mga-ZD3zG0GizA_sYbTE0vTu7S7RW9_e"/>
        <s v="https://drive.google.com/open?id=1pmVnmAvcVl5Pn_Pk3GOSsn32BpcSv8RW"/>
        <s v="https://drive.google.com/open?id=19hGonDz4wl1rKhHjyQtaGRPTdGPskYp1"/>
        <s v="https://drive.google.com/open?id=13cKQOP3H_SwfTwRde2ZZDdhHzN3pyyC7"/>
        <s v="https://drive.google.com/open?id=19ZJdtvaJ96Cw8VXLux6LOBDJbxDXERsW"/>
        <s v="https://drive.google.com/open?id=1z0sRaCRBpYu7HnUwwluojKGcDkziIwpG"/>
        <s v="https://drive.google.com/open?id=1qkTB1r29GA2rhNtiH2HD8q28uyp6NTpk"/>
        <s v="https://drive.google.com/open?id=1IOiN8Y5EUHpuULr3AWQmFgFLmKWPeoFt"/>
        <s v="https://drive.google.com/open?id=1vkE-i4ThDgPnBwFgrQUzGE5fnOm1RQ5B"/>
        <s v="https://drive.google.com/open?id=1eBLEKnM9BWNCjb2ta5dyySRraZLbELZK"/>
        <s v="https://drive.google.com/open?id=1vM8vBbMOJQtjHRFT3Kc_VVPMKE479K1M"/>
        <s v="https://drive.google.com/open?id=1mXCLT8jiIX-z0d8T501KmNqGcPth2lYR"/>
        <s v="https://drive.google.com/open?id=1WGmZZzzJCzL19GRh-C8etUU7hw7ongn0"/>
        <s v="https://drive.google.com/open?id=18izmmwurmwjqpRilYkFHjKBCaX8bzFX2"/>
        <s v="https://drive.google.com/open?id=1OBGWIGLidgGMeJ4zL2hBH0D98ATz7VBa"/>
        <s v="https://drive.google.com/open?id=1ChqXUiqDcAGqV2Ni4sHnknKalrwPVEjU"/>
        <s v="https://drive.google.com/open?id=12WuTgQSFzdY9lzwOlHkyyNg5--wR4e1K"/>
        <s v="https://drive.google.com/open?id=1N3zMk05ZVPVHSDtM-Cb78nGPWbTbBgIX"/>
        <s v="https://drive.google.com/open?id=1Vnlu0_4r1OAik72XmD1vBffdCmO2bzGQ"/>
        <s v="https://drive.google.com/open?id=1GsP3Hs1k8YpfH-we1uLAQQf-we5oAJBg"/>
        <s v="https://drive.google.com/open?id=1EXyzrCJ_lmKChPBwonHfJ-sBlA4Vga1N"/>
        <s v="https://drive.google.com/open?id=1Pzr1KoT1RrgySckcbgEmwm7qUH11O24M"/>
        <s v="https://drive.google.com/open?id=12DUZ07aERb795Hakdc_1CkVEA-etzWNw"/>
        <s v="https://drive.google.com/open?id=1TWvTZNbksixm_JLyLqgF_N4kVNo2fWLq"/>
        <s v="https://drive.google.com/open?id=19A3EhUQdUxXIYGp-mKSg8wPUZSAESv7I"/>
        <s v="https://drive.google.com/open?id=1ZqqckNWdODk1lPQZlZVkJalVjH72TIR2"/>
        <s v="https://drive.google.com/open?id=19fhuhOUACPm-ES-X83ZjzOUw7OxersZj"/>
        <s v="https://drive.google.com/open?id=1g4KXY1vqmql1X_6XpwF010uXblQju7sl"/>
        <s v="https://drive.google.com/open?id=1JeTVeoL6cN-abSFWoRn1KVV6IorneYv3"/>
        <s v="https://drive.google.com/open?id=1tDJYVDkVfTjfhvyJgJdhVB2nBvpTO1Vy"/>
        <s v="https://drive.google.com/open?id=1jpLSdw-BXZEH3C2CBuFs9Zs1BzjODnIo"/>
        <s v="https://drive.google.com/open?id=1nZxv1UQ0EivQwy0SABskAklxJBi923s2"/>
        <s v="https://drive.google.com/open?id=1qR836HQo8xtExXDGl8iZyVVoYfId1HDl"/>
        <s v="https://drive.google.com/open?id=17yAReCxsrlj54-cyrGp68U9iia0-KeSh"/>
        <s v="https://drive.google.com/open?id=1N49_N7hZhpacW5qJ4xDoBB-dKhfs3hd2"/>
        <s v="https://drive.google.com/open?id=1YDyhm71HI1DP_kZRSyTuFrp5z6-hwIDz"/>
        <s v="https://drive.google.com/open?id=1c0R-edNdsxKz5SRnEXxCOhtdAVE1KlY5"/>
        <s v="https://drive.google.com/open?id=1fuRiXhNmge713L8wuF1wyMBhyCHf59ff"/>
        <s v="https://drive.google.com/open?id=1LQsRY_hhgUOKtnOYLcTm9lUJZxQoLYt-"/>
        <s v="https://drive.google.com/open?id=1q8GSjE30eH9qWE9HA6XF5-Uiyedv8P-j"/>
        <s v="https://drive.google.com/open?id=1KE9_EgnQ2VRg6Z8ofapt1dPUcG9ZAP7_"/>
        <s v="https://drive.google.com/open?id=1-S-r8QFRMKrRy5CIR_fbBNOEKLeG4X7U"/>
        <s v="https://drive.google.com/open?id=1581d423LPEADV_z8dd_JsusS-Hsb-Mjy"/>
        <s v="https://drive.google.com/open?id=1W52eAvV6zQEZyA82v4AdJdQDJMfEo2rd"/>
        <s v="https://drive.google.com/open?id=1WfsDrbLv4esPsG8Fod1H5PqPl1nbCnBJ"/>
        <s v="https://drive.google.com/open?id=1lZZUev3RgoBXL68IS_twYl98daJiBLlD"/>
        <s v="https://drive.google.com/open?id=1Ld0z6p8OUtrzIKGaa7moFS_PGcNAaS0i"/>
        <s v="https://drive.google.com/open?id=1Tn8woeBRunzmyMdLdBxMvYseVaBhF0IN"/>
        <s v="https://drive.google.com/open?id=1FUyMSaudoBZ5byrHWlMUvFpyM2Uenxz5"/>
        <s v="https://drive.google.com/open?id=1zWhIKKnNxa778QO8EezgQ8n5eKE6UxpR"/>
        <s v="https://drive.google.com/open?id=1r-ec9we6cFgNFbYTqWbwDiELQg5f0t3j"/>
        <s v="https://drive.google.com/open?id=1IOQWzjDyqKCkpRfOtF0TF7xrjviKCsrA"/>
        <s v="https://drive.google.com/open?id=11gxBJFuo1djywRVQHjySlediT_BtzdFr"/>
        <s v="https://drive.google.com/open?id=1w1fTH_uFFMjHUoKs5Fliw5GbSVDiqJo7"/>
        <s v="https://drive.google.com/open?id=1qA6uiAjpQYxH4Wy7OikbFqZhRCx093Os"/>
        <s v="https://drive.google.com/open?id=14b1pDR-KTbXB5cZXZeEJqkFjUJcYbDWc"/>
        <s v="https://drive.google.com/open?id=1bp0kBGgz36P5zaPOGUlZ0573iPbElE-R"/>
        <s v="https://drive.google.com/open?id=1_nkRGa45zMyQpUvVzjBzet6U-NF4cASX"/>
        <s v="https://drive.google.com/open?id=14O93K3fyf0M7c_5ptOQ482RsT5IxOcew"/>
        <s v="https://drive.google.com/open?id=1PPUgM4dRh76PI3sR_DG0YwoLOWWat4dB"/>
        <s v="https://drive.google.com/open?id=1qJRpLQ8Mltv5fNIUloFVs6SJPwhuZTCg"/>
        <s v="https://drive.google.com/open?id=1WGaLn5uYFx7plDjcV93eGVOpzl-tJ5JH"/>
        <s v="https://drive.google.com/open?id=1q2SXjkL2eW5Q5Qiyjc_gCh7z9FyE2Mva"/>
        <s v="https://drive.google.com/open?id=1tDxo4G2DFSxpuovREC7GAujUrYT72zz_"/>
        <s v="https://drive.google.com/open?id=1SK2qeOk_7SD8r4L92EccKy9xfkhKvfns"/>
        <s v="https://drive.google.com/open?id=1dEdS-P5cRarLpwck30iCMGcXhjuOwIRc"/>
        <s v="https://drive.google.com/open?id=1_2KxJQ8-o9_PQDPtArQGMjPKfacqlaHa"/>
        <s v="https://drive.google.com/open?id=1uJsu2VM1oFIic-LQGUNt4mGcA0koSMoa"/>
        <s v="https://drive.google.com/open?id=1OmKzYLDDmzw--7DnBQ6_7IzTY7ktAhzn"/>
        <s v="https://drive.google.com/open?id=1qKh946ek2Hs6OmOX5QNhibw1MrF_ZI-d"/>
        <s v="https://drive.google.com/open?id=1ct9Uf6tZuki3zY7pLp70dnfmuF9DQ8qV"/>
        <s v="https://drive.google.com/open?id=1S6xh5qHy529vDJuqwNlRg-CBm2N1Cmuz"/>
        <s v="https://drive.google.com/open?id=1jVqztgd28O3ChPgYfjRdyXNgl-HhMdt8"/>
        <s v="https://drive.google.com/open?id=1-5Dm_VRKKslX8Ci_ObO5Cg4u9N6k78aZ"/>
        <s v="https://drive.google.com/open?id=18ooYuENJ1O53LoOtTt22OI2xBzzo9a9W"/>
        <s v="https://drive.google.com/open?id=1mPd0XeJNWTSkybOdlb67sB7MnhzZVz8l"/>
        <s v="https://drive.google.com/open?id=1B5xegRgrAzN7cb7S2IWuOGg98pDSv13J"/>
        <s v="https://drive.google.com/open?id=1mExuyU2VNmXHzt3FOGL0_3QKQ2IIwl7r"/>
        <s v="https://drive.google.com/open?id=1c-C5DNnjBSKlZC1eiHlzkZK5rpAz54g-"/>
        <s v="https://drive.google.com/open?id=1jsJGH-ki4ODSRb92xjMz2RWVwFKL3NSI"/>
        <s v="https://drive.google.com/open?id=1aKGSCCeogYq8pmTu79MwJW2FtBctQMXB"/>
        <s v="https://drive.google.com/open?id=1p53d7MFVDUT_k3dHdUTh2obkpUoN3bvL"/>
        <s v="https://drive.google.com/open?id=10pruhDBUfEkFmBhx4I8peD_nGi_A-UVC"/>
        <s v="https://drive.google.com/open?id=1o4QEv2bfTHiNn3kWTglY-kwNsFo-OS-P"/>
        <s v="https://drive.google.com/open?id=1p8Ynpb_t5IMTRIxEQtFwvI1M2RdCPCYC"/>
        <s v="https://drive.google.com/open?id=1k8C9GlEPjJe4FnbCCU2NQuFtnseWj2_n"/>
        <s v="https://drive.google.com/open?id=1AzCWCDz3ArghW9Cs_bb7XCXlth4TjK2g"/>
        <s v="https://drive.google.com/open?id=1I0VJZVYoZ9fJmdQgjXbFvcAtEo-xBjfZ"/>
        <s v="https://drive.google.com/open?id=1bHAr0CNMx4O_vKkG6Nr1kqjBYdirJ55m"/>
        <s v="https://drive.google.com/open?id=1Hb_egPKv7nzAx7eFb4xTdxM3eyndNnm5"/>
        <s v="https://drive.google.com/open?id=1dNdte3VTmh_bqMni7t0EtxXByauGIUri"/>
        <s v="https://drive.google.com/open?id=1aTWZIxPhkv5VvQNGZEmDOklFR-Nr5Uzg"/>
        <s v="https://drive.google.com/open?id=1H1BQz775luh1uQDnWN_qF8Pc5JW9YdVR"/>
        <s v="https://drive.google.com/open?id=1KOsYvSQg7llZrpZv89cQZY2QhO6eEf8e"/>
        <s v="https://drive.google.com/open?id=1er5sNljouQo71bScvQXzOaIgnVdFSDjl"/>
        <s v="https://drive.google.com/open?id=1rnotVbE_r8ec8iPN6uXX_PuWw5OwFmYT"/>
        <s v="https://drive.google.com/open?id=1shDrGK5eJ9l78zTUQJlK-bTJoPNhvCkd"/>
        <s v="https://drive.google.com/open?id=1j2srC8LfUccLVTFScJLIThXpI05IWj6w"/>
        <s v="https://drive.google.com/open?id=1scQ8uW-80HKhh-jxx_jW3r_XXvs4xZfi"/>
        <s v="https://drive.google.com/open?id=1BKOtvBRTkQWva7CzdEOH5iy2baIcVhJx"/>
        <s v="https://drive.google.com/open?id=1oXiXEra_Pq3AsUbqrLduC0_jYsY3DYT4"/>
        <s v="https://drive.google.com/open?id=1do36p7w3Fj9GH469WzpHyHAbT2VDJbew"/>
        <s v="https://drive.google.com/open?id=1yvSW809_8cKFjkZ4BLgjc1CNUThZq0Kl"/>
        <s v="https://drive.google.com/open?id=1MnifI03MlYiMgiNcmBEK0SnzXUxuMqqO"/>
        <s v="https://drive.google.com/open?id=1-R1EGSQTRmb9cwNSs5iUuKM9yQ4nsl-o"/>
        <s v="https://drive.google.com/open?id=1K_MQjJPu3ghKkP47rtw641izM2rooS1Q"/>
        <s v="https://drive.google.com/open?id=1Ai1A3cfQBFlX9xglFZH0nJnnrZ60Jdzj"/>
        <s v="https://drive.google.com/open?id=16wwMWuD1Z9s4kUqoSl9xWoS9Aju-RNcV"/>
        <s v="https://drive.google.com/open?id=14moS-ODnMbwnEjokk2C-p_XQPrACm6gV"/>
        <s v="https://drive.google.com/open?id=1kQIxVrSzs3pzCK4q1x-Aim1_ziGYDUhB"/>
        <s v="https://drive.google.com/open?id=1-qoTnKCV8kEkpW3HQNQe1oHVOSuzyTyq"/>
        <s v="https://drive.google.com/open?id=19m7_AgqO_mL9yfDac-KBolMYF6OmqRLa"/>
        <s v="https://drive.google.com/open?id=1wEcpfbOe199ThdIAj4kFRD-2A2iRXK0D"/>
        <s v="https://drive.google.com/open?id=15w6Yb1eW89ObUHfbMyuT4KXl_Od6Wnk0"/>
        <s v="https://drive.google.com/open?id=1mp9__-glfMUrv41YKiEUy2dduff-QFDr"/>
        <s v="https://drive.google.com/open?id=1JpiidJWmn5J2Crdw86fK5xD8Ls7kHCxt"/>
        <s v="https://drive.google.com/open?id=1_uFnooShNgJKy19-rfg-ur94WQijzbaV"/>
        <s v="https://drive.google.com/open?id=1D64pNL3vqNnGJeoZC1ZpQNVXzcFXV3-U"/>
        <s v="https://drive.google.com/open?id=1NVketHPSmDqe9XA15uxPfTt7mrdMd-CQ"/>
        <s v="https://drive.google.com/open?id=1I8KlNjAGpc64o0qhRppi5QIvPkWQeJMV"/>
        <s v="https://drive.google.com/open?id=1cWj8q_iGsGiTf-QtOEMhhe6cpaOOAEkL"/>
        <s v="https://drive.google.com/open?id=16Q_2vVFDuSJPQThZ_aWiYbCnZY_73R_i"/>
        <s v="https://drive.google.com/open?id=198DQVgBh797dNSKevQUXCZEwqr-MDTIq"/>
        <s v="https://drive.google.com/open?id=16OuXU33l4Y-PIcNTQ-UFiUhx5TZZ9yb6"/>
        <s v="https://drive.google.com/open?id=1lP57YkKPNlGRCEFEfxdAWlbCQFb5qHcN"/>
        <s v="https://drive.google.com/open?id=1p_NlO_MmXgAFoJCl0bzxqJoVxnQqKg0d"/>
        <s v="https://drive.google.com/open?id=1cDwsUwMVEJlfImaQ-hsjHWxkHzh5e9ac"/>
        <s v="https://drive.google.com/open?id=121UMmHJdUrg5rbJtEmR_2GSAbBSev4uE"/>
        <s v="https://drive.google.com/open?id=1Jsh995DeeF-8q8aoI6tTbqiw7u6Pd21L"/>
        <s v="https://drive.google.com/open?id=11MPCDHIrZQkYY2sLSIWIh2w_dt90rWNo"/>
        <s v="https://drive.google.com/open?id=14ktj-oeGtxb6Y7jXnV8brjkvaubXNtRX"/>
        <s v="https://drive.google.com/open?id=1DVl0yDfKMITXrwiyIa0Nr-fhpWj8oCjh"/>
        <s v="https://drive.google.com/open?id=185NY-2nw3dvpdn6i2CUboRcIeuzoIp4n"/>
        <s v="https://drive.google.com/open?id=1JaSgEWmm3KnlL9GQWI0F_eBcurhTmNer"/>
        <s v="https://drive.google.com/open?id=19vijYFCfae0ibKEMck43gGxe0oRKG_3E"/>
        <s v="https://drive.google.com/open?id=1V65nc0eMjp-wbITbCv7fcOGieAhT2JQo"/>
        <s v="https://drive.google.com/open?id=1KhUSmP1TQL3ruQHOEb-rFeIFrdDryKtr"/>
        <s v="https://drive.google.com/open?id=1D7PjqxlKtG7uMhZNNV2fiWKtlVsmvUW5"/>
        <s v="https://drive.google.com/open?id=10PzVBvKXGMe77xmdGGAa7NofqBKqYKmG"/>
        <s v="https://drive.google.com/open?id=18hGzfji3r6RfpbAP_gI-XKTpHeovXPwJ"/>
        <s v="https://drive.google.com/open?id=11pcVMp1bx--siT6Hw1xeTQQ0ZReaWh2F"/>
        <s v="https://drive.google.com/open?id=1gltSndOtV0pBsvH8bhb1HhVo0G4YhTg8"/>
        <s v="https://drive.google.com/open?id=1Du8VcrrSFRx6zAXrGhBomBQ7q5_3Zqaq"/>
        <s v="https://drive.google.com/open?id=18-Z32UBEY7m7bRjSglxUm0rGLye5kOo2"/>
        <s v="https://drive.google.com/open?id=1hc-o4vLzhQu-q14GxxDEcZDeaVSyd0qy"/>
        <s v="https://drive.google.com/open?id=1nLatTrmDgwTWiB77wknG_gVwz6UaADwH"/>
        <s v="https://drive.google.com/open?id=1F3qeCJ2P53S7Aa3K2c6JOI8GOOKEttsz"/>
        <s v="https://drive.google.com/open?id=1z-IySrb65D7VZKiS09qJPo5qg3jXUA-Z"/>
        <s v="https://drive.google.com/open?id=1oJirngd1j7FGIZp-egPtnAIXUr6wvzNd"/>
        <s v="https://drive.google.com/open?id=1140SGyQJxuhwLboLAoNZWNUGwQS2jYKG"/>
        <s v="https://drive.google.com/open?id=1_jnf8S4nZC9e2ES9tG7BMBV0oRZfrkI_"/>
        <s v="https://drive.google.com/open?id=17s3hnEOhsu82mioDkq8gDwekcPw2CS2t"/>
        <s v="https://drive.google.com/open?id=1xjSQbF18ANnG_3bd9EKRLW31ZxHUAOb-"/>
        <s v="https://drive.google.com/open?id=1fm_OS9oNHS_LYXw2AlgMsAsdHmm56uh8"/>
        <s v="https://drive.google.com/open?id=1iqg2ztGFiFMJnrWXTlbb6pOsrOTh5w10"/>
        <s v="https://drive.google.com/open?id=1mL7mX-JbozdAliZ05jM8yXhARYg9LJLs"/>
        <s v="https://drive.google.com/open?id=1d04ZxYjHIF_VDNzmNpy1qttTmTLcNz9w"/>
        <s v="https://drive.google.com/open?id=1xJboA8O7fZ-kt-FaNCQHM7882Q8g95Z8"/>
        <s v="https://drive.google.com/open?id=1z7OYjZ-FPhxclSg9XlnYQbEo6nQPgFZG"/>
        <s v="https://drive.google.com/open?id=1O5TnTmsb_rQHSvGB-e-_TtLhgHYbFagP"/>
        <s v="https://drive.google.com/open?id=1wlMQa052uQPhyb_Kv6N4EEEQSWa4Qnn4"/>
        <s v="https://drive.google.com/open?id=1ZFL3Gi3z_wV4NbfWLNZlHZscN1TokWhT"/>
        <s v="https://drive.google.com/open?id=1nO6Q_EiEdps-6qX_iEOWwL3kpAoWiJ7f"/>
        <s v="https://drive.google.com/open?id=1P0UFlLSJVkpbMDAE2Y6UE6pGamln0jXO"/>
        <s v="https://drive.google.com/open?id=1neEE81L9CKASg1CvGZ9f2gxZSrz4GMH1"/>
        <s v="https://drive.google.com/open?id=1cKFPMeK9y-WxlqOYs7gj6VjutnCKyA5a"/>
        <s v="https://drive.google.com/open?id=16CoPj-429chxqNGyJKRl0YfqvbbFauZo"/>
        <s v="https://drive.google.com/open?id=185bDhkiBCJ0cqXK8i9B0ThXdS198h6tn"/>
        <s v="https://drive.google.com/open?id=1MMqwkkRQsM902d4-BOE03tFDubKkeFOA"/>
        <s v="https://drive.google.com/open?id=1U_NwGElkU5andURlR3EwsBcqGi74vBDo"/>
        <s v="https://drive.google.com/open?id=1DJD7E9eYgD0u1mJTZXbCIkBXoisG_m12"/>
        <s v="https://drive.google.com/open?id=1QKWT5a0wqbFz8YKicGXrB3OEXx45ZSs2"/>
        <s v="https://drive.google.com/open?id=12jRNYL_aq21ui6LA0kBqpa2En7Pw6WQE"/>
        <s v="https://drive.google.com/open?id=1L8wJJiK7N8o6vPIApceqweuB3uJVbKeO"/>
        <s v="https://drive.google.com/open?id=1qs2trN1VAPNqvSh1B1rVxavoNw50lf-X"/>
        <s v="https://drive.google.com/open?id=19RviKyDM6Tz0S0xVYe1ySWZo_4c17Dii"/>
        <s v="https://drive.google.com/open?id=1iaECfAjAefbWq1Dv1tvdCWSMhr8qJHxU"/>
        <s v="https://drive.google.com/open?id=1ZODh8s225bD8Fu1vbZOH3DTqGoUVVXgx"/>
        <s v="https://drive.google.com/open?id=1NC3o1Q6-RVp2lgOT4016vTbJmzauoPpN"/>
        <s v="https://drive.google.com/open?id=1rUTXSrOaZedKFyV-g2qiiV6yI_zmdkD7"/>
        <s v="https://drive.google.com/open?id=1Ca3FGwL1_NW--x6fI633Yv-bqYxS8Lh0"/>
        <s v="https://drive.google.com/open?id=1X1DD0M7BPvRf47hy7-6WsP90haFmmD3W"/>
        <s v="https://drive.google.com/open?id=1X6XW9pysDpRu3o0uj8QHAtK4kMYUKvfP"/>
        <s v="https://drive.google.com/open?id=1Z6fIDf9afYPSHnJYGAYneegHqEf0_fT6"/>
        <s v="https://drive.google.com/open?id=12r5MuBYjWhUbcxTbI6kDq6Vp7trVUuno"/>
        <s v="https://drive.google.com/open?id=1KTLzELprxUhrLtnwAicdsuJ9I1z-ch-C"/>
        <s v="https://drive.google.com/open?id=1svgxVlK9KjSBtujDHDujiuO9OlL7n61y"/>
        <s v="https://drive.google.com/open?id=1VipeDi-5qNAJt8yN9H_VumkeiIMy4wrO"/>
        <s v="https://drive.google.com/open?id=1954rhvgv-2Ag3UfbT6i6feG5WksoIOdE"/>
        <s v="https://drive.google.com/open?id=1CBOrZRU4jxx5ZZZjfDWlbLNxPvUv_K23"/>
        <s v="https://drive.google.com/open?id=1Yu4UU2ljcq6FoYvMak71O68_E5Wu0kTF"/>
        <s v="https://drive.google.com/open?id=1SKGasmXWgFGKuE7XSC03iNG5HAFd6aJB"/>
        <s v="https://drive.google.com/open?id=12MozTjtOXJcS8Yi6WgaZye19Pm_l_vFk"/>
        <s v="https://drive.google.com/open?id=10igGmRel985aoG3i0yq6-Y4vxDZwxk2G"/>
        <s v="https://drive.google.com/open?id=1ITk5YdyCozdv1iQxvrWA8QnvUFlscul6"/>
        <s v="https://drive.google.com/open?id=18X-AL2ybkY4elC5YQ7ui_moJReCIGYTQ"/>
        <s v="https://drive.google.com/open?id=1RdqApuLVS6yyGCwe_W7OR6uirfbHo1Ug"/>
        <s v="https://drive.google.com/open?id=1b6k282C73Pj0lveoDE4XS2Z2DJ30f8A2"/>
        <s v="https://drive.google.com/open?id=1yxOWz-PHWFi-9qg31VzzsTV6_xu_Xvm9"/>
        <s v="https://drive.google.com/open?id=1EyQGyhx_d3WAxrWr0JjerUVIwHxm9VPZ"/>
        <s v="https://drive.google.com/open?id=1aRZ9eBzxtHhk10NpnpRgvbz7BPrQVvOn"/>
        <s v="https://drive.google.com/open?id=1udWTjOmKYySoVSAjsIfFnOE8wU-91cXv"/>
        <s v="https://drive.google.com/open?id=1lhd_PypgL0PPOwH9joxOHSgF6c9Yu-Vh"/>
        <s v="https://drive.google.com/open?id=1WRr25ME2lUxy6wlSzMzI0ySF2avd1JjD"/>
        <s v="https://drive.google.com/open?id=1BZ45v_jnh4aL8AYPbQ96vHJ2WY0EqsS2"/>
        <s v="https://drive.google.com/open?id=1DmHLSu3iv-lLCWIgg0Q7otBtC5tHYenj"/>
        <s v="https://drive.google.com/open?id=1pX59H9jJ1oIkOh1f6O3SXkmnh4IR4JB8"/>
        <s v="https://drive.google.com/open?id=12QoHRE5rSHP4sOVtAASIg5bVp18kzATr"/>
        <s v="https://drive.google.com/open?id=1Tf3m0f85cKUEI0aAkpnmKYLoP9iK8wwh"/>
        <s v="https://drive.google.com/open?id=1z5IWQ8Jr2wKOGO0WKFPc8IxLXmhTVBFD"/>
        <s v="https://drive.google.com/open?id=1IlPsVXfgl-wjSMf551aG4luPGLCX3LCy"/>
        <s v="https://drive.google.com/open?id=1LWrd_XMvStaxLPn6kgbPsTGRQvI-PQ-Q"/>
        <s v="https://drive.google.com/open?id=1pcFuZ3-abnxOotHAtZkSb_1vh79-0UcM"/>
        <s v="https://drive.google.com/open?id=1IENeYfBpEoeK2WP26YBE05aIJemcpdHg"/>
        <s v="https://drive.google.com/open?id=1ww7_HHZ8epMq1ptF-yUPsTx3fMbRq9WX"/>
        <s v="https://drive.google.com/open?id=1DFhHsqMYE5fRDUV83ZhWBAYusYDCR2U3"/>
        <s v="https://drive.google.com/open?id=14rmOOQGJBb8hU7jnv-QDnvEkREwExH8Q"/>
        <s v="https://drive.google.com/open?id=103KqixgR4uW7aXUyUzMaS-xFNFuqZ8GJ"/>
        <s v="https://drive.google.com/open?id=1KlyD9gF4d71236pRvmIVHeUpkhFs_6h7"/>
        <s v="https://drive.google.com/open?id=13eAnK8McbHPE90x-r41-rfjrkEog4Clk"/>
        <s v="https://drive.google.com/open?id=13s1v2AsnX7c7lSLRVGw3b6hjd_tNjorp"/>
        <s v="https://drive.google.com/open?id=1Zx3GM8UenTWyHhIDzKPfa3R1Dc9KpvEW"/>
        <s v="https://drive.google.com/open?id=1yjmLgfRIEVEKo-xXCNsxsAgroBVlB1h4"/>
        <s v="https://drive.google.com/open?id=1Tg1HUBn_uUb10ui6lz10xF4xDgWeZdur"/>
        <s v="https://drive.google.com/open?id=1B_JuN1XiZOe2tX3zhJwxMXKm4EUEkJ5H"/>
        <s v="https://drive.google.com/open?id=1U1h3De3W_iE7go9YF-ltV7NwZHgF7DeA"/>
        <s v="https://drive.google.com/open?id=1Z3vKJB-oZl50FBTza9ybiJF76BSoGayI"/>
        <s v="https://drive.google.com/open?id=1OVzvtjCXfQ5sflRmhJe016XZHTuiVdFA"/>
        <s v="https://drive.google.com/open?id=1s4wNGKffyitKSoCv5-hGAmSMX40ab0rq"/>
        <s v="https://drive.google.com/open?id=1zlfMHxp0cv1ha53yi03E1D3EaUaPqYUs"/>
        <s v="https://drive.google.com/open?id=1SUb3XbeMW8-hvmyqVb58ZD7htyhg513X"/>
        <s v="https://drive.google.com/open?id=12tOaR6fsyc1skaasCEoQ_ZSTcOB5yPqI"/>
        <s v="https://drive.google.com/open?id=1QZxbuc5Mivi4-ZPyeV-pgYXP471WJnsW"/>
        <s v="https://drive.google.com/open?id=1pELnS637txI2kYAlfITpBvgdtXwi6dMU"/>
        <s v="https://drive.google.com/open?id=1Zv39C3Vb93IoF9R0h7QvEKztzbJyCIfU"/>
        <s v="https://drive.google.com/open?id=1A2CBXxFsfEqRnM-kVIjQQRjca7NGTF01"/>
        <s v="https://drive.google.com/open?id=1ox6NdhlTw4x81rA0VCW6LC6lUxMQMkTp"/>
        <s v="https://drive.google.com/open?id=1sTnokab-HzbvB-uI0gWdG3vTuOCQziBi"/>
        <s v="https://drive.google.com/open?id=1edO9ymCd0vgKAemNquHBSHudSQif8VgP"/>
        <s v="https://drive.google.com/open?id=1gwwoRfK4nChm7NdYi8xJ65bRtc6HDI-A"/>
        <s v="https://drive.google.com/open?id=1TX_4PKffPgF3r4ZhAgBYIEIfhIp41PC1"/>
        <s v="https://drive.google.com/open?id=1HdoYupTtd3U1mzWD0Q9N7I6u9aoFqz-a"/>
        <s v="https://drive.google.com/open?id=1SDNxM5s2E1Yj3-2f1o3a9XRkPGlPZ52s"/>
        <s v="https://drive.google.com/open?id=1qOX5pl6c2q80SUR947PDn7Mr933273S2"/>
        <s v="https://drive.google.com/open?id=1atJhyRNrzjetWeT2v5BhS2MhW_L0vEaV"/>
        <s v="https://drive.google.com/open?id=1OAZugdnmcePNq6xO2Ge723Yw2i1ff5GM"/>
        <s v="https://drive.google.com/open?id=1i-JrbBCBmPPd8qhULzWfRB6LMKNwHz2-"/>
        <s v="https://drive.google.com/open?id=128-7_hogHN1334ZW4tIrxN_ot7X88Eax"/>
        <s v="https://drive.google.com/open?id=1t4fl2lzTqpi56m-zGnT8zXnvq8JI6mrN"/>
        <s v="https://drive.google.com/open?id=1sUXVv73_a2FhMhSIOOscAyepW7jveMtF"/>
        <s v="https://drive.google.com/open?id=1vrqf0KTYT73kq6pTde7gmVpLW9CjoR6K"/>
        <s v="https://drive.google.com/open?id=16l99kZ8OrlRealOTWa5irVyQdNFjSUet"/>
        <s v="https://drive.google.com/open?id=1v8UcZLGUFhMY0IolYdqG8znYSdUNTPsr"/>
        <s v="https://drive.google.com/open?id=15nO81fDBMjFDfP2cJCVA7OxMzIQyMmsa"/>
        <s v="https://drive.google.com/open?id=1_30COL_peTtNcuoYqiP2FKQc9nDmzi7S"/>
        <s v="https://drive.google.com/open?id=1o-_3pxPEWm5LaQnT5U5y_ic_DHdBuRnb"/>
        <s v="https://drive.google.com/open?id=1V09x5IpNvn90rmR0Oo5kIQqR0eVnRi1C"/>
        <s v="https://drive.google.com/open?id=18OQ47W0gmSaxypeaDpN8HtjzznPc8wIY"/>
        <s v="https://drive.google.com/open?id=1R1v1ZIv0AXQOOK_yMzQPm3l4NluckjUX"/>
        <s v="https://drive.google.com/open?id=1bI3x62eB-1-CekS-9-eaE8mtH5q4w4pa"/>
        <s v="https://drive.google.com/open?id=1_JtoD2q-pasOzao4qb6iWUaVlLB70-5_"/>
        <s v="https://drive.google.com/open?id=1D7Oud-TIMeCW2Xxk6N2uulr5NOGbHZf0"/>
        <s v="https://drive.google.com/open?id=1wq7gUhC5_oCL689dGW428Iw45E_G6IGY"/>
        <s v="https://drive.google.com/open?id=1V06SPXWgAxYsFBSzg_HvlUBFvClDFsw-"/>
        <s v="https://drive.google.com/open?id=1CqEgjc97ZAohru4tbtRVrzdOXwALzH3U"/>
        <s v="https://drive.google.com/open?id=1x5Cfsw42XPKcIFk95xHGhQAUcLhkEHeY"/>
        <s v="https://drive.google.com/open?id=1CVQv5pazoIMQiynddzDL9MJsB0CItzos"/>
        <s v="https://drive.google.com/open?id=1U4X8J18aiP0dolkKDitug6tIXmknGPZc"/>
        <s v="https://drive.google.com/open?id=1c6e6RMxDyX6O-7o6awqccm1jmQETmj9z"/>
        <s v="https://drive.google.com/open?id=1b6AchqthYWaevi2daXVqUrv_Tj34o6wH"/>
        <s v="https://drive.google.com/open?id=1jcGrbQ8nwllzRQOIjt7HVnF1vyDAaTf_"/>
        <s v="https://drive.google.com/open?id=1RBzHbXUVNov3P6q8v2Cu2GvIyJQuSWmC"/>
        <s v="https://drive.google.com/open?id=1C9wtLnoOF77FBCAlL8ZOFhSWz2VeAnf5"/>
        <s v="https://drive.google.com/open?id=1XVUhiv72vZcesPHkFCUggkqESbKcMUE0"/>
        <s v="https://drive.google.com/open?id=1qpO0JfB5Vja90kI_OahqhwrCVFvbXfye"/>
        <s v="https://drive.google.com/open?id=1LF6T6C2skJHAloCg1vLg7ejN0iMQYPia"/>
        <s v="https://drive.google.com/open?id=1eo1F9C7Tk1lHRRZR6ZZ-oEeHWHQ4OyTJ"/>
        <s v="https://drive.google.com/open?id=1cW1_hS8f3QAKBY4RE1UN2aFy2c9xTc1_"/>
        <s v="https://drive.google.com/open?id=1FUMhRbH_zORxAih2NXUU4rAkLeCe4Jzb"/>
        <s v="https://drive.google.com/open?id=12eq8GWAcOess4EgnDTxeDfTFlZfWIG6Y"/>
        <s v="https://drive.google.com/open?id=1OSfv8_HdLHtNrMO8raQzg6ijK2wlXLAs"/>
        <s v="https://drive.google.com/open?id=1Rl7XP0lYfNqItY6UDKMqAw7nKUs1Pi3D"/>
        <s v="https://drive.google.com/open?id=1BnUdM_JxKApiY72AdGuqda0RM7cP-y0l"/>
        <s v="https://drive.google.com/open?id=1EGTJ-CFXnwGshUx-sRtfCXlkWHilyF-L"/>
        <s v="https://drive.google.com/open?id=1quoEWb93jnp-cM91d_SQ6v-w5EWPEYV4"/>
        <s v="https://drive.google.com/open?id=11KjY9IiYNOTxn0jaNY3odvWqHcaQCHwO"/>
        <s v="https://drive.google.com/open?id=12jHTNxUtHgsZeQQQ3EHudES2p1ZMUNVD"/>
        <s v="https://drive.google.com/open?id=1tI_w6dnH-7lrOcqzSxGr-r7fyBwtJv6O"/>
        <s v="https://drive.google.com/open?id=1Hml6GHS0m8IBkpn5qlbVJXhCv-Zg3SQM"/>
        <s v="https://drive.google.com/open?id=1DZGpQh3gQXFheX9IQLtmdmA_L0tcTO3X"/>
        <s v="https://drive.google.com/open?id=1tYZwkPMjNTMpiLxdEAs4RdTHdn1AGJ_p"/>
        <s v="https://drive.google.com/open?id=1Ag7hKgkjrMzBwOZxgnYwSgYjlnSjPIbm"/>
        <s v="https://drive.google.com/open?id=1kxr2OPmy_JM3Umn4pQBGxSbkJ0qs8arK"/>
        <s v="https://drive.google.com/open?id=1nYzvbH4TMIlRUovTBVNwE3jW7bsRQWrZ"/>
        <s v="https://drive.google.com/open?id=1lPmtQ4olBgE5g621fVM0pcXqHfPJQw1P"/>
        <s v="https://drive.google.com/open?id=1C2Mav7g1fXa95nODmhdl5CPXfKi9_sAu"/>
        <s v="https://drive.google.com/open?id=1E9NEr2Tt-GtPt07j4RCbcWw7mY2hQbhK"/>
        <s v="https://drive.google.com/open?id=11YaugSwqTAMu-Hk25eImKnsmfBzLE_7E"/>
        <s v="https://drive.google.com/open?id=1f-_JzavGv0MxsnDQ0r2BDTEID6zm5SfX"/>
        <s v="https://drive.google.com/open?id=1R7uBc2bMRjZz7t5sVTPk1zAfBJ5d6J7A"/>
        <s v="https://drive.google.com/open?id=1lB829plrKP7tH8MzDN6THr4fpjosUeXC"/>
        <s v="https://drive.google.com/open?id=1Nj3UyMtg4HbePvV_9BJjtX0l0yjYPyQe"/>
        <s v="https://drive.google.com/open?id=1BW-3beBHeg26oBcwC4I_LWkWxLzpj9cv"/>
        <s v="https://drive.google.com/open?id=1qtCKE5YEzkPrVqHzhsXAG1ib5kAdAfyA"/>
        <s v="https://drive.google.com/open?id=1009oRYjHAavb6BENmti9BgF9utXoB4NX"/>
        <s v="https://drive.google.com/open?id=1gsD34hbxLoYlcJ0toaqbv9VU3LhA8u0f"/>
        <s v="https://drive.google.com/open?id=1Rp6h8Y29IcZBMobmmslQTcYOy8Ro8Ftr"/>
        <s v="https://drive.google.com/open?id=1bdXgY0IShNdHgHSz046vyz66YHhVD2g0"/>
        <s v="https://drive.google.com/open?id=1e6yxMtEf3eyuvVVrvnY-PTRU50tNgWhF"/>
        <s v="https://drive.google.com/open?id=1eBSmPsj_WSe5-P0xnl7QVQvTdgxUdbLS"/>
        <s v="https://drive.google.com/open?id=10m7_HSv4bGJMgWgTWCjwqcnI3O7Sbw4_"/>
        <s v="https://drive.google.com/open?id=1sJU131v9r8nxDFH3XcOxFd0zmNJPLCKA"/>
        <s v="https://drive.google.com/open?id=1uMgt-FPI9OvaF_9iE6OXEtzCeLq9Gp45"/>
        <s v="https://drive.google.com/open?id=1tXNFkGmbJG1tiFECUmSUke3zOUNqFZDK"/>
        <s v="https://drive.google.com/open?id=17hUbQ9py4lo5IMbM4PPTXjHpY40F3c4S"/>
        <s v="https://drive.google.com/open?id=1gAwA0U1EDEiIoW9eqG7IjVO97Cu4WQk_"/>
        <s v="https://drive.google.com/open?id=1_Rr7zDDJ4LVgEk2PdyxVynda79FdOgCn"/>
        <s v="https://drive.google.com/open?id=1mY6dhmyB6CtGehJI9lXk7xLVgIt0ISCX"/>
        <s v="https://drive.google.com/open?id=1HfOiTKxtMnYQkUUPfRnaCCRphd7AfWMx"/>
        <s v="https://drive.google.com/open?id=1EH_dwDTjwnFasitYbpvsg8NlL3vlh6ZD"/>
        <s v="https://drive.google.com/open?id=1F5K42Fej67yQOidm0pfDfVSkaPNsCadj"/>
        <s v="https://drive.google.com/open?id=1K3ket7rc6QQyJj0_8_u6Frt_w5DlDD6F"/>
        <s v="https://drive.google.com/open?id=1dGtUMEQM5bufKqEmZT9JXWoQbz19Ieet"/>
        <s v="https://drive.google.com/open?id=1pQ0GzbIs791qv53_26DyE08j4opGzLmW"/>
        <s v="https://drive.google.com/open?id=15yKnn7jF4Su26GwUvPATAoefrf0ZVWRK"/>
        <s v="https://drive.google.com/open?id=1bLl76j5shtNhp-VRWMOpur7iPKMbDQXl"/>
        <s v="https://drive.google.com/open?id=1kG-gXY8UhOOenwIvVoa_OoNg5R06Ybp5"/>
        <s v="https://drive.google.com/open?id=1ucUnVbVXxzJLMz1DnWiuO4Zi7SK3GyP1"/>
        <s v="https://drive.google.com/open?id=1XcAybnZyxoyWZn9GJS4jZqXn7qOOeNuM"/>
        <s v="https://drive.google.com/open?id=1VSb-CVmrSoOga4crjh4FCOGqnXjPepxu"/>
        <s v="https://drive.google.com/open?id=1j0beTwMUyY6HJCpH4IGwoCb1u6ogQfEH"/>
        <s v="https://drive.google.com/open?id=1dRrTuC2t_ge1GvGLV38S6ify2JjYavTf"/>
        <s v="https://drive.google.com/open?id=1buuTMU7SuvIIT90APB63Zovd_o8acJWs"/>
        <s v="https://drive.google.com/open?id=1NPYPFwrAcles0rz89vmpTBkgXyJ3xAgr"/>
        <s v="https://drive.google.com/open?id=1uT3N0tj1hRQgci_8hQtYRhrhedsHnYrd"/>
        <s v="https://drive.google.com/open?id=1qwLF3wKabSPcdQoCqCbmqS27v15aAw18"/>
        <s v="https://drive.google.com/open?id=1_xzo3bu2GZk0m47eXBYBeQ2jRazNxB62"/>
        <s v="https://drive.google.com/open?id=1rryzlApMI4J_f1_s4j5487HRHhLqSNEQ"/>
        <s v="https://drive.google.com/open?id=1kRKXTKATfleRUu-5WGG_sycPfnEy0cs2"/>
        <s v="https://drive.google.com/open?id=1qAW2yUdrldUPqC1U72cDuHbFwzr9E1tr"/>
        <s v="https://drive.google.com/open?id=1QMo9VUlyBNC4rZABdBry1l9DtCSmbS24"/>
        <s v="https://drive.google.com/open?id=1N35tc77yMm-tLpDtB-bS2dPXTrBNlSLM"/>
        <s v="https://drive.google.com/open?id=1wcZnQfd_eSb0l7d36lhJmbgNFW97910G"/>
        <s v="https://drive.google.com/open?id=1mS9-mrWSTTaoDnr5VehdWJzAR0iYow0I"/>
        <s v="https://drive.google.com/open?id=1YxaXw_crsDqXmaqZt0C9Z1v9YDVLZZao"/>
        <s v="https://drive.google.com/open?id=1tHSkLw_tTbq1TCdjs6BO7SgnEoJEzcq7"/>
        <s v="https://drive.google.com/open?id=1XfERPLZmAQngetUOd_0aRaY6ajtPmGe7"/>
        <s v="https://drive.google.com/open?id=1-fXveZaPPMd06QuFnZMr_EmXBKN_UjCk"/>
        <s v="https://drive.google.com/open?id=1jKwZTOLv6h7pHsmtdUp6LJlRM6ILO1Eb"/>
        <s v="https://drive.google.com/open?id=1GE7wkgUlunkmrkkIIkVN_acDDoKXk99S"/>
        <s v="https://drive.google.com/open?id=1g5lANzP7Vr-Rtwzz6FttfMsteB4UBGRg"/>
        <s v="https://drive.google.com/open?id=1e2roHVnz0t-rZ9okAh1ftdGw1TFlFAY6"/>
        <s v="https://drive.google.com/open?id=1o5EnA7AEFRRro0lbUGfYlIJ3K_8-5svY"/>
        <s v="https://drive.google.com/open?id=1nXmNz-eKrfFTajybbumrp0JWdcAfYf4h"/>
        <s v="https://drive.google.com/open?id=1VitsENYn4hOZFwQsaPtFygDccXk-gFGB"/>
        <s v="https://drive.google.com/open?id=1jCcIXzBFhHaRtoWji_tgWTIqV7b_f6bU"/>
        <s v="https://drive.google.com/open?id=1k-ehv01sfq2aATVfm9jNqAr6tjvhcqfs"/>
        <s v="https://drive.google.com/open?id=1F-iNqufq8UGp4H9pW7VbjF7zxM7E4RJJ"/>
        <s v="https://drive.google.com/open?id=1PCt5ErtuJCQRPLKg90iIzlAzlS-ofCw8"/>
        <s v="https://drive.google.com/open?id=1IDZSPkBx_IIro0njyYU4-tF-qsXzjBWb"/>
        <s v="https://drive.google.com/open?id=1fYFYWX3Iwe73RpvTYMiBp2H0heFzoMvW"/>
        <s v="https://drive.google.com/open?id=10u4HQrJqstHzI0bSzdnvwmT--HR5m-Au"/>
        <s v="https://drive.google.com/open?id=1YEzDDIBkCi0D7LfdkCaPc4306qOfrnqT"/>
        <s v="https://drive.google.com/open?id=15-hDgzBEXpf8GrfyEZBr3SkBqlWY-2GN"/>
        <s v="https://drive.google.com/open?id=1X9Ftr5F8j-ljHJd4F6w-6bqJnlXzciYW"/>
        <s v="https://drive.google.com/open?id=1iJGE8FFl0RC5i05z05QeOeu633ujRtbb"/>
        <s v="https://drive.google.com/open?id=1H5gSAsVMO5HGQfdgit8M3Gmrr983SXYK"/>
        <s v="https://drive.google.com/open?id=1_Gbf0SkTIcHOnNIw2TlavubZvN-tUuEu"/>
        <s v="https://drive.google.com/open?id=14NZ91MkKchpk7rq91yPAERvBRsxCBExE"/>
        <s v="https://drive.google.com/open?id=17Zw8YArcMiNYbFevfXNnrOz5Kg1NSzpN"/>
        <s v="https://drive.google.com/open?id=1zQm6y7zpjeYm063MiGUVioYw_lTp7GiW"/>
        <s v="https://drive.google.com/open?id=1YFQUE_lltibu0o77yalcme-rAwZeqAf8"/>
        <s v="https://drive.google.com/open?id=1OyPTmwCt2kKIlKEZADbqS26WZMxEyw4C"/>
        <s v="https://drive.google.com/open?id=10OLrAYynQrMGj9M584OD8c5qFpDVNG1K"/>
        <s v="https://drive.google.com/open?id=1nodnw6JwD5ZjHdothjmJtaChF4lxJYFm"/>
        <s v="https://drive.google.com/open?id=1q_dkuGxG2V4tuYVxrD51yo3yl0E3L17t"/>
        <s v="https://drive.google.com/open?id=18c67s4Et6ebUByEfpbJAEDAv_qQngLUN"/>
        <s v="https://drive.google.com/open?id=1UPcKqRp1P6zlO21GSuYwCse9RkGZtFJd"/>
        <s v="https://drive.google.com/open?id=1WE9hse60cILk-10QEKvXJPSilKG_4egt"/>
        <s v="https://drive.google.com/open?id=1oSdpfWyK4BgLARMvn9TZD45mONo7CKh5"/>
        <s v="https://drive.google.com/open?id=1lw89tfDsaK6Ai0otcMBCBfMvGvldNBb-"/>
        <s v="https://drive.google.com/open?id=1_kerHhLn1ehrNbaBI2fvWgOhPKhji4b3"/>
        <s v="https://drive.google.com/open?id=1nsk1Hh8hax68Hh6NAs1mg_lTAZwQv6KI"/>
        <s v="https://drive.google.com/open?id=1JJYSuM2TImiIRjiWiuksvs3de_PAFQbn"/>
        <s v="https://drive.google.com/open?id=1M7zkWXnIErGG7toIVgeKc5xdZaduMGkG"/>
        <s v="https://drive.google.com/open?id=1eDFV02S-XTBBRGjeMGbAccLrtTzZVAEi"/>
        <s v="https://drive.google.com/open?id=1o6kxWBXmtD5YUB79Ua3asVKOqQZoHv9Y"/>
        <s v="https://drive.google.com/open?id=1jZzvfTpjOgRgw7rT6UQXgPPdxNP_K84s"/>
        <s v="https://drive.google.com/open?id=16cE4bC7KkjSwHzIbhPTuDP4SO1swb3vC"/>
        <s v="https://drive.google.com/open?id=1QoCkhNCH01AHUs3xZnsg4LtdVMhZY5EK"/>
        <s v="https://drive.google.com/open?id=1P1GROxTfVUjtczD03hJHCD-uay9boGdx"/>
        <s v="https://drive.google.com/open?id=1NrJEiz7utU2Eou67f8b4p4z4hjr1hCDd"/>
        <s v="https://drive.google.com/open?id=1WZvILZNPN0q48_kblzNC5OD3Sr6sjLs_"/>
        <s v="https://drive.google.com/open?id=1KF5X7YMh9js0cEZGrgTbjHdglquEQh2S"/>
        <s v="https://drive.google.com/open?id=10wlujz0dd1aCAiu7PQj39_O7UfMRWGON"/>
        <s v="https://drive.google.com/open?id=1FyEenowVhdoJsuqg7d6cT7bOlN4CSXyI"/>
        <s v="https://drive.google.com/open?id=1SDwBtS_k7-b1UDCZ_AG3C-EU_9PQad4B"/>
        <s v="https://drive.google.com/open?id=1ZW8bIHdOKjtRyQ44WXtM4E57KIIwnlac"/>
        <s v="https://drive.google.com/open?id=1V8RVXzBEarCVxbZQg1sU0ExU24zuFfsU"/>
        <s v="https://drive.google.com/open?id=1R27DC0yzB1IFsM1ZD_8_GzMe9hVrB3T_"/>
        <s v="https://drive.google.com/open?id=14CmOjECvh9qufvQGpkaOy_IiMCeA6Li1"/>
        <s v="https://drive.google.com/open?id=1j5wbzZTYCpfFUhciwDZCG7f4c-jOQXXz"/>
        <s v="https://drive.google.com/open?id=1NrmvTF2QfLze3086W3MTAKl2LLjRX08v"/>
        <s v="https://drive.google.com/open?id=1W-E0e2j-xwwgGyNXyOO-dbItRJHkvCc-"/>
        <s v="https://drive.google.com/open?id=1QcaWkHZUGNLmBxn1ueO_R6jUgpRvPkp0"/>
        <s v="https://drive.google.com/open?id=1RpPv_A_0zpnEQKJpCPqPweMSLrwPOgty"/>
        <s v="https://drive.google.com/open?id=1YjwwZ33Setj-7dESgh3aztBanRvWnRZQ"/>
        <s v="https://drive.google.com/open?id=1uLfofodQb3oPN5FyhMd8pNACmLxFHxqu"/>
        <s v="https://drive.google.com/open?id=1ByUYPD0fDEHQowoy-vMYy6Y7ba6gMq4_"/>
        <s v="https://drive.google.com/open?id=1lNyavkOUuBGC1Lr-Nnlsv0WqGxwSwuTc"/>
        <s v="https://drive.google.com/open?id=1Qxwt48E-W5P30Yu1ZS-3vsPWIQo4YYvX"/>
        <s v="https://drive.google.com/open?id=1w6_mTMaE-A3Cv53SF92TK-5BSIqZViuD"/>
        <s v="https://drive.google.com/open?id=1eGYAC-LTWLlX9Oh4N2p5D7a4B5RNvfwL"/>
        <s v="https://drive.google.com/open?id=1ITc5apupir30QNBJM82cHLQGhPdOhmF3"/>
        <s v="https://drive.google.com/open?id=1gz3ulzOU7lEC9K0lJ_R3a_tt9B91ddf_"/>
        <s v="https://drive.google.com/open?id=1G8JcPkG7cg5lmL0vOrjqCGvGJpPmfszG"/>
        <s v="https://drive.google.com/open?id=1CW2XWi9qX2jDW5jl6drnSAuYdvpWpbNg"/>
        <s v="https://drive.google.com/open?id=1DuOOW1Y9tdNOR0a_Q4_U-DDWq0KimGQV"/>
        <s v="https://drive.google.com/open?id=1x5OdPL5EwOD0aUqbWOWl4VsPWJPIOYG2"/>
        <s v="https://drive.google.com/open?id=15BpDXQdKjWQGTPSr6HZ-pDYZCK5ZX4gd"/>
        <s v="https://drive.google.com/open?id=13w50LLzN9RjoQmW65q3PxSwbgKX6f4i-"/>
        <s v="https://drive.google.com/open?id=1wDpCfNYxTmSzhVUZBLgDRZ5q3Bmp3h6t"/>
        <s v="https://drive.google.com/open?id=1c9jcy9Itx-cDrZl6yd-OxcZUUpHkt4bH"/>
        <s v="https://drive.google.com/open?id=1HPw9HqS3UuTRvqPIJ6YgV5Li6uFqL2uE"/>
        <s v="https://drive.google.com/open?id=1Ju0-wAsQbI3dojiO-sdtQYKrucxEPGak"/>
        <s v="https://drive.google.com/open?id=1jl4_3fyhsVJ6utGjlmZLv58Td5MLnvRS"/>
        <s v="https://drive.google.com/open?id=1mVjRE5G7_O-evK_2EUUwEX4dIBIr3wbN"/>
        <s v="https://drive.google.com/open?id=1N8_et_kQOFv6mkZJRGKGrLzZuwCN1o9m"/>
        <s v="https://drive.google.com/open?id=1XhirkIxJgvJt6f_WFzMY-8p0t-rjGr7p"/>
        <s v="https://drive.google.com/open?id=1UolYImmylDyqmHL7BEv_YBRYH29hgw72"/>
        <s v="https://drive.google.com/open?id=1C4RfvAgmOJHqOPRPvaz6WYNs_GUKZVDH"/>
        <s v="https://drive.google.com/open?id=1S-DShv5Ezt4j6scqNtWOfn7wqgq02_9W"/>
        <s v="https://drive.google.com/open?id=1GrSx1w6QlDcCXyoJqlKOodunt6ByahZS"/>
        <s v="https://drive.google.com/open?id=19HvHFSQ_9nKZU42bw2cbnQDNsXw66R3M"/>
        <s v="https://drive.google.com/open?id=1R_PLTscHmt49HaRXN2KQnZUUiCr-C1uZ"/>
        <s v="https://drive.google.com/open?id=1Ln_4Kqz3I5vm4Ewqq50sdPtt6IDH4Zb9"/>
        <s v="https://drive.google.com/open?id=1WnLktZFK2j3QySx0yCoSOWtvvX2CfTku"/>
        <s v="https://drive.google.com/open?id=1xY9lm1577xm0RaTZw2JwEH4vbklsR4Kh"/>
        <s v="https://drive.google.com/open?id=17dMk8MGwYIxNWThFLwZe4ttfXPt1Gsds"/>
        <s v="https://drive.google.com/open?id=1h1zW7wzzUFvIq3Eq6i76jGaecxLsoQi6"/>
        <s v="https://drive.google.com/open?id=1duuk5sr5n_hQ7O9vJke4hD_5lYDSu4f9"/>
        <s v="https://drive.google.com/open?id=1Yy6H493_1toJQgHJuPMoHqLHTk49n1E6"/>
        <s v="https://drive.google.com/open?id=17uTpFpYasN0LPQjzNZ-61c1gy0cbSjaN"/>
        <s v="https://drive.google.com/open?id=1KxO9vPTDc5LDBS3VrQqRU95WCrK9RQWI"/>
        <s v="https://drive.google.com/open?id=1c2fqVlk7EsbFzCJXk9MBGNPwLQI5ewME"/>
        <s v="https://drive.google.com/open?id=1lYlgNCad7-eB5fgoFA6gAPsLcHzkO4CJ"/>
        <s v="https://drive.google.com/open?id=1Vm2vFXJFWTgQnKMTWlzrhnvd9Hsw-iwU"/>
        <s v="https://drive.google.com/open?id=1tu6nge5mEvkESNgUpzCWUR3UaOUk3hkB"/>
        <s v="https://drive.google.com/open?id=1UsS2dYhKjIu0gzZH50qysrAtPquE1wqI"/>
        <s v="https://drive.google.com/open?id=1bhBJueGQs0SjtFESO66_rlAbdzcJ53cP"/>
        <s v="https://drive.google.com/open?id=1wV9_vYW8vEmgKKmyMH6TVOrCIpefUNwN"/>
        <s v="https://drive.google.com/open?id=1CwDPT1LvcDl_6P2CnBVB9MErjo1RYl0o"/>
        <s v="https://drive.google.com/open?id=1rEAIHljSd9nBwM0hEhztKT9LSGjSTIoJ"/>
        <s v="https://drive.google.com/open?id=1S-w1PFkc-4ybeAnbsQhJttdTxVJ6TaFV"/>
        <s v="https://drive.google.com/open?id=1aAO1rgF0P9OA1m_JsHELVgMxLmsfhyX9"/>
        <s v="https://drive.google.com/open?id=13faIf9EYPfT-_4YIk1d2hP0mpLSRyHyx"/>
        <s v="https://drive.google.com/open?id=1LcA7T8nwFF8SmUAHcg6w0q5XjYFe7Hit"/>
        <s v="https://drive.google.com/open?id=1y5jXl2_cn_qC3S6e_T9xuN9DWVg5sSyr"/>
        <s v="https://drive.google.com/open?id=1DodIqgPJ14KQLirrnJ05Cnp9lP3-QGAt"/>
        <s v="https://drive.google.com/open?id=1IMx0STbivIzNy7f9kKqk2NgSHMXQ5CdS"/>
        <s v="https://drive.google.com/open?id=1qi1904Ursfa_NuAo6BmvpbNd4YYJZfiX"/>
        <s v="https://drive.google.com/open?id=12ANrxrv_u_hxdvhPqlbm2dXjciyHQh-B"/>
        <s v="https://drive.google.com/open?id=1COGNVx8sByACQb8FjYQagajrHSFvzY7d"/>
        <s v="https://drive.google.com/open?id=1zDThpRnqpFsxKWJQEAA_DfigNajto0Ax"/>
        <s v="https://drive.google.com/open?id=1rY6gyzS7y0p05XFWNPEwWo1gd7V1_PyS"/>
        <s v="https://drive.google.com/open?id=1sG8x1AocMZJ1ywDamftRsxCPDQza4hoc"/>
        <s v="https://drive.google.com/open?id=1Q1Az5rKeqD6W76sla9nue5r8thXTf-dl"/>
        <s v="https://drive.google.com/open?id=1pvNIoh9IOMhaY9KAFfODvnHh4tGnABdi"/>
        <s v="https://drive.google.com/open?id=1sVzAqy_t-p2SiupLzW8z4lSMfJvjbBDd"/>
        <s v="https://drive.google.com/open?id=1CmHzLOsl53wNDI3lEguDINJ9jHpZCnWJ"/>
        <s v="https://drive.google.com/open?id=1FFYAdLWhKYudkG0DbF42Q7lzex9hrR-f"/>
        <s v="https://drive.google.com/open?id=1XTjsJz0-29pBv5IfrGrHiei9nxDsCmUb"/>
        <s v="https://drive.google.com/open?id=1u3n7xzRsaoDrUVUlBSG1CunTEfABl8dW"/>
        <s v="https://drive.google.com/open?id=1feNQPNgXyf8tXw70iKorW3wp69GrIjP_"/>
        <s v="https://drive.google.com/open?id=1J5RcQ7R_hDGGbxs5JfLFPiYxzEFcaMjm"/>
        <s v="https://drive.google.com/open?id=1CFiTqCt2fAw8XixvuX7wSO7Y8txRcoj2"/>
        <s v="https://drive.google.com/open?id=10J9FGZ1LC3O1BFOV3Ka1OaIHscf9boF_"/>
        <s v="https://drive.google.com/open?id=10MpwsgTyBIs-_KaTF3endt1xNgCX1aJP"/>
        <s v="https://drive.google.com/open?id=1AnFYGFVhE0TzkcC8WzR4AZsUNnXKwVoI"/>
        <s v="https://drive.google.com/open?id=1tvsADfTDB1tD9DK0w6Mjp5zpfi5LcIz4"/>
        <s v="https://drive.google.com/open?id=1iVuRiK70lasg3TaLsilTvD0UPrj8mP3H"/>
        <s v="https://drive.google.com/open?id=1cz0FFK9BDnN2Kr_LhDrcq3x7r86rkILr"/>
        <s v="https://drive.google.com/open?id=1i-SfeZFbL65_xgqCvRW-CDJoZsNa7xHC"/>
        <s v="https://drive.google.com/open?id=1jCrs3UACKvA2DN5a9Ue1HCv5gEPamN-K"/>
        <s v="https://drive.google.com/open?id=17foWc21hs58E39KstTUwf1IzNp8uTz0A"/>
        <s v="https://drive.google.com/open?id=1mlNLWV4q16r0MFC-dATVDby0F4P_Xppr"/>
        <s v="https://drive.google.com/open?id=15fb-sYo09bay-n111L7OFNwrM9vXhzm3"/>
        <s v="https://drive.google.com/open?id=13qNbEA6KlEY8mXYV4PRRCx8wUpIueNpY"/>
        <s v="https://drive.google.com/open?id=1PwyYqKVsCUnTC20sUtZIuU1RbJ6krZFb"/>
        <s v="https://drive.google.com/open?id=1A2XtaRvJA-apj1qbwwfdmMETgu19Cai3"/>
        <s v="https://drive.google.com/open?id=1z2pULVOSAsS3xwGW4hsIy7d4knZV0FFT"/>
        <s v="https://drive.google.com/open?id=17tFLMgsSvxneSUeGHTflcaeB0ctPn94S"/>
        <s v="https://drive.google.com/open?id=1gO4VMOZUEkP0rc6GBqM5CMOcPvo1js9Q"/>
        <s v="https://drive.google.com/open?id=1eQFgZ3X0NczH776fnfaqXIRXCNKIk4yj"/>
        <s v="https://drive.google.com/open?id=1dZyJXi3fyIVtKhmJQZat2ZB8Cuo_1DeG"/>
        <s v="https://drive.google.com/open?id=1MskHqZjXzs3XvCqk1yxnzGd_zSdIyS3d"/>
        <s v="https://drive.google.com/open?id=1mLIwzl9YZ6_fYyz5ZVE1D_ZyF_e03hnF"/>
        <s v="https://drive.google.com/open?id=1fWluReGUM6a8wZZXPaJj032BVoc7-NqV"/>
        <s v="https://drive.google.com/open?id=1vNXrtx-xluqHxISl9uFHm69wZAqKOxMV"/>
        <s v="https://drive.google.com/open?id=1d7YDjmwgwVCOgX8sAb0kbNXetpL_q3-u"/>
        <s v="https://drive.google.com/open?id=1Rah_orGRvz5hMjt0vAaQFSTmJ3RGNyO5"/>
        <s v="https://drive.google.com/open?id=1E5tfhkr9pZBYooqUQQy8UhvymaMIEns1"/>
        <s v="https://drive.google.com/open?id=1Ay02XTCfczMMFsknjOwr5UbrgziyAS9K"/>
        <s v="https://drive.google.com/open?id=1CWXsNWQpkq9_2oPpa4f36Pkdj_SzleSs"/>
        <s v="https://drive.google.com/open?id=1-cvgE5IdwkONIY72CzufYPwyrRYLUH7U"/>
        <s v="https://drive.google.com/open?id=11i_7HAqZU_cG32ObR-HFYA4MKx0ix-26"/>
        <s v="https://drive.google.com/open?id=1ThUhcgGi52O_bn2hVj4Gv5Uf_u_Md7gP"/>
        <s v="https://drive.google.com/open?id=1jxj_fGxfc5QweKrLL1Fj0MFrZOZ43O7S"/>
        <s v="https://drive.google.com/open?id=1qGDK3QmTtU5sNF0UjyVgxcRTyvyu0Tkn"/>
        <s v="https://drive.google.com/open?id=1xN0j461XaDJfa_aqvfmRn6HykLeqWKHs"/>
        <s v="https://drive.google.com/open?id=1VhhUuN7Gq8bgQGrcgMmlPzzXkyuWGni7"/>
        <s v="https://drive.google.com/open?id=17pT4Ex91gJ2OWG0r644HAJdZdK1fX4Bf"/>
        <s v="https://drive.google.com/open?id=1F93vDiZ30NNt8EGphXmwNwQ6kNB5gZZL"/>
        <s v="https://drive.google.com/open?id=1KYXcBL8ab12aB4egtfZOdrtSJIk7Nc1a"/>
        <s v="https://drive.google.com/open?id=1smBo_MvD0Pl2jzyib1FcfkLa1WhJLHJb"/>
        <s v="https://drive.google.com/open?id=1KwafmUneLra3_l7BvLU9KEesjkyS1cuT"/>
        <s v="https://drive.google.com/open?id=1JNqGGlq_oFgLyOktNxeKp8PaqVM-jt7A"/>
        <s v="https://drive.google.com/open?id=1GpjuN9xdU4ScpVkwku-2C9mVKTLUHk1y"/>
        <s v="https://drive.google.com/open?id=194bBRaIPvBjnGNEc6zT-gV6_sjTdfYKg"/>
        <s v="https://drive.google.com/open?id=1NYZKc5_DcADx-2ULROBc-Rg9FjcWSBhQ"/>
        <m/>
      </sharedItems>
    </cacheField>
    <cacheField name="ANY FURTHER COMMENT" numFmtId="0">
      <sharedItems containsBlank="1">
        <m/>
        <s v="RACE COURSE ROAD"/>
        <s v="Is Alaramma not ALaramona "/>
        <s v="The correct spelling is Alaramma not Alaramona and they beg us to correct it. "/>
        <s v="The Correct spelling is Kalla not kala "/>
        <s v="trucks a passing near by they can damage it as the people sitting around said "/>
      </sharedItems>
    </cacheField>
    <cacheField name="Streets in Cluster 21" numFmtId="0">
      <sharedItems containsBlank="1">
        <m/>
        <s v="RACE COURSE ROAD"/>
        <s v="GEN T. Y. DANJUMA"/>
        <s v="LARABA ABASAWA ROAD"/>
        <s v="ZARIA ROAD"/>
        <s v="HOSPITAL LINK"/>
        <s v="18TH STREET"/>
        <s v="TUKURA AVENUE"/>
        <s v="RIBADU ROAD"/>
        <s v="ATIKU ABUBAKAR ROAD"/>
        <s v="MAI UNGUWA TELA STREET"/>
        <s v="MAI UNGUWA STREET"/>
        <s v="WESTERN BYPASS"/>
        <s v="DANJUMA ALI GARKO LINE"/>
        <s v="UNGUWA UKU ROAD"/>
      </sharedItems>
    </cacheField>
    <cacheField name="Umar Farouk Cluster Selection" numFmtId="0">
      <sharedItems containsBlank="1">
        <m/>
        <s v="Cluster 21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Clusters" numFmtId="0">
      <sharedItems>
        <s v="Cluster 19"/>
        <s v="Cluster 12"/>
        <s v="Cluster 5"/>
        <s v="Cluster 9"/>
        <s v="Cluster 10"/>
        <s v="Cluster 13"/>
        <s v="Cluster 18"/>
        <s v="Cluster 16"/>
        <s v="Cluster 6"/>
        <s v="Cluster 2"/>
        <s v="Cluster 21"/>
        <s v="Cluster 8"/>
        <s v="Cluster 3"/>
        <s v="Cluster 15"/>
        <s v="Cluster 11"/>
        <s v="Cluster 1"/>
        <s v="Cluster 7"/>
        <s v="Cluster 14"/>
        <s v="Cluster 20"/>
        <s v="Cluster 17"/>
        <s v="Cluster 4"/>
        <s v=""/>
      </sharedItems>
    </cacheField>
    <cacheField name="Streets" numFmtId="0">
      <sharedItems>
        <s v="UMARU BABURA LINK"/>
        <s v="GARBA YAKASAI LINK"/>
        <s v="LARABA ROAD"/>
        <s v="JIGAWA ROAD"/>
        <s v="DARMA LINK"/>
        <s v="ABUBAKAR TSAV STREET"/>
        <s v="BUNA ROAD"/>
        <s v="BAYAN GANDU ROAD"/>
        <s v="COURT ROAD"/>
        <s v="JUSTICE DAHIRU MUSTAPHA ROAD"/>
        <s v="GALADIMA STREET"/>
        <s v="SERVICE STREET"/>
        <s v="SAGIR W.MAI IYALI STREET"/>
        <s v="HAUSAWA MODEL PRIMARY SCHOOL ROAD"/>
        <s v="NEW ROAD"/>
        <s v="10TH STREET"/>
        <s v="12TH STREET"/>
        <s v="TUKUR LINK"/>
        <s v="DUTSE ROAD"/>
        <s v="RESEARCH LANE"/>
        <s v="NORTHWEST UNIVERSITY ROAD"/>
        <s v="SALEH RIMIN GADO STREET"/>
        <s v="BUK ROAD"/>
        <s v="RACE COURSE ROAD"/>
        <s v="GEN T. Y. DANJUMA"/>
        <s v="LARABA ABASAWA ROAD"/>
        <s v="ZARIA ROAD"/>
        <s v="HOSPITAL LINK"/>
        <s v="GIGINYU BARRACKS ROADHOSPITAL LINK"/>
        <s v="GIGINYU BARRACKS ROAD18TH STREET"/>
        <s v="YAKUBU SULEIMAN LINK18TH STREET"/>
        <s v="YAKUBU SULEIMAN LINKTUKURA AVENUE"/>
        <s v="TUKURA AVENUE"/>
        <s v="RIBADU ROAD"/>
        <s v="ATIKU ABUBAKAR ROAD"/>
        <s v="MAI UNGUWA TELA STREET"/>
        <s v="MAI UNGUWA STREET"/>
        <s v="WESTERN BYPASS"/>
        <s v="DANJUMA ALI GARKO LINE"/>
        <s v="UNGUWA UKU ROAD"/>
        <s v="GASHASH CLOSE"/>
        <s v="GIDAN GIWA STREET"/>
        <s v="DR M SHABA STREET"/>
        <s v="GIGINYU BARRACKS ROAD"/>
        <s v="YAKUBU SULEIMAN LINK"/>
        <s v="BAKWA AVENUE"/>
        <s v="HASSAN GWARZO STREET"/>
        <s v="MAI HULA STREET"/>
        <s v="ALHAJI BALA STREET"/>
        <s v="UMAR TURAWA STREET"/>
        <s v="TUDUN MALIKI ROAD"/>
        <s v="MUHAMMAD SHESHE STREET"/>
        <s v="SULE GAYA ROAD"/>
        <s v="NASIRU KABARA STREET"/>
        <s v="AUTAN BAWO STREET"/>
        <s v="MAIRUWA STREET"/>
        <s v="DORAWA ROAD"/>
        <s v="KARAI CLOSE"/>
        <s v="MADU BAKTAMA STREET"/>
        <s v="SHEIKH TIJJANI KALARAWI STREET"/>
        <s v="FARM CENTER ROAD"/>
        <s v="ALI YAKASAI STREET"/>
        <s v="DURBIN KATSINA ROAD"/>
        <s v="TSAUNA CLOSE"/>
        <s v="YUSUF ROAD"/>
        <s v="YAKUBU BAKO CLOSE"/>
        <s v="MUHAMMED NASIR MUKTAR CLOSE"/>
        <s v="DABO MOHAMMED CLOSE"/>
        <s v="GIMBA UMAR CLOSE"/>
        <s v="ABBAS LINK"/>
        <s v="KWAIRANGA ROAD"/>
        <s v="MAL UZAIRU STREET"/>
        <s v="STATE ROAD"/>
        <s v="ALIYU MODDIBO STREET"/>
        <s v="LAYIN MASALLACI STREET"/>
        <s v="LAYIN FARIN GIDA STREET"/>
        <s v="LAWAN ADAMU CLOSE"/>
        <s v="GARKO CRESCENT"/>
        <s v="USMAN YARHIYA LINK"/>
        <s v="OLD COURT ROAD"/>
        <s v="YOLA STREET"/>
        <s v="ABARABA STREET"/>
        <s v="SANI ABACHA WAY"/>
        <s v="LAMIDO ROAD"/>
        <s v="MUHAMMED ALI ROAD"/>
        <s v="AVM. MUKHTAR MUHAMMAD CLOSE"/>
        <s v="BELLO DAN DAGO ROAD"/>
        <s v="HAJIYA SA'A STREET"/>
        <s v="ABBALE STREET"/>
        <s v="ABDULLAHI WASE ROAD"/>
        <s v="ABBA GANA STREET"/>
        <s v="TANKO YAKASAI STREET"/>
        <s v="KABO AVENUE"/>
        <s v="MAIDABINO AVENUE"/>
        <s v="LAYIN MAKABARTA ROAD"/>
        <s v="FAROUK RABIU ROAD"/>
        <s v="MAL. KHIDIR BASHIR STREET"/>
        <s v="YAKUBU BOKOTI STREET"/>
        <s v="MAL ADAM STREET"/>
        <s v="YAR AKWA LAYIN CEMENT STREET"/>
        <s v="MOHAMMED MOHAMMED AVENUE"/>
        <s v="USMANIYYA LINK"/>
        <s v="SABO BAKIN ZUWO ROAD"/>
        <s v="A.M. PANDA STREET"/>
        <s v="AMINU DANWAWU STREET"/>
        <s v="AMINU MODI STREET"/>
        <s v="LARABA CLOSE"/>
        <s v="UNITY COMPREHENSIVE STREET"/>
        <s v="NASIR WANZAN STREETUMAR GALADIMA ROAD"/>
        <s v="NASIR WANZAN STREETASMA'U LINK"/>
        <s v="RABI'U SULAIMAN CLOSEDAN WUDIL LINK"/>
        <s v="BABBAN LAYI ROADADAKAWA LINK"/>
        <s v="ISUHU ROBA STREETAHAD CRESCENT"/>
        <s v="ISUHU ROBA STREETYOLAWA LINK"/>
        <s v="ABBAS MAI WANKI STREETYOLAWA LINK"/>
        <s v="ABBAS MAI WANKI STREETKABO LINK"/>
        <s v="BALA SHOE SHINER STREETKABO LINK"/>
        <s v="BALA SHOE SHINER STREETZUBAIRU INUWA LINK"/>
        <s v="DAN MADARI STREETZUBAIRU INUWA LINK"/>
        <s v="DAN MADARI STREETWRECCA ROAD"/>
        <s v="GIDAN GERO STREETWRECCA ROAD"/>
        <s v="GIDAN GERO STREETMALAM BUHARI LINK"/>
        <s v="SANI GWARZO STREETMALAM BUHARI LINK"/>
        <s v="SANI GWARZO STREETBABAN KWARI ROAD"/>
        <s v="MAI GATARI STREETBABAN KWARI ROAD"/>
        <s v="MAI GATARI STREET"/>
        <s v="BARRISTER ISA BELLO STREET"/>
        <s v="B Z TAGWAI STREET"/>
        <s v="SANI SHUAIBU STREET"/>
        <s v="MUSA KALLA STREET"/>
        <s v="UMAR GALADIMA ROAD"/>
        <s v="ASMA'U LINK"/>
        <s v="DAN WUDIL LINK"/>
        <s v="ADAKAWA LINK"/>
        <s v="AHAD CRESCENT"/>
        <s v="YOLAWA LINK"/>
        <s v="KABO LINK"/>
        <s v="ZUBAIRU INUWA LINK"/>
        <s v="WRECCA ROAD"/>
        <s v="MALAM BUHARI LINK"/>
        <s v="BABAN KWARI ROAD"/>
        <s v="MAIDUGURI ROAD"/>
        <s v="JAKADAN GARKO STREET"/>
        <s v="IBRAHIM EL-TAYYIB CLOSE"/>
        <s v="I. MA SAMA CLOSE"/>
        <s v="DAR-ES SALAM STREET"/>
        <s v="S/FEGI STREET"/>
        <s v="LAYIN MAI GIGINYU STREET"/>
        <s v="YAKUBU AHMED AVENUE"/>
        <s v="HAFSAT AVENUE"/>
        <s v="CBN QUARTERS ROAD"/>
        <s v="AUDU BAKO WAY"/>
        <s v="SHUAIBU MAI-GORO STREET"/>
        <s v="MUSA GWADABE STREET"/>
        <s v="ALFA WALI STREET"/>
        <s v="AMANALLAH STREET"/>
        <s v="PRESS ROAD"/>
        <s v="GUDA ABDULLAHI ROAD"/>
        <s v="PRESIDENT AVENUE"/>
        <s v="COURT HOUSE CLOSE"/>
        <s v="EYE HOSPITAL ROAD"/>
        <s v="DANBATTA WAY"/>
        <s v="ADUA ROAD"/>
        <s v="TUDUNWADA D ROAD"/>
        <s v="HADEJIA ROAD"/>
        <s v="MUSA KAUGAMA STREET"/>
        <s v="TRANSFORMER WAY"/>
        <s v="AGWAGWA STREET"/>
        <s v="DABINO AVENUE"/>
        <s v="GYADI - GYADI PRIMARY SCHOOL ROAD"/>
        <s v="BALA MAMSA STREET"/>
        <s v="ABDULLAHI KIRKI STREET"/>
        <s v="ADAMU DAN KABO CLOSE"/>
        <s v="BICHI CLOSE"/>
        <s v="COMMANDANT CLOSE"/>
        <s v="MYONGU ROAD"/>
        <s v="YUSUF MAITAMA SULE AVENUE"/>
        <s v="LAYIN GWAN GWAN STREET"/>
        <s v="LAUTAI ROAD"/>
        <s v="YAUTAI LINK"/>
        <s v="MALAMI STREET"/>
        <s v="BAGUDU STREET"/>
        <s v="SARKIN KASUWA STREET"/>
        <s v="MURTALA MOHAMMED WAY"/>
        <s v="LAGOS STREET"/>
        <s v="SANI UNGOGGO ROAD"/>
        <s v="AHMADU BELLO WAY"/>
        <s v="DUNI STREET"/>
        <s v="GARKI ROAD"/>
        <s v="UNITY ROAD"/>
        <s v="ABDULLAHI BAYERO ROAD"/>
        <s v="IBRAHIM DABO ROAD"/>
        <s v="BIDA ROAD"/>
        <s v="AJASA YAN SIMINTI ROAD"/>
        <s v="MATAN FADA ROAD"/>
        <s v="LAMIDO CRESCENT"/>
        <s v="MAGAJIN RUMFA ROAD"/>
        <s v="DANBAZAU ROAD"/>
        <s v="MAYU ROAD"/>
        <s v="SOCIAL INSURANCE ROAD"/>
        <s v="A ISMAIL ADAMU GANO STREET"/>
        <s v="MUHAMMAD DANKABO AVENUE"/>
        <s v="DAN KURA STREET"/>
        <s v="ZOO ROAD"/>
        <s v="SULE BATSARI AVENUE"/>
        <s v="SULE DANBATTA STREET"/>
        <s v="MUDI ALASAN ROAD"/>
        <s v="IBB WAY"/>
        <s v="ABADIE STREET"/>
        <s v="SULE BOMPAI STREET"/>
        <s v="UMARU BABURA ROAD"/>
        <s v="RWAFF ROAD"/>
        <s v="CHURCH ROAD"/>
        <s v="HON. SIDI HAMID ALI STREET"/>
        <s v="ADEOLA STREET"/>
        <s v="JIBRIN ABDU STREET"/>
        <s v="GARBA UBALE STREET"/>
        <s v="LIMAN BASHIR STREET"/>
        <s v="DR. G.N. HAMZA STREET"/>
        <s v="DANWAWU STREET"/>
        <s v="SANI TRADER STREET"/>
        <s v="BARGERY ROAD"/>
        <s v="ISAH WAZIRI ROAD"/>
        <s v="KAWU MAI WANKI STREET"/>
        <s v="BATAWA ROAD"/>
        <s v="MAITAMA STREET"/>
        <s v="SIR PETER OBEBI CLOSE"/>
        <s v="ABDUL'AZIZ HARUNA STREET"/>
        <s v="MUSTAPHA TELA STREET"/>
        <s v="MUSTAPHA TELA STREETMUSA TUDUN WADA LINK"/>
        <s v="NA'ANNABI AHMED STREETMUSA TUDUN WADA LINK"/>
        <s v="NA'ANNABI AHMED STREETMADINA LINK"/>
        <s v="DPO STREETMADINA LINK"/>
        <s v="DPO STREETIBRAHIM GODI STREET"/>
        <s v="HANGA AVENUEIBRAHIM GODI STREET"/>
        <s v="HANGA AVENUEMALAM BUHARI LINK"/>
        <s v="DAN GAYA STREET"/>
        <s v="M.J. LAWAL STREET"/>
        <s v="ABDULRAHMAN ABUBAKAR LINK"/>
        <s v="UMAR MADAHAJI STREET"/>
        <s v="GIRGIRI LAWAN LINK"/>
        <s v="AMINU BABANDI STREET"/>
        <s v="IBRAHIM HARUNA CLOSE"/>
        <s v="BBY LINK"/>
        <s v="NAZIRU SARKIN WAKA STREET"/>
        <s v="MUSA TUDUN WADA LINK"/>
        <s v="MADINA LINK"/>
        <s v="IBRAHIM GODI STREET"/>
        <s v="ADAMU BAKER STREET"/>
        <s v="HALLIRU ROAD"/>
        <s v="MOHAMMED VICE ADAMU ROAD"/>
        <s v="HOTORO AVENUE"/>
        <s v="LAYIN ALARAMONA STREET"/>
        <s v="IBRAHIM KALA ROAD"/>
        <s v="WADA ALIYU ROAD"/>
        <s v="IBRAHIM JOBE CRESCENT"/>
        <s v="GASHASH ROAD"/>
        <s v="YALWAN DANZIAL LINK"/>
        <s v="ABBA HABIB LINKADAMU JOJI ROAD"/>
        <s v="MUSA Y MAI KIFI AVENUEADAMU JOJI ROAD"/>
        <s v="MUSA Y MAI KIFI AVENUEJABBO ROAD"/>
        <s v="IDRIS UMAR ROADJABBO ROAD"/>
        <s v="IDRIS UMAR ROADSARDAUNA HABIB AVENUE"/>
        <s v="UMAR SANUSI STREETSARDAUNA HABIB AVENUE"/>
        <s v="UMAR SANUSI STREETSULTAN ROAD"/>
        <s v="BABURA ROADIBRAHIM GODI STREET"/>
        <s v="LUGARD AVENUEDAUDA BIRMA STREET"/>
        <s v="YANDUTSE ROADMADUGU LINK"/>
        <s v="YANDUTSE ROADLARABA ROAD"/>
        <s v="IYAKA ROADLAMIDO TERRACE"/>
        <s v="BORNO AVENUELAMIDO TERRACE"/>
        <s v="BORNO AVENUESARDAUNA CRESCENT"/>
        <s v="KASHIM IBRAHIM WAYSARDAUNA CRESCENT"/>
        <s v="BELLO KANO STREETBELLO ADOKE CLOSE"/>
        <s v="COMMISSIONER ROADSURAJO MARSHAL LINK"/>
        <s v="DAN HAUSA ROADSALIHU ZAWA'I UBA AVENUE"/>
        <s v="DR BALA MUHAMMAD ROADSURAJO MARSHAL LINK"/>
        <s v="DR BALA MUHAMMAD ROAD"/>
        <s v="ADAMU JOJI ROAD"/>
        <s v="JABBO ROAD"/>
        <s v="SARDAUNA HABIB AVENUE"/>
        <s v="SULTAN ROAD"/>
        <s v="DAUDA BIRMA STREET"/>
        <s v="MADUGU LINK"/>
        <s v="LAMIDO TERRACE"/>
        <s v="SARDAUNA CRESCENT"/>
        <s v="BELLO ADOKE CLOSE"/>
        <s v="SURAJO MARSHAL LINK"/>
        <s v="SALIHU ZAWA'I UBA AVENUE"/>
        <s v="ALI UNGUWAR GANO STREET"/>
        <s v="ALMAGHILI STREET"/>
        <s v="R KABIRU STREET"/>
        <s v="SANIN GIWA STREET"/>
        <s v="FESTING ROAD"/>
        <s v="KABBA STREET"/>
        <s v="YOLAWA ROAD"/>
        <s v="MURTALA MUHAMMED WAY"/>
        <s v="BROTHER STREET"/>
        <s v="BOMPAI ROAD"/>
        <s v="KAZAURE ROAD"/>
        <s v="NIGER STREET"/>
        <s v="BELLO ROAD"/>
        <s v="IGBO ROAD"/>
        <s v="YORUBA ROAD"/>
        <s v="AITKEN ROAD"/>
        <s v="ABEOKUTA ROAD"/>
        <s v="ENUGU ROAD"/>
        <s v="MILLER ROAD"/>
        <s v="MISSION ROAD"/>
        <s v="SANUSI STREET"/>
        <s v="MAHOGANY STREET"/>
        <s v="BALLAT HUGHES AVENUE"/>
        <s v="WARRI ROAD"/>
        <s v="SULAIMAN CRESCENT"/>
        <s v="KORAU ROAD"/>
        <s v="LAYIN MADORA STREET"/>
        <s v="AIRPORT ROAD"/>
        <s v="EGBE ROAD"/>
        <s v="ODUTOLA STREET"/>
        <s v="FEDERAL SECRETARIAT ROAD"/>
        <s v="HAJJ CAMP ROAD"/>
        <s v="NGURU AVENUE"/>
        <s v="MUSA FAGGE LINK"/>
        <s v="KURA ROAD"/>
        <s v="SOKOTO ROAD"/>
        <s v="MUHAMMED BELLO COUNCILLOR STREET"/>
        <s v="ISAH KAITA ROAD"/>
        <s v="MAL. HUSSAINI STREET"/>
        <s v="OLUSEGUN OBASANJO WAY"/>
        <s v="GIDADO MUKHTAR LINK"/>
        <s v="SABARA AVENUE"/>
        <s v="MA'AJIN WATARI STREET"/>
        <s v="KWANAR MAGGI STREET"/>
        <s v="BASHIR SULE MAITAMA AVENUE"/>
        <s v="BABA IMPOSSIBLE STREET"/>
        <s v="MUH'D FAITH KARUBE STREET"/>
        <s v="AMB. BUBA AHMED STREET"/>
        <s v="MAIMUNA LINK"/>
        <s v="NASIRU SAMINU LINK"/>
        <s v="ENGR. GAMBO ABUBAKAR STREET"/>
        <s v="NATIONAL AVENUE"/>
        <s v="ALI ALI MUHAMMAD LINK"/>
        <s v="DR. ALI IDI LINK"/>
        <s v="RENNER STREET"/>
        <s v="ADNAN BABAYOLA LINK"/>
        <s v="NASIRU ALI YAKASAI STREET"/>
        <s v="GIDAN KARA LINK"/>
        <s v="MALAM MADORI STREET"/>
        <s v="SANI IDI DAN FULANI STREET"/>
        <s v="HAMZA ABDULLAHI ROAD"/>
        <s v="SABBABU STREET"/>
        <s v="SANI LAWAN STREET"/>
        <s v="GIDADO ROAD"/>
        <s v="JIBRIL WUDIL STREET"/>
        <s v="TUKUR ROAD"/>
        <s v="AHMED DAKU ROAD"/>
        <s v="SEN. ISA KACHAKO ROAD"/>
        <s v="ADO GWARAM ROAD"/>
        <s v="AHMED YEKEDIMA ROAD"/>
        <s v="NUHU ALPA ROAD"/>
        <s v="SANI YARO STREET"/>
        <s v="WASHIR HOSPITAL ROAD"/>
        <s v="SANI GARBA STREET"/>
        <s v="KURA MUHAMMED STREET"/>
        <s v="YANKABA COURT ROAD"/>
        <s v="ALH BATURE ABDULAZIZ STREET"/>
        <s v="YANKABA STREET"/>
        <s v="MUAZU HAMZA STREET"/>
        <s v="ROYAL STREET"/>
        <s v="SHEHU NA ALLAH STREET"/>
        <s v="UMAR KAWAJI STREET"/>
        <s v="SAMADI STREET"/>
        <s v="KANYA STREET"/>
        <s v="UMAR DAN AZUMI STREET"/>
        <s v="SA'AD TANKO STREET"/>
        <s v="AHMAD ASHAKA STREET"/>
        <s v="FAGWALAWA LINK"/>
        <s v="BARAU DANBATTA ROAD"/>
        <s v="KALU STREET"/>
        <s v="BARAU DANBATTA LINK"/>
        <s v="ZANNAN ALBASU STREET"/>
        <s v="ALI ZANGO STREET"/>
        <s v="YUSUF ABDULLAHI STREET"/>
        <s v="YUSUF KWARI LINK"/>
        <s v="FREETOWN STREET"/>
        <s v="SARKIN YAKI STREET"/>
        <s v="WHETHERHEAD STREET"/>
        <s v="ZUNGERU ROAD"/>
        <s v="CEASER AVENUE"/>
        <s v="VAN GEORGE CLOSE"/>
        <s v="ZAKARI SADIQ LINK"/>
        <s v="IBRAHIM ZUBAIRU STREET"/>
        <s v="FOUNDATION ROAD"/>
        <s v="MAL. BILYA STREET"/>
        <s v="ADO JA'AFAR STREET"/>
        <s v="TARAUNI MARKET ROAD"/>
        <s v="MUSTAPHA TELA CLOSE"/>
        <s v="IZZUDDEEN ABUBAKAR LINK"/>
        <s v="BICHI LINK"/>
        <s v="SALIHU GALEEL STREET"/>
        <s v="IBRAHIM UMAR STREET"/>
        <s v="BAWO ROAD"/>
        <s v="19TH LINK"/>
        <s v="LAWAN NA'ALLAH STREET"/>
        <s v="IBRAHIM TAIWO ROAD"/>
        <s v="ARAKAN ROAD"/>
        <s v="TAMANDU CLOSE"/>
        <s v="TAMANDU ROAD"/>
        <s v="LAWAN ATANA ROAD"/>
        <s v="STADIUM ROAD"/>
        <s v="EMIR ROAD"/>
        <s v="OBASANJO ROAD"/>
        <s v="YUSUF KURFI STREET"/>
        <s v="REVENUE ROAD"/>
        <s v="ALWALI ROAD"/>
        <s v="USMAN LIMAN ROAD"/>
        <s v="CIVIC CENTRE ROAD"/>
        <s v="INUWA WADA LANE"/>
        <s v="AJASA ROAD"/>
        <s v="TREE LANE"/>
        <s v="IROKO AVENUE"/>
        <s v="KING'S GARDEN ROAD"/>
        <s v="IJEBU ROAD"/>
        <s v="MIDDLE ROAD"/>
        <s v="MAGANDA ROAD"/>
        <s v="BANK ROAD"/>
        <s v="SANI MARSHAL ROAD"/>
        <s v="INDEPENDENCE ROAD"/>
        <s v="ILARO ROAD"/>
        <s v="FRANCE ROAD"/>
        <s v="PARK ROAD"/>
        <s v="GEN. BASHIR MAGASHI ROAD"/>
        <s v="GARBA SHEHU STREET"/>
        <s v="BASHIR DALHATU STREET"/>
        <s v="KIYASHI AVENUE"/>
        <s v="SHEHU KAZAURE STREET"/>
        <s v="NURA TURAKI STREET"/>
        <s v="KANKAROFI STREET"/>
        <s v="BABA KOKI STREET"/>
        <s v="NUPE ROAD"/>
        <s v="LAYIN MAI KOSAI ROAD"/>
        <s v="INUWA DUTSE STREET"/>
        <s v="KARKASARA WAY"/>
        <s v="TAHIR ROAD"/>
        <s v="ALU AVENUE"/>
        <s v="LAFIA ROAD"/>
        <s v="LODGE ROAD"/>
        <s v="SHADAI CLOSE"/>
        <s v="MEDICAL AVENUE"/>
        <s v="NEW HOSPITAL ROAD"/>
        <s v="POLICE WALK WAY"/>
        <s v="BADAWA LAYOUT ROAD"/>
        <s v="KAWO MAIGARI ROAD"/>
        <s v="SALISU MAI BOREHOLE STREET"/>
        <s v="HABIBA YAHAYA LINK"/>
        <s v="YABUKU ABDUL PAIKO LINK"/>
        <s v="A MAI GORO SAGAGI LINK"/>
        <s v="DR ABDU GREMA LINK"/>
        <s v="HOTORO TINSHAMA ROADADAKAWA LINK"/>
        <s v="HOTORO TINSHAMA ROAD"/>
        <s v="HIGH TENSION LINE"/>
        <s v="HIGH TENSION LINEASMA'U LINK"/>
        <s v="AYUBA MAI MAI STREET"/>
        <s v="KWANYAWA STREET"/>
        <s v="AUDU SAYE STREET"/>
        <s v="AUYO STREET"/>
        <s v="GARBA KAZAURE STREET"/>
        <s v="UMAR IDRIS ILLO STREET"/>
        <s v="B.A ABDULLAHI LINK"/>
        <s v="LAYIN LAJAWA ROAD"/>
        <s v="A D TITIMA STREET"/>
        <s v="YAKUBU UMAR STREET"/>
        <s v="BARDE STREET"/>
        <s v="DARMANAWA ROAD"/>
        <s v="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ponses_pivot" cacheId="0" dataCaption="" rowGrandTotals="0" compact="0" compactData="0">
  <location ref="A1:E870" firstHeaderRow="0" firstDataRow="4" firstDataCol="0"/>
  <pivotFields>
    <pivotField name="Timestamp" axis="axisRow" compact="0" numFmtId="164" outline="0" multipleItemSelectionAllowed="1" showAll="0" sortType="descending" defaultSubtotal="0">
      <items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68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lease Select Your Team" axis="axisRow" compact="0" outline="0" multipleItemSelectionAllowed="1" showAll="0" sortType="descending" defaultSubtotal="0">
      <items>
        <item x="3"/>
        <item x="1"/>
        <item x="4"/>
        <item x="0"/>
        <item x="2"/>
        <item x="5"/>
      </items>
    </pivotField>
    <pivotField name="Cluster Sele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ets in Cluste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reets in Cluster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treets in Cluster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treets in Cluster 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eets in Cluster 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Umar Dalhatu Cluster Sele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ets in Cluste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treets in Cluster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eets in Cluster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treets in Cluster 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treets in Cluster 20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dullahi Elhabeeb Cluster Sele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ets in Cluster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treets in Cluste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eets in Cluster 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reets in Cluster 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reets in Cluster 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adiq Dala Cluster Sele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ets in Cluster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treets in Cluster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reets in Cluster 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treets in Cluster 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treets in Cluster 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nstallation Points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t="default"/>
      </items>
    </pivotField>
    <pivotField name="PICTURE UPLO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t="default"/>
      </items>
    </pivotField>
    <pivotField name="ANY FURTHER COM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ets in Cluster 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mar Farouk Cluster Selection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Clus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treets" axis="axisRow" compact="0" outline="0" multipleItemSelectionAllowed="1" showAll="0" sortType="descending" defaultSubtotal="0">
      <items>
        <item x="387"/>
        <item x="137"/>
        <item x="203"/>
        <item x="26"/>
        <item x="380"/>
        <item x="390"/>
        <item x="64"/>
        <item x="176"/>
        <item x="383"/>
        <item x="412"/>
        <item x="382"/>
        <item x="303"/>
        <item x="295"/>
        <item x="135"/>
        <item x="80"/>
        <item x="179"/>
        <item x="99"/>
        <item x="366"/>
        <item x="364"/>
        <item x="267"/>
        <item x="268"/>
        <item x="257"/>
        <item x="471"/>
        <item x="31"/>
        <item x="30"/>
        <item x="44"/>
        <item x="97"/>
        <item x="65"/>
        <item x="148"/>
        <item x="455"/>
        <item x="138"/>
        <item x="386"/>
        <item x="37"/>
        <item x="361"/>
        <item x="312"/>
        <item x="254"/>
        <item x="389"/>
        <item x="101"/>
        <item x="78"/>
        <item x="415"/>
        <item x="189"/>
        <item x="107"/>
        <item x="39"/>
        <item x="210"/>
        <item x="0"/>
        <item x="49"/>
        <item x="264"/>
        <item x="263"/>
        <item x="239"/>
        <item x="370"/>
        <item x="467"/>
        <item x="130"/>
        <item x="373"/>
        <item x="32"/>
        <item x="354"/>
        <item x="17"/>
        <item x="163"/>
        <item x="50"/>
        <item x="63"/>
        <item x="419"/>
        <item x="166"/>
        <item x="395"/>
        <item x="91"/>
        <item x="407"/>
        <item x="406"/>
        <item x="443"/>
        <item x="287"/>
        <item x="281"/>
        <item x="52"/>
        <item x="205"/>
        <item x="209"/>
        <item x="204"/>
        <item x="313"/>
        <item x="72"/>
        <item x="409"/>
        <item x="324"/>
        <item x="199"/>
        <item x="226"/>
        <item x="152"/>
        <item x="59"/>
        <item x="369"/>
        <item x="435"/>
        <item x="447"/>
        <item x="11"/>
        <item x="356"/>
        <item x="385"/>
        <item x="182"/>
        <item x="280"/>
        <item x="285"/>
        <item x="309"/>
        <item x="292"/>
        <item x="360"/>
        <item x="185"/>
        <item x="220"/>
        <item x="128"/>
        <item x="426"/>
        <item x="351"/>
        <item x="348"/>
        <item x="122"/>
        <item x="123"/>
        <item x="362"/>
        <item x="82"/>
        <item x="371"/>
        <item x="453"/>
        <item x="288"/>
        <item x="399"/>
        <item x="21"/>
        <item x="12"/>
        <item x="102"/>
        <item x="350"/>
        <item x="330"/>
        <item x="374"/>
        <item x="146"/>
        <item x="211"/>
        <item x="368"/>
        <item x="33"/>
        <item x="413"/>
        <item x="19"/>
        <item x="343"/>
        <item x="23"/>
        <item x="110"/>
        <item x="291"/>
        <item x="156"/>
        <item x="158"/>
        <item x="450"/>
        <item x="430"/>
        <item x="328"/>
        <item x="79"/>
        <item x="318"/>
        <item x="411"/>
        <item x="436"/>
        <item x="439"/>
        <item x="359"/>
        <item x="20"/>
        <item x="300"/>
        <item x="321"/>
        <item x="14"/>
        <item x="449"/>
        <item x="244"/>
        <item x="340"/>
        <item x="338"/>
        <item x="53"/>
        <item x="345"/>
        <item x="108"/>
        <item x="109"/>
        <item x="230"/>
        <item x="231"/>
        <item x="175"/>
        <item x="229"/>
        <item x="228"/>
        <item x="396"/>
        <item x="260"/>
        <item x="259"/>
        <item x="245"/>
        <item x="165"/>
        <item x="129"/>
        <item x="153"/>
        <item x="322"/>
        <item x="296"/>
        <item x="183"/>
        <item x="66"/>
        <item x="325"/>
        <item x="84"/>
        <item x="51"/>
        <item x="201"/>
        <item x="335"/>
        <item x="206"/>
        <item x="367"/>
        <item x="250"/>
        <item x="100"/>
        <item x="308"/>
        <item x="307"/>
        <item x="423"/>
        <item x="448"/>
        <item x="198"/>
        <item x="194"/>
        <item x="180"/>
        <item x="347"/>
        <item x="139"/>
        <item x="96"/>
        <item x="327"/>
        <item x="393"/>
        <item x="71"/>
        <item x="98"/>
        <item x="225"/>
        <item x="55"/>
        <item x="337"/>
        <item x="141"/>
        <item x="93"/>
        <item x="35"/>
        <item x="36"/>
        <item x="47"/>
        <item x="124"/>
        <item x="125"/>
        <item x="310"/>
        <item x="424"/>
        <item x="196"/>
        <item x="283"/>
        <item x="58"/>
        <item x="246"/>
        <item x="331"/>
        <item x="237"/>
        <item x="266"/>
        <item x="446"/>
        <item x="217"/>
        <item x="74"/>
        <item x="94"/>
        <item x="440"/>
        <item x="147"/>
        <item x="315"/>
        <item x="469"/>
        <item x="177"/>
        <item x="75"/>
        <item x="252"/>
        <item x="403"/>
        <item x="408"/>
        <item x="76"/>
        <item x="178"/>
        <item x="2"/>
        <item x="106"/>
        <item x="25"/>
        <item x="284"/>
        <item x="83"/>
        <item x="195"/>
        <item x="184"/>
        <item x="445"/>
        <item x="463"/>
        <item x="332"/>
        <item x="70"/>
        <item x="323"/>
        <item x="363"/>
        <item x="314"/>
        <item x="434"/>
        <item x="421"/>
        <item x="299"/>
        <item x="223"/>
        <item x="452"/>
        <item x="272"/>
        <item x="442"/>
        <item x="57"/>
        <item x="372"/>
        <item x="437"/>
        <item x="378"/>
        <item x="136"/>
        <item x="92"/>
        <item x="294"/>
        <item x="9"/>
        <item x="3"/>
        <item x="215"/>
        <item x="353"/>
        <item x="142"/>
        <item x="279"/>
        <item x="397"/>
        <item x="269"/>
        <item x="113"/>
        <item x="112"/>
        <item x="222"/>
        <item x="326"/>
        <item x="420"/>
        <item x="417"/>
        <item x="441"/>
        <item x="427"/>
        <item x="428"/>
        <item x="422"/>
        <item x="302"/>
        <item x="262"/>
        <item x="261"/>
        <item x="391"/>
        <item x="400"/>
        <item x="404"/>
        <item x="253"/>
        <item x="255"/>
        <item x="242"/>
        <item x="247"/>
        <item x="143"/>
        <item x="191"/>
        <item x="207"/>
        <item x="144"/>
        <item x="458"/>
        <item x="459"/>
        <item x="251"/>
        <item x="27"/>
        <item x="213"/>
        <item x="461"/>
        <item x="460"/>
        <item x="13"/>
        <item x="46"/>
        <item x="235"/>
        <item x="234"/>
        <item x="349"/>
        <item x="249"/>
        <item x="320"/>
        <item x="87"/>
        <item x="149"/>
        <item x="164"/>
        <item x="454"/>
        <item x="169"/>
        <item x="157"/>
        <item x="240"/>
        <item x="68"/>
        <item x="28"/>
        <item x="29"/>
        <item x="43"/>
        <item x="346"/>
        <item x="41"/>
        <item x="120"/>
        <item x="121"/>
        <item x="352"/>
        <item x="329"/>
        <item x="431"/>
        <item x="24"/>
        <item x="256"/>
        <item x="40"/>
        <item x="77"/>
        <item x="188"/>
        <item x="1"/>
        <item x="216"/>
        <item x="432"/>
        <item x="466"/>
        <item x="10"/>
        <item x="384"/>
        <item x="429"/>
        <item x="392"/>
        <item x="293"/>
        <item x="319"/>
        <item x="95"/>
        <item x="60"/>
        <item x="376"/>
        <item x="160"/>
        <item x="306"/>
        <item x="339"/>
        <item x="410"/>
        <item x="317"/>
        <item x="18"/>
        <item x="62"/>
        <item x="187"/>
        <item x="218"/>
        <item x="342"/>
        <item x="42"/>
        <item x="276"/>
        <item x="277"/>
        <item x="457"/>
        <item x="232"/>
        <item x="233"/>
        <item x="56"/>
        <item x="282"/>
        <item x="473"/>
        <item x="4"/>
        <item x="145"/>
        <item x="219"/>
        <item x="38"/>
        <item x="197"/>
        <item x="161"/>
        <item x="132"/>
        <item x="118"/>
        <item x="119"/>
        <item x="202"/>
        <item x="275"/>
        <item x="236"/>
        <item x="67"/>
        <item x="168"/>
        <item x="8"/>
        <item x="159"/>
        <item x="274"/>
        <item x="174"/>
        <item x="416"/>
        <item x="212"/>
        <item x="388"/>
        <item x="150"/>
        <item x="6"/>
        <item x="22"/>
        <item x="297"/>
        <item x="271"/>
        <item x="270"/>
        <item x="298"/>
        <item x="192"/>
        <item x="398"/>
        <item x="173"/>
        <item x="301"/>
        <item x="273"/>
        <item x="86"/>
        <item x="286"/>
        <item x="243"/>
        <item x="7"/>
        <item x="401"/>
        <item x="224"/>
        <item x="333"/>
        <item x="433"/>
        <item x="126"/>
        <item x="221"/>
        <item x="472"/>
        <item x="377"/>
        <item x="379"/>
        <item x="425"/>
        <item x="311"/>
        <item x="117"/>
        <item x="116"/>
        <item x="170"/>
        <item x="45"/>
        <item x="181"/>
        <item x="451"/>
        <item x="265"/>
        <item x="111"/>
        <item x="140"/>
        <item x="438"/>
        <item x="334"/>
        <item x="468"/>
        <item x="127"/>
        <item x="462"/>
        <item x="85"/>
        <item x="465"/>
        <item x="54"/>
        <item x="464"/>
        <item x="151"/>
        <item x="34"/>
        <item x="131"/>
        <item x="405"/>
        <item x="105"/>
        <item x="104"/>
        <item x="241"/>
        <item x="336"/>
        <item x="155"/>
        <item x="414"/>
        <item x="444"/>
        <item x="290"/>
        <item x="73"/>
        <item x="381"/>
        <item x="61"/>
        <item x="289"/>
        <item x="341"/>
        <item x="48"/>
        <item x="365"/>
        <item x="154"/>
        <item x="193"/>
        <item x="418"/>
        <item x="304"/>
        <item x="316"/>
        <item x="358"/>
        <item x="355"/>
        <item x="186"/>
        <item x="375"/>
        <item x="134"/>
        <item x="167"/>
        <item x="162"/>
        <item x="394"/>
        <item x="357"/>
        <item x="344"/>
        <item x="214"/>
        <item x="278"/>
        <item x="172"/>
        <item x="248"/>
        <item x="133"/>
        <item x="5"/>
        <item x="305"/>
        <item x="238"/>
        <item x="89"/>
        <item x="171"/>
        <item x="190"/>
        <item x="227"/>
        <item x="114"/>
        <item x="115"/>
        <item x="69"/>
        <item x="88"/>
        <item x="258"/>
        <item x="90"/>
        <item x="81"/>
        <item x="208"/>
        <item x="103"/>
        <item x="456"/>
        <item x="200"/>
        <item x="470"/>
        <item x="402"/>
        <item x="16"/>
        <item x="15"/>
        <item x="474"/>
      </items>
    </pivotField>
  </pivotFields>
  <rowFields>
    <field x="0"/>
    <field x="2"/>
    <field x="38"/>
    <field x="27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82iJjt0r5VKWpKflmeye0PTq-mqmPyac" TargetMode="External"/><Relationship Id="rId194" Type="http://schemas.openxmlformats.org/officeDocument/2006/relationships/hyperlink" Target="https://drive.google.com/open?id=1sN46O2g0lqgmLileEc57l1ZXmQaM8D2Y" TargetMode="External"/><Relationship Id="rId193" Type="http://schemas.openxmlformats.org/officeDocument/2006/relationships/hyperlink" Target="https://drive.google.com/open?id=1Kf6tg_U5I2zVtDywJ__YCZJ1MF2P0ZOn" TargetMode="External"/><Relationship Id="rId192" Type="http://schemas.openxmlformats.org/officeDocument/2006/relationships/hyperlink" Target="https://drive.google.com/open?id=1Qz6NtFDzt8xSiEWR4B4Wf3yh89cluof5" TargetMode="External"/><Relationship Id="rId191" Type="http://schemas.openxmlformats.org/officeDocument/2006/relationships/hyperlink" Target="https://drive.google.com/open?id=1omLFIN-eP7uwNT2GwE1lHgE2P7KW-Xwr" TargetMode="External"/><Relationship Id="rId187" Type="http://schemas.openxmlformats.org/officeDocument/2006/relationships/hyperlink" Target="https://drive.google.com/open?id=110AkPug0nNqoEzp_kxvSJnwH3HekslAg" TargetMode="External"/><Relationship Id="rId186" Type="http://schemas.openxmlformats.org/officeDocument/2006/relationships/hyperlink" Target="https://drive.google.com/open?id=1neg2NypIeb7g5zwCVZUOA3e5zYHkFzQP" TargetMode="External"/><Relationship Id="rId185" Type="http://schemas.openxmlformats.org/officeDocument/2006/relationships/hyperlink" Target="https://drive.google.com/open?id=1BI2uhUuFFoOBEni28jc0ziHJm1vOg9QS" TargetMode="External"/><Relationship Id="rId184" Type="http://schemas.openxmlformats.org/officeDocument/2006/relationships/hyperlink" Target="https://drive.google.com/open?id=1-lU1veyPQ-ZLUtsqdJmdI2lI4DK7DTcT" TargetMode="External"/><Relationship Id="rId189" Type="http://schemas.openxmlformats.org/officeDocument/2006/relationships/hyperlink" Target="https://drive.google.com/open?id=1TxrlkE3sOxpWzQZj5a0OuCvlJynlz_5b" TargetMode="External"/><Relationship Id="rId188" Type="http://schemas.openxmlformats.org/officeDocument/2006/relationships/hyperlink" Target="https://drive.google.com/open?id=1ZeyAF_J0DxKecZqIT_6jy1hFE__Sf-iC" TargetMode="External"/><Relationship Id="rId183" Type="http://schemas.openxmlformats.org/officeDocument/2006/relationships/hyperlink" Target="https://drive.google.com/open?id=1t8WlTxBXycKYBvW9cc9eQWpxfuaNbRvb" TargetMode="External"/><Relationship Id="rId182" Type="http://schemas.openxmlformats.org/officeDocument/2006/relationships/hyperlink" Target="https://drive.google.com/open?id=1Bo7gLP8vp2Q44vvxRL8jVqTrqOrNa4KO" TargetMode="External"/><Relationship Id="rId181" Type="http://schemas.openxmlformats.org/officeDocument/2006/relationships/hyperlink" Target="https://drive.google.com/open?id=1hLscsIhBhaJUEedvrrL2yYHnG_q7QIcW" TargetMode="External"/><Relationship Id="rId180" Type="http://schemas.openxmlformats.org/officeDocument/2006/relationships/hyperlink" Target="https://drive.google.com/open?id=1CO8eqBrCLV5fTJVjvOC2Ij5H_aTGb_a3" TargetMode="External"/><Relationship Id="rId176" Type="http://schemas.openxmlformats.org/officeDocument/2006/relationships/hyperlink" Target="https://drive.google.com/open?id=1wJOSdymV924F1Qj3ibkdFcqPGryrnKvx" TargetMode="External"/><Relationship Id="rId175" Type="http://schemas.openxmlformats.org/officeDocument/2006/relationships/hyperlink" Target="https://drive.google.com/open?id=1NinuJ5kPYHH9RG2axe1pzXtjHNeh4Gdo" TargetMode="External"/><Relationship Id="rId174" Type="http://schemas.openxmlformats.org/officeDocument/2006/relationships/hyperlink" Target="https://drive.google.com/open?id=1cnobpEVoL-5jQ4eM5-XjqW2oUvoGkbsW" TargetMode="External"/><Relationship Id="rId173" Type="http://schemas.openxmlformats.org/officeDocument/2006/relationships/hyperlink" Target="https://drive.google.com/open?id=1gzu-n_4nCTdAKzxUGijWBXecjJZPxeQn" TargetMode="External"/><Relationship Id="rId179" Type="http://schemas.openxmlformats.org/officeDocument/2006/relationships/hyperlink" Target="https://drive.google.com/open?id=1HjK_KT6P6GwHbJks1wCk11EQyfEA6D8Z" TargetMode="External"/><Relationship Id="rId178" Type="http://schemas.openxmlformats.org/officeDocument/2006/relationships/hyperlink" Target="https://drive.google.com/open?id=1ptvHaMOvJMZuXOGHbkCH6yJRdH_ri34h" TargetMode="External"/><Relationship Id="rId177" Type="http://schemas.openxmlformats.org/officeDocument/2006/relationships/hyperlink" Target="https://drive.google.com/open?id=1Hn089hYy9ym5amvIbjSuqsOd60D-sk7I" TargetMode="External"/><Relationship Id="rId198" Type="http://schemas.openxmlformats.org/officeDocument/2006/relationships/hyperlink" Target="https://drive.google.com/open?id=1L5zdjBEghrvffRR_0v_eYk4hM31NKUqT" TargetMode="External"/><Relationship Id="rId197" Type="http://schemas.openxmlformats.org/officeDocument/2006/relationships/hyperlink" Target="https://drive.google.com/open?id=1oIx-Y3lpo1uulAzWzH4koUIxrIHV1gO7" TargetMode="External"/><Relationship Id="rId196" Type="http://schemas.openxmlformats.org/officeDocument/2006/relationships/hyperlink" Target="https://drive.google.com/open?id=1fBf1dykF4Iuuazzk1Ceo-qgtQacIgHOx" TargetMode="External"/><Relationship Id="rId195" Type="http://schemas.openxmlformats.org/officeDocument/2006/relationships/hyperlink" Target="https://drive.google.com/open?id=15MclmnPhIc6NWQoNtQvW-f_QPn4q7Qs9" TargetMode="External"/><Relationship Id="rId199" Type="http://schemas.openxmlformats.org/officeDocument/2006/relationships/hyperlink" Target="https://drive.google.com/open?id=1hTCqw_7zDhq0E0XcEtkMeoFf7Ql2joE9" TargetMode="External"/><Relationship Id="rId150" Type="http://schemas.openxmlformats.org/officeDocument/2006/relationships/hyperlink" Target="https://drive.google.com/open?id=11-p0IsHoLdbCs1YUSjbyltjYKV__P0BX" TargetMode="External"/><Relationship Id="rId392" Type="http://schemas.openxmlformats.org/officeDocument/2006/relationships/hyperlink" Target="https://drive.google.com/open?id=1W52eAvV6zQEZyA82v4AdJdQDJMfEo2rd" TargetMode="External"/><Relationship Id="rId391" Type="http://schemas.openxmlformats.org/officeDocument/2006/relationships/hyperlink" Target="https://drive.google.com/open?id=1581d423LPEADV_z8dd_JsusS-Hsb-Mjy" TargetMode="External"/><Relationship Id="rId390" Type="http://schemas.openxmlformats.org/officeDocument/2006/relationships/hyperlink" Target="https://drive.google.com/open?id=1-S-r8QFRMKrRy5CIR_fbBNOEKLeG4X7U" TargetMode="External"/><Relationship Id="rId1" Type="http://schemas.openxmlformats.org/officeDocument/2006/relationships/hyperlink" Target="https://drive.google.com/open?id=1vA5UnIJiApycNAA0bGIiyPhpZo7tULEK" TargetMode="External"/><Relationship Id="rId2" Type="http://schemas.openxmlformats.org/officeDocument/2006/relationships/hyperlink" Target="https://drive.google.com/open?id=17qJx6Nd-rRv357zyjD7bR5y6p6XvxOwD" TargetMode="External"/><Relationship Id="rId3" Type="http://schemas.openxmlformats.org/officeDocument/2006/relationships/hyperlink" Target="https://drive.google.com/open?id=1kL56YqoUSa0lqyJqI_uJ7L8jBFaD8oOW" TargetMode="External"/><Relationship Id="rId149" Type="http://schemas.openxmlformats.org/officeDocument/2006/relationships/hyperlink" Target="https://drive.google.com/open?id=1wWvz5u319fSoNPpyYTcghnSDHbgGEGWk" TargetMode="External"/><Relationship Id="rId4" Type="http://schemas.openxmlformats.org/officeDocument/2006/relationships/hyperlink" Target="https://drive.google.com/open?id=1S1FSnxs6VPwa4uFlGHgss9GvJs6-kWec" TargetMode="External"/><Relationship Id="rId148" Type="http://schemas.openxmlformats.org/officeDocument/2006/relationships/hyperlink" Target="https://drive.google.com/open?id=1P2RxY6fBuJ-SVa3MA_58IePBEvYtPTKu" TargetMode="External"/><Relationship Id="rId9" Type="http://schemas.openxmlformats.org/officeDocument/2006/relationships/hyperlink" Target="https://drive.google.com/open?id=1elQq3jockCpJFe-mGpRIdukWHnJ69MLD" TargetMode="External"/><Relationship Id="rId143" Type="http://schemas.openxmlformats.org/officeDocument/2006/relationships/hyperlink" Target="https://drive.google.com/open?id=1u2xPqOI6lSAZLDyA4DHznxVhLC-d0MrI" TargetMode="External"/><Relationship Id="rId385" Type="http://schemas.openxmlformats.org/officeDocument/2006/relationships/hyperlink" Target="https://drive.google.com/open?id=1c0R-edNdsxKz5SRnEXxCOhtdAVE1KlY5" TargetMode="External"/><Relationship Id="rId142" Type="http://schemas.openxmlformats.org/officeDocument/2006/relationships/hyperlink" Target="https://drive.google.com/open?id=17cUS1QzSVuehfMOKJMV75MDrUFwYaZ5A" TargetMode="External"/><Relationship Id="rId384" Type="http://schemas.openxmlformats.org/officeDocument/2006/relationships/hyperlink" Target="https://drive.google.com/open?id=1YDyhm71HI1DP_kZRSyTuFrp5z6-hwIDz" TargetMode="External"/><Relationship Id="rId141" Type="http://schemas.openxmlformats.org/officeDocument/2006/relationships/hyperlink" Target="https://drive.google.com/open?id=1xrqnl5KpG24v6EJa6PQuk-vdAPtydLrY" TargetMode="External"/><Relationship Id="rId383" Type="http://schemas.openxmlformats.org/officeDocument/2006/relationships/hyperlink" Target="https://drive.google.com/open?id=1N49_N7hZhpacW5qJ4xDoBB-dKhfs3hd2" TargetMode="External"/><Relationship Id="rId140" Type="http://schemas.openxmlformats.org/officeDocument/2006/relationships/hyperlink" Target="https://drive.google.com/open?id=10DKEO_piAGDf4HJCJp1OGy9Keg0p0PGW" TargetMode="External"/><Relationship Id="rId382" Type="http://schemas.openxmlformats.org/officeDocument/2006/relationships/hyperlink" Target="https://drive.google.com/open?id=17yAReCxsrlj54-cyrGp68U9iia0-KeSh" TargetMode="External"/><Relationship Id="rId5" Type="http://schemas.openxmlformats.org/officeDocument/2006/relationships/hyperlink" Target="https://drive.google.com/open?id=1kf54DxWA8xSEwkPvsBw6YsLT9gsTB2De" TargetMode="External"/><Relationship Id="rId147" Type="http://schemas.openxmlformats.org/officeDocument/2006/relationships/hyperlink" Target="https://drive.google.com/open?id=1XPH2Wpob30Dj9b4ppsFa5FcALs76b4UU" TargetMode="External"/><Relationship Id="rId389" Type="http://schemas.openxmlformats.org/officeDocument/2006/relationships/hyperlink" Target="https://drive.google.com/open?id=1KE9_EgnQ2VRg6Z8ofapt1dPUcG9ZAP7_" TargetMode="External"/><Relationship Id="rId6" Type="http://schemas.openxmlformats.org/officeDocument/2006/relationships/hyperlink" Target="https://drive.google.com/open?id=1e12Dx-97pKHAY8MsfNiLSGgSy63w-hI4" TargetMode="External"/><Relationship Id="rId146" Type="http://schemas.openxmlformats.org/officeDocument/2006/relationships/hyperlink" Target="https://drive.google.com/open?id=1R5CVzyKGR8Fzo6cnQLWPA3LqpU_IbiwL" TargetMode="External"/><Relationship Id="rId388" Type="http://schemas.openxmlformats.org/officeDocument/2006/relationships/hyperlink" Target="https://drive.google.com/open?id=1q8GSjE30eH9qWE9HA6XF5-Uiyedv8P-j" TargetMode="External"/><Relationship Id="rId7" Type="http://schemas.openxmlformats.org/officeDocument/2006/relationships/hyperlink" Target="https://drive.google.com/open?id=1Uksnk2v2UHx7srmqyvaJJczH7d2xKLPc" TargetMode="External"/><Relationship Id="rId145" Type="http://schemas.openxmlformats.org/officeDocument/2006/relationships/hyperlink" Target="https://drive.google.com/open?id=1R4ZmyC-ipGNlmw8ID_bQ12YsvG-QLyFd" TargetMode="External"/><Relationship Id="rId387" Type="http://schemas.openxmlformats.org/officeDocument/2006/relationships/hyperlink" Target="https://drive.google.com/open?id=1LQsRY_hhgUOKtnOYLcTm9lUJZxQoLYt-" TargetMode="External"/><Relationship Id="rId8" Type="http://schemas.openxmlformats.org/officeDocument/2006/relationships/hyperlink" Target="https://drive.google.com/open?id=1yvIqE4FpHOElrRQlVGuNijIjBtGVWyX3" TargetMode="External"/><Relationship Id="rId144" Type="http://schemas.openxmlformats.org/officeDocument/2006/relationships/hyperlink" Target="https://drive.google.com/open?id=1F45QiIpOyJJapi-ICCxfDM1sG-oSACWM" TargetMode="External"/><Relationship Id="rId386" Type="http://schemas.openxmlformats.org/officeDocument/2006/relationships/hyperlink" Target="https://drive.google.com/open?id=1fuRiXhNmge713L8wuF1wyMBhyCHf59ff" TargetMode="External"/><Relationship Id="rId381" Type="http://schemas.openxmlformats.org/officeDocument/2006/relationships/hyperlink" Target="https://drive.google.com/open?id=1qR836HQo8xtExXDGl8iZyVVoYfId1HDl" TargetMode="External"/><Relationship Id="rId380" Type="http://schemas.openxmlformats.org/officeDocument/2006/relationships/hyperlink" Target="https://drive.google.com/open?id=1nZxv1UQ0EivQwy0SABskAklxJBi923s2" TargetMode="External"/><Relationship Id="rId139" Type="http://schemas.openxmlformats.org/officeDocument/2006/relationships/hyperlink" Target="https://drive.google.com/open?id=1m0axB0HrBwM6ryYvL2XZ67y6MUIu2EF3" TargetMode="External"/><Relationship Id="rId138" Type="http://schemas.openxmlformats.org/officeDocument/2006/relationships/hyperlink" Target="https://drive.google.com/open?id=11UJoRm1BNHmzx7BqW7f7cSgDzJOiqGOV" TargetMode="External"/><Relationship Id="rId137" Type="http://schemas.openxmlformats.org/officeDocument/2006/relationships/hyperlink" Target="https://drive.google.com/open?id=1hfbCjL-caWisC35owzxtqar1mra1fTPR" TargetMode="External"/><Relationship Id="rId379" Type="http://schemas.openxmlformats.org/officeDocument/2006/relationships/hyperlink" Target="https://drive.google.com/open?id=1jpLSdw-BXZEH3C2CBuFs9Zs1BzjODnIo" TargetMode="External"/><Relationship Id="rId132" Type="http://schemas.openxmlformats.org/officeDocument/2006/relationships/hyperlink" Target="https://drive.google.com/open?id=16sOZj9zrEfPtmXREQz93kcgWnfO_SbBM" TargetMode="External"/><Relationship Id="rId374" Type="http://schemas.openxmlformats.org/officeDocument/2006/relationships/hyperlink" Target="https://drive.google.com/open?id=1ZqqckNWdODk1lPQZlZVkJalVjH72TIR2" TargetMode="External"/><Relationship Id="rId131" Type="http://schemas.openxmlformats.org/officeDocument/2006/relationships/hyperlink" Target="https://drive.google.com/open?id=1qS1wR9DR6GfIfdCkGkA46xmtHy0X4ASa" TargetMode="External"/><Relationship Id="rId373" Type="http://schemas.openxmlformats.org/officeDocument/2006/relationships/hyperlink" Target="https://drive.google.com/open?id=19A3EhUQdUxXIYGp-mKSg8wPUZSAESv7I" TargetMode="External"/><Relationship Id="rId130" Type="http://schemas.openxmlformats.org/officeDocument/2006/relationships/hyperlink" Target="https://drive.google.com/open?id=12Idu7frGu236O90sIkgSV4NzD-RLTW9Y" TargetMode="External"/><Relationship Id="rId372" Type="http://schemas.openxmlformats.org/officeDocument/2006/relationships/hyperlink" Target="https://drive.google.com/open?id=1TWvTZNbksixm_JLyLqgF_N4kVNo2fWLq" TargetMode="External"/><Relationship Id="rId371" Type="http://schemas.openxmlformats.org/officeDocument/2006/relationships/hyperlink" Target="https://drive.google.com/open?id=12DUZ07aERb795Hakdc_1CkVEA-etzWNw" TargetMode="External"/><Relationship Id="rId136" Type="http://schemas.openxmlformats.org/officeDocument/2006/relationships/hyperlink" Target="https://drive.google.com/open?id=1ntNt89GOAvMaNb8Z8y9sDb_KvxgWP8-T" TargetMode="External"/><Relationship Id="rId378" Type="http://schemas.openxmlformats.org/officeDocument/2006/relationships/hyperlink" Target="https://drive.google.com/open?id=1tDJYVDkVfTjfhvyJgJdhVB2nBvpTO1Vy" TargetMode="External"/><Relationship Id="rId135" Type="http://schemas.openxmlformats.org/officeDocument/2006/relationships/hyperlink" Target="https://drive.google.com/open?id=1FSnCkXID0Gx9zxupZcUbZz55uSEzJtei" TargetMode="External"/><Relationship Id="rId377" Type="http://schemas.openxmlformats.org/officeDocument/2006/relationships/hyperlink" Target="https://drive.google.com/open?id=1JeTVeoL6cN-abSFWoRn1KVV6IorneYv3" TargetMode="External"/><Relationship Id="rId134" Type="http://schemas.openxmlformats.org/officeDocument/2006/relationships/hyperlink" Target="https://drive.google.com/open?id=1qH88Yowyfyn3d3DTGCOVireXGikZtHNq" TargetMode="External"/><Relationship Id="rId376" Type="http://schemas.openxmlformats.org/officeDocument/2006/relationships/hyperlink" Target="https://drive.google.com/open?id=1g4KXY1vqmql1X_6XpwF010uXblQju7sl" TargetMode="External"/><Relationship Id="rId133" Type="http://schemas.openxmlformats.org/officeDocument/2006/relationships/hyperlink" Target="https://drive.google.com/open?id=1-DH1EMYm9pNJp_nShFgr_HgROLkgNGJC" TargetMode="External"/><Relationship Id="rId375" Type="http://schemas.openxmlformats.org/officeDocument/2006/relationships/hyperlink" Target="https://drive.google.com/open?id=19fhuhOUACPm-ES-X83ZjzOUw7OxersZj" TargetMode="External"/><Relationship Id="rId172" Type="http://schemas.openxmlformats.org/officeDocument/2006/relationships/hyperlink" Target="https://drive.google.com/open?id=1E2GfgG6eSYbIVbcjokqi06iSAjnKSrJb" TargetMode="External"/><Relationship Id="rId171" Type="http://schemas.openxmlformats.org/officeDocument/2006/relationships/hyperlink" Target="https://drive.google.com/open?id=1fiN07bf3H_L8Li65C378sXOzN1RdYs2V" TargetMode="External"/><Relationship Id="rId170" Type="http://schemas.openxmlformats.org/officeDocument/2006/relationships/hyperlink" Target="https://drive.google.com/open?id=1a9XQ9yvcnNQIjfd8_ynmBG0VEqIy3S9V" TargetMode="External"/><Relationship Id="rId165" Type="http://schemas.openxmlformats.org/officeDocument/2006/relationships/hyperlink" Target="https://drive.google.com/open?id=10rBGEK-SP0MAxQhXyuZ20TQgm_iu-yAt" TargetMode="External"/><Relationship Id="rId164" Type="http://schemas.openxmlformats.org/officeDocument/2006/relationships/hyperlink" Target="https://drive.google.com/open?id=1D3yKi9j1ZISwZpiQ0DxR95TMJ-pSFJgW" TargetMode="External"/><Relationship Id="rId163" Type="http://schemas.openxmlformats.org/officeDocument/2006/relationships/hyperlink" Target="https://drive.google.com/open?id=1N9HeHl0CDLBd7v02mjJUzrF7QgFzWdUK" TargetMode="External"/><Relationship Id="rId162" Type="http://schemas.openxmlformats.org/officeDocument/2006/relationships/hyperlink" Target="https://drive.google.com/open?id=1O-3dwLNOmh3Zh1RnXNw6ZTAnw93wB2PY" TargetMode="External"/><Relationship Id="rId169" Type="http://schemas.openxmlformats.org/officeDocument/2006/relationships/hyperlink" Target="https://drive.google.com/open?id=1AGMaXHvr8bKw6ptGdyL5rjKo7m_Iw2Wu" TargetMode="External"/><Relationship Id="rId168" Type="http://schemas.openxmlformats.org/officeDocument/2006/relationships/hyperlink" Target="https://drive.google.com/open?id=1Fs4w0rauXvnMik0RPHMnubLKx6P8DYK0" TargetMode="External"/><Relationship Id="rId167" Type="http://schemas.openxmlformats.org/officeDocument/2006/relationships/hyperlink" Target="https://drive.google.com/open?id=1OhqaU_pB5Jp_ZGgoEdpzrUyKodp_rXNw" TargetMode="External"/><Relationship Id="rId166" Type="http://schemas.openxmlformats.org/officeDocument/2006/relationships/hyperlink" Target="https://drive.google.com/open?id=1ow3rMXNu6z6OKL4xh0qjY2ofMNPZmq38" TargetMode="External"/><Relationship Id="rId161" Type="http://schemas.openxmlformats.org/officeDocument/2006/relationships/hyperlink" Target="https://drive.google.com/open?id=1zRI-9znm1_P4SP1ScR9ToF_9v0xlj4ZA" TargetMode="External"/><Relationship Id="rId160" Type="http://schemas.openxmlformats.org/officeDocument/2006/relationships/hyperlink" Target="https://drive.google.com/open?id=1pZ9IwaarWEZr3ulQdprw74Yv2zh0xWQa" TargetMode="External"/><Relationship Id="rId159" Type="http://schemas.openxmlformats.org/officeDocument/2006/relationships/hyperlink" Target="https://drive.google.com/open?id=1V6qZGcPNt-jMErt7VgkKLAHvPuAGAHc2" TargetMode="External"/><Relationship Id="rId154" Type="http://schemas.openxmlformats.org/officeDocument/2006/relationships/hyperlink" Target="https://drive.google.com/open?id=1oLVttsQSaWybSzJD8tTGAAro3wjRuyad" TargetMode="External"/><Relationship Id="rId396" Type="http://schemas.openxmlformats.org/officeDocument/2006/relationships/hyperlink" Target="https://drive.google.com/open?id=1Tn8woeBRunzmyMdLdBxMvYseVaBhF0IN" TargetMode="External"/><Relationship Id="rId153" Type="http://schemas.openxmlformats.org/officeDocument/2006/relationships/hyperlink" Target="https://drive.google.com/open?id=1G0D4A2PFSNZzOrqfKls2mDZE1Z9rh7wT" TargetMode="External"/><Relationship Id="rId395" Type="http://schemas.openxmlformats.org/officeDocument/2006/relationships/hyperlink" Target="https://drive.google.com/open?id=1Ld0z6p8OUtrzIKGaa7moFS_PGcNAaS0i" TargetMode="External"/><Relationship Id="rId152" Type="http://schemas.openxmlformats.org/officeDocument/2006/relationships/hyperlink" Target="https://drive.google.com/open?id=1ym0lcaLSUccIw1v9JX_O3unva6FSK9Eo" TargetMode="External"/><Relationship Id="rId394" Type="http://schemas.openxmlformats.org/officeDocument/2006/relationships/hyperlink" Target="https://drive.google.com/open?id=1lZZUev3RgoBXL68IS_twYl98daJiBLlD" TargetMode="External"/><Relationship Id="rId151" Type="http://schemas.openxmlformats.org/officeDocument/2006/relationships/hyperlink" Target="https://drive.google.com/open?id=1v5w263PoDFnxX_e1RcATObhG5ZtQkoCV" TargetMode="External"/><Relationship Id="rId393" Type="http://schemas.openxmlformats.org/officeDocument/2006/relationships/hyperlink" Target="https://drive.google.com/open?id=1WfsDrbLv4esPsG8Fod1H5PqPl1nbCnBJ" TargetMode="External"/><Relationship Id="rId158" Type="http://schemas.openxmlformats.org/officeDocument/2006/relationships/hyperlink" Target="https://drive.google.com/open?id=1iD-_VNbKJ7Ev9jtKRoDKpMM7D8R1FvWL" TargetMode="External"/><Relationship Id="rId157" Type="http://schemas.openxmlformats.org/officeDocument/2006/relationships/hyperlink" Target="https://drive.google.com/open?id=1yS4FaEcDNNYhUYyZax55_KB7bubnbrMw" TargetMode="External"/><Relationship Id="rId399" Type="http://schemas.openxmlformats.org/officeDocument/2006/relationships/hyperlink" Target="https://drive.google.com/open?id=1r-ec9we6cFgNFbYTqWbwDiELQg5f0t3j" TargetMode="External"/><Relationship Id="rId156" Type="http://schemas.openxmlformats.org/officeDocument/2006/relationships/hyperlink" Target="https://drive.google.com/open?id=1fau6EF2CLDg91eQlfIUL3sW3qs2fRN1s" TargetMode="External"/><Relationship Id="rId398" Type="http://schemas.openxmlformats.org/officeDocument/2006/relationships/hyperlink" Target="https://drive.google.com/open?id=1zWhIKKnNxa778QO8EezgQ8n5eKE6UxpR" TargetMode="External"/><Relationship Id="rId155" Type="http://schemas.openxmlformats.org/officeDocument/2006/relationships/hyperlink" Target="https://drive.google.com/open?id=1-4FRY_H6MmnXqkQ8qjNNI9cKqmN_yLyy" TargetMode="External"/><Relationship Id="rId397" Type="http://schemas.openxmlformats.org/officeDocument/2006/relationships/hyperlink" Target="https://drive.google.com/open?id=1FUyMSaudoBZ5byrHWlMUvFpyM2Uenxz5" TargetMode="External"/><Relationship Id="rId808" Type="http://schemas.openxmlformats.org/officeDocument/2006/relationships/hyperlink" Target="https://drive.google.com/open?id=1DodIqgPJ14KQLirrnJ05Cnp9lP3-QGAt" TargetMode="External"/><Relationship Id="rId807" Type="http://schemas.openxmlformats.org/officeDocument/2006/relationships/hyperlink" Target="https://drive.google.com/open?id=1y5jXl2_cn_qC3S6e_T9xuN9DWVg5sSyr" TargetMode="External"/><Relationship Id="rId806" Type="http://schemas.openxmlformats.org/officeDocument/2006/relationships/hyperlink" Target="https://drive.google.com/open?id=1LcA7T8nwFF8SmUAHcg6w0q5XjYFe7Hit" TargetMode="External"/><Relationship Id="rId805" Type="http://schemas.openxmlformats.org/officeDocument/2006/relationships/hyperlink" Target="https://drive.google.com/open?id=13faIf9EYPfT-_4YIk1d2hP0mpLSRyHyx" TargetMode="External"/><Relationship Id="rId809" Type="http://schemas.openxmlformats.org/officeDocument/2006/relationships/hyperlink" Target="https://drive.google.com/open?id=1IMx0STbivIzNy7f9kKqk2NgSHMXQ5CdS" TargetMode="External"/><Relationship Id="rId800" Type="http://schemas.openxmlformats.org/officeDocument/2006/relationships/hyperlink" Target="https://drive.google.com/open?id=1wV9_vYW8vEmgKKmyMH6TVOrCIpefUNwN" TargetMode="External"/><Relationship Id="rId804" Type="http://schemas.openxmlformats.org/officeDocument/2006/relationships/hyperlink" Target="https://drive.google.com/open?id=1aAO1rgF0P9OA1m_JsHELVgMxLmsfhyX9" TargetMode="External"/><Relationship Id="rId803" Type="http://schemas.openxmlformats.org/officeDocument/2006/relationships/hyperlink" Target="https://drive.google.com/open?id=1S-w1PFkc-4ybeAnbsQhJttdTxVJ6TaFV" TargetMode="External"/><Relationship Id="rId802" Type="http://schemas.openxmlformats.org/officeDocument/2006/relationships/hyperlink" Target="https://drive.google.com/open?id=1rEAIHljSd9nBwM0hEhztKT9LSGjSTIoJ" TargetMode="External"/><Relationship Id="rId801" Type="http://schemas.openxmlformats.org/officeDocument/2006/relationships/hyperlink" Target="https://drive.google.com/open?id=1CwDPT1LvcDl_6P2CnBVB9MErjo1RYl0o" TargetMode="External"/><Relationship Id="rId40" Type="http://schemas.openxmlformats.org/officeDocument/2006/relationships/hyperlink" Target="https://drive.google.com/open?id=1g29qqpFEJHkpNHnz07kd7cF4NPOKxZ6F" TargetMode="External"/><Relationship Id="rId42" Type="http://schemas.openxmlformats.org/officeDocument/2006/relationships/hyperlink" Target="https://drive.google.com/open?id=1QImAx-89lKOGUlkzA8jr8LND9yXsj_cm" TargetMode="External"/><Relationship Id="rId41" Type="http://schemas.openxmlformats.org/officeDocument/2006/relationships/hyperlink" Target="https://drive.google.com/open?id=1jO79BQemhpoVs-9bAmDoWD_d5PciyRyh" TargetMode="External"/><Relationship Id="rId44" Type="http://schemas.openxmlformats.org/officeDocument/2006/relationships/hyperlink" Target="https://drive.google.com/open?id=137bp6XJyJ5sl93tPnebuqIpP68hN3IJd" TargetMode="External"/><Relationship Id="rId43" Type="http://schemas.openxmlformats.org/officeDocument/2006/relationships/hyperlink" Target="https://drive.google.com/open?id=1vvsKcDlLu4gjlx4FMN7P1CdYHCnTxTwl" TargetMode="External"/><Relationship Id="rId46" Type="http://schemas.openxmlformats.org/officeDocument/2006/relationships/hyperlink" Target="https://drive.google.com/open?id=1OGe6d_TuG9d91t8mZUQOpuylmZMQbVcW" TargetMode="External"/><Relationship Id="rId45" Type="http://schemas.openxmlformats.org/officeDocument/2006/relationships/hyperlink" Target="https://drive.google.com/open?id=1cY9HQNhcONRbXx_k3y3z2kaTmXxJJZyF" TargetMode="External"/><Relationship Id="rId509" Type="http://schemas.openxmlformats.org/officeDocument/2006/relationships/hyperlink" Target="https://drive.google.com/open?id=1wlMQa052uQPhyb_Kv6N4EEEQSWa4Qnn4" TargetMode="External"/><Relationship Id="rId508" Type="http://schemas.openxmlformats.org/officeDocument/2006/relationships/hyperlink" Target="https://drive.google.com/open?id=1O5TnTmsb_rQHSvGB-e-_TtLhgHYbFagP" TargetMode="External"/><Relationship Id="rId503" Type="http://schemas.openxmlformats.org/officeDocument/2006/relationships/hyperlink" Target="https://drive.google.com/open?id=1iqg2ztGFiFMJnrWXTlbb6pOsrOTh5w10" TargetMode="External"/><Relationship Id="rId745" Type="http://schemas.openxmlformats.org/officeDocument/2006/relationships/hyperlink" Target="https://drive.google.com/open?id=1FyEenowVhdoJsuqg7d6cT7bOlN4CSXyI" TargetMode="External"/><Relationship Id="rId502" Type="http://schemas.openxmlformats.org/officeDocument/2006/relationships/hyperlink" Target="https://drive.google.com/open?id=1fm_OS9oNHS_LYXw2AlgMsAsdHmm56uh8" TargetMode="External"/><Relationship Id="rId744" Type="http://schemas.openxmlformats.org/officeDocument/2006/relationships/hyperlink" Target="https://drive.google.com/open?id=10wlujz0dd1aCAiu7PQj39_O7UfMRWGON" TargetMode="External"/><Relationship Id="rId501" Type="http://schemas.openxmlformats.org/officeDocument/2006/relationships/hyperlink" Target="https://drive.google.com/open?id=1xjSQbF18ANnG_3bd9EKRLW31ZxHUAOb-" TargetMode="External"/><Relationship Id="rId743" Type="http://schemas.openxmlformats.org/officeDocument/2006/relationships/hyperlink" Target="https://drive.google.com/open?id=1KF5X7YMh9js0cEZGrgTbjHdglquEQh2S" TargetMode="External"/><Relationship Id="rId500" Type="http://schemas.openxmlformats.org/officeDocument/2006/relationships/hyperlink" Target="https://drive.google.com/open?id=17s3hnEOhsu82mioDkq8gDwekcPw2CS2t" TargetMode="External"/><Relationship Id="rId742" Type="http://schemas.openxmlformats.org/officeDocument/2006/relationships/hyperlink" Target="https://drive.google.com/open?id=1WZvILZNPN0q48_kblzNC5OD3Sr6sjLs_" TargetMode="External"/><Relationship Id="rId507" Type="http://schemas.openxmlformats.org/officeDocument/2006/relationships/hyperlink" Target="https://drive.google.com/open?id=1z7OYjZ-FPhxclSg9XlnYQbEo6nQPgFZG" TargetMode="External"/><Relationship Id="rId749" Type="http://schemas.openxmlformats.org/officeDocument/2006/relationships/hyperlink" Target="https://drive.google.com/open?id=1R27DC0yzB1IFsM1ZD_8_GzMe9hVrB3T_" TargetMode="External"/><Relationship Id="rId506" Type="http://schemas.openxmlformats.org/officeDocument/2006/relationships/hyperlink" Target="https://drive.google.com/open?id=1xJboA8O7fZ-kt-FaNCQHM7882Q8g95Z8" TargetMode="External"/><Relationship Id="rId748" Type="http://schemas.openxmlformats.org/officeDocument/2006/relationships/hyperlink" Target="https://drive.google.com/open?id=1V8RVXzBEarCVxbZQg1sU0ExU24zuFfsU" TargetMode="External"/><Relationship Id="rId505" Type="http://schemas.openxmlformats.org/officeDocument/2006/relationships/hyperlink" Target="https://drive.google.com/open?id=1d04ZxYjHIF_VDNzmNpy1qttTmTLcNz9w" TargetMode="External"/><Relationship Id="rId747" Type="http://schemas.openxmlformats.org/officeDocument/2006/relationships/hyperlink" Target="https://drive.google.com/open?id=1ZW8bIHdOKjtRyQ44WXtM4E57KIIwnlac" TargetMode="External"/><Relationship Id="rId504" Type="http://schemas.openxmlformats.org/officeDocument/2006/relationships/hyperlink" Target="https://drive.google.com/open?id=1mL7mX-JbozdAliZ05jM8yXhARYg9LJLs" TargetMode="External"/><Relationship Id="rId746" Type="http://schemas.openxmlformats.org/officeDocument/2006/relationships/hyperlink" Target="https://drive.google.com/open?id=1SDwBtS_k7-b1UDCZ_AG3C-EU_9PQad4B" TargetMode="External"/><Relationship Id="rId48" Type="http://schemas.openxmlformats.org/officeDocument/2006/relationships/hyperlink" Target="https://drive.google.com/open?id=1Ixdmeof3ev9vRUIFVfGQ3fYAy0Nj6IIZ" TargetMode="External"/><Relationship Id="rId47" Type="http://schemas.openxmlformats.org/officeDocument/2006/relationships/hyperlink" Target="https://drive.google.com/open?id=1lANY4Cc8nRoS_sCuHZG5sLib5usJ68G-" TargetMode="External"/><Relationship Id="rId49" Type="http://schemas.openxmlformats.org/officeDocument/2006/relationships/hyperlink" Target="https://drive.google.com/open?id=1IvfJ2aivNyK4mgo9h6pmrMRETmVzRhwl" TargetMode="External"/><Relationship Id="rId741" Type="http://schemas.openxmlformats.org/officeDocument/2006/relationships/hyperlink" Target="https://drive.google.com/open?id=1NrJEiz7utU2Eou67f8b4p4z4hjr1hCDd" TargetMode="External"/><Relationship Id="rId740" Type="http://schemas.openxmlformats.org/officeDocument/2006/relationships/hyperlink" Target="https://drive.google.com/open?id=1P1GROxTfVUjtczD03hJHCD-uay9boGdx" TargetMode="External"/><Relationship Id="rId31" Type="http://schemas.openxmlformats.org/officeDocument/2006/relationships/hyperlink" Target="https://drive.google.com/open?id=1ff3gAYOswXJD0TQNHSu_aCg7QH2eohdM" TargetMode="External"/><Relationship Id="rId30" Type="http://schemas.openxmlformats.org/officeDocument/2006/relationships/hyperlink" Target="https://drive.google.com/open?id=12F3rYRnbwniA48gSgBGA2KsCTgU6bgVZ" TargetMode="External"/><Relationship Id="rId33" Type="http://schemas.openxmlformats.org/officeDocument/2006/relationships/hyperlink" Target="https://drive.google.com/open?id=1-akPQol7Uj3nUybrC78VEDwC39WRdmUL" TargetMode="External"/><Relationship Id="rId32" Type="http://schemas.openxmlformats.org/officeDocument/2006/relationships/hyperlink" Target="https://drive.google.com/open?id=1UDzQfbVzEJHkGOS6FswO61wcGKO6CquP" TargetMode="External"/><Relationship Id="rId35" Type="http://schemas.openxmlformats.org/officeDocument/2006/relationships/hyperlink" Target="https://drive.google.com/open?id=1_ttWa8oim-sxDEYaSiXOCjGOOw-eJ7f7" TargetMode="External"/><Relationship Id="rId34" Type="http://schemas.openxmlformats.org/officeDocument/2006/relationships/hyperlink" Target="https://drive.google.com/open?id=1Hn4ys-0RvlZ33vrEs1Ss_BgIGb-yJfMX" TargetMode="External"/><Relationship Id="rId739" Type="http://schemas.openxmlformats.org/officeDocument/2006/relationships/hyperlink" Target="https://drive.google.com/open?id=1QoCkhNCH01AHUs3xZnsg4LtdVMhZY5EK" TargetMode="External"/><Relationship Id="rId734" Type="http://schemas.openxmlformats.org/officeDocument/2006/relationships/hyperlink" Target="https://drive.google.com/open?id=1M7zkWXnIErGG7toIVgeKc5xdZaduMGkG" TargetMode="External"/><Relationship Id="rId733" Type="http://schemas.openxmlformats.org/officeDocument/2006/relationships/hyperlink" Target="https://drive.google.com/open?id=1JJYSuM2TImiIRjiWiuksvs3de_PAFQbn" TargetMode="External"/><Relationship Id="rId732" Type="http://schemas.openxmlformats.org/officeDocument/2006/relationships/hyperlink" Target="https://drive.google.com/open?id=1nsk1Hh8hax68Hh6NAs1mg_lTAZwQv6KI" TargetMode="External"/><Relationship Id="rId731" Type="http://schemas.openxmlformats.org/officeDocument/2006/relationships/hyperlink" Target="https://drive.google.com/open?id=1_kerHhLn1ehrNbaBI2fvWgOhPKhji4b3" TargetMode="External"/><Relationship Id="rId738" Type="http://schemas.openxmlformats.org/officeDocument/2006/relationships/hyperlink" Target="https://drive.google.com/open?id=16cE4bC7KkjSwHzIbhPTuDP4SO1swb3vC" TargetMode="External"/><Relationship Id="rId737" Type="http://schemas.openxmlformats.org/officeDocument/2006/relationships/hyperlink" Target="https://drive.google.com/open?id=1jZzvfTpjOgRgw7rT6UQXgPPdxNP_K84s" TargetMode="External"/><Relationship Id="rId736" Type="http://schemas.openxmlformats.org/officeDocument/2006/relationships/hyperlink" Target="https://drive.google.com/open?id=1o6kxWBXmtD5YUB79Ua3asVKOqQZoHv9Y" TargetMode="External"/><Relationship Id="rId735" Type="http://schemas.openxmlformats.org/officeDocument/2006/relationships/hyperlink" Target="https://drive.google.com/open?id=1eDFV02S-XTBBRGjeMGbAccLrtTzZVAEi" TargetMode="External"/><Relationship Id="rId37" Type="http://schemas.openxmlformats.org/officeDocument/2006/relationships/hyperlink" Target="https://drive.google.com/open?id=1IDb9OK7_oWhNTHfjXGb-Lf2eJkVcGwnD" TargetMode="External"/><Relationship Id="rId36" Type="http://schemas.openxmlformats.org/officeDocument/2006/relationships/hyperlink" Target="https://drive.google.com/open?id=1KdDZVixXNk6GvS8gvj8Z9sOIz0htiKlQ" TargetMode="External"/><Relationship Id="rId39" Type="http://schemas.openxmlformats.org/officeDocument/2006/relationships/hyperlink" Target="https://drive.google.com/open?id=1_Lv1HHJPW4SZ_7_DUtgKLBIOAp-KjlGD" TargetMode="External"/><Relationship Id="rId38" Type="http://schemas.openxmlformats.org/officeDocument/2006/relationships/hyperlink" Target="https://drive.google.com/open?id=1P-Y7suPYWUjWpois3Vp2Ymh4XqRJLqPV" TargetMode="External"/><Relationship Id="rId730" Type="http://schemas.openxmlformats.org/officeDocument/2006/relationships/hyperlink" Target="https://drive.google.com/open?id=1lw89tfDsaK6Ai0otcMBCBfMvGvldNBb-" TargetMode="External"/><Relationship Id="rId20" Type="http://schemas.openxmlformats.org/officeDocument/2006/relationships/hyperlink" Target="https://drive.google.com/open?id=1ezR7FhQZv92k23OkmPntrwBr4lKKsfuo" TargetMode="External"/><Relationship Id="rId22" Type="http://schemas.openxmlformats.org/officeDocument/2006/relationships/hyperlink" Target="https://drive.google.com/open?id=1Ol1Av6H3odwL3wiWWjFP9kyPAImLPfCG" TargetMode="External"/><Relationship Id="rId21" Type="http://schemas.openxmlformats.org/officeDocument/2006/relationships/hyperlink" Target="https://drive.google.com/open?id=1PhWVjxrEVjjYsfNuRvSesEnhL5Y8AUxB" TargetMode="External"/><Relationship Id="rId24" Type="http://schemas.openxmlformats.org/officeDocument/2006/relationships/hyperlink" Target="https://drive.google.com/open?id=1Of8IfjoXFrVM70ZBDEUvwRHlg5E72xa1" TargetMode="External"/><Relationship Id="rId23" Type="http://schemas.openxmlformats.org/officeDocument/2006/relationships/hyperlink" Target="https://drive.google.com/open?id=1i6Js6HTzOz1dBT6YlTO43ssl5QQyGaox" TargetMode="External"/><Relationship Id="rId525" Type="http://schemas.openxmlformats.org/officeDocument/2006/relationships/hyperlink" Target="https://drive.google.com/open?id=1iaECfAjAefbWq1Dv1tvdCWSMhr8qJHxU" TargetMode="External"/><Relationship Id="rId767" Type="http://schemas.openxmlformats.org/officeDocument/2006/relationships/hyperlink" Target="https://drive.google.com/open?id=1DuOOW1Y9tdNOR0a_Q4_U-DDWq0KimGQV" TargetMode="External"/><Relationship Id="rId524" Type="http://schemas.openxmlformats.org/officeDocument/2006/relationships/hyperlink" Target="https://drive.google.com/open?id=19RviKyDM6Tz0S0xVYe1ySWZo_4c17Dii" TargetMode="External"/><Relationship Id="rId766" Type="http://schemas.openxmlformats.org/officeDocument/2006/relationships/hyperlink" Target="https://drive.google.com/open?id=1CW2XWi9qX2jDW5jl6drnSAuYdvpWpbNg" TargetMode="External"/><Relationship Id="rId523" Type="http://schemas.openxmlformats.org/officeDocument/2006/relationships/hyperlink" Target="https://drive.google.com/open?id=1qs2trN1VAPNqvSh1B1rVxavoNw50lf-X" TargetMode="External"/><Relationship Id="rId765" Type="http://schemas.openxmlformats.org/officeDocument/2006/relationships/hyperlink" Target="https://drive.google.com/open?id=1G8JcPkG7cg5lmL0vOrjqCGvGJpPmfszG" TargetMode="External"/><Relationship Id="rId522" Type="http://schemas.openxmlformats.org/officeDocument/2006/relationships/hyperlink" Target="https://drive.google.com/open?id=1L8wJJiK7N8o6vPIApceqweuB3uJVbKeO" TargetMode="External"/><Relationship Id="rId764" Type="http://schemas.openxmlformats.org/officeDocument/2006/relationships/hyperlink" Target="https://drive.google.com/open?id=1gz3ulzOU7lEC9K0lJ_R3a_tt9B91ddf_" TargetMode="External"/><Relationship Id="rId529" Type="http://schemas.openxmlformats.org/officeDocument/2006/relationships/hyperlink" Target="https://drive.google.com/open?id=1Ca3FGwL1_NW--x6fI633Yv-bqYxS8Lh0" TargetMode="External"/><Relationship Id="rId528" Type="http://schemas.openxmlformats.org/officeDocument/2006/relationships/hyperlink" Target="https://drive.google.com/open?id=1rUTXSrOaZedKFyV-g2qiiV6yI_zmdkD7" TargetMode="External"/><Relationship Id="rId527" Type="http://schemas.openxmlformats.org/officeDocument/2006/relationships/hyperlink" Target="https://drive.google.com/open?id=1NC3o1Q6-RVp2lgOT4016vTbJmzauoPpN" TargetMode="External"/><Relationship Id="rId769" Type="http://schemas.openxmlformats.org/officeDocument/2006/relationships/hyperlink" Target="https://drive.google.com/open?id=15BpDXQdKjWQGTPSr6HZ-pDYZCK5ZX4gd" TargetMode="External"/><Relationship Id="rId526" Type="http://schemas.openxmlformats.org/officeDocument/2006/relationships/hyperlink" Target="https://drive.google.com/open?id=1ZODh8s225bD8Fu1vbZOH3DTqGoUVVXgx" TargetMode="External"/><Relationship Id="rId768" Type="http://schemas.openxmlformats.org/officeDocument/2006/relationships/hyperlink" Target="https://drive.google.com/open?id=1x5OdPL5EwOD0aUqbWOWl4VsPWJPIOYG2" TargetMode="External"/><Relationship Id="rId26" Type="http://schemas.openxmlformats.org/officeDocument/2006/relationships/hyperlink" Target="https://drive.google.com/open?id=1nBYVPSS_EZ_kK1onbCI61Q7RQMTg6LX9" TargetMode="External"/><Relationship Id="rId25" Type="http://schemas.openxmlformats.org/officeDocument/2006/relationships/hyperlink" Target="https://drive.google.com/open?id=1LoZVfF9dHGeVkKQmCTflnDhuTjl5CEN5" TargetMode="External"/><Relationship Id="rId28" Type="http://schemas.openxmlformats.org/officeDocument/2006/relationships/hyperlink" Target="https://drive.google.com/open?id=1JwETgHIgrbviJsKU4fpV6PPdXVUhntkB" TargetMode="External"/><Relationship Id="rId27" Type="http://schemas.openxmlformats.org/officeDocument/2006/relationships/hyperlink" Target="https://drive.google.com/open?id=1wzZOrA-mBM0UxSMEHlvfAg9T3JF0Oljz" TargetMode="External"/><Relationship Id="rId521" Type="http://schemas.openxmlformats.org/officeDocument/2006/relationships/hyperlink" Target="https://drive.google.com/open?id=12jRNYL_aq21ui6LA0kBqpa2En7Pw6WQE" TargetMode="External"/><Relationship Id="rId763" Type="http://schemas.openxmlformats.org/officeDocument/2006/relationships/hyperlink" Target="https://drive.google.com/open?id=1ITc5apupir30QNBJM82cHLQGhPdOhmF3" TargetMode="External"/><Relationship Id="rId29" Type="http://schemas.openxmlformats.org/officeDocument/2006/relationships/hyperlink" Target="https://drive.google.com/open?id=1VRgIn_qhfCIRRLuzHXs8QRHeLdWuDpE3" TargetMode="External"/><Relationship Id="rId520" Type="http://schemas.openxmlformats.org/officeDocument/2006/relationships/hyperlink" Target="https://drive.google.com/open?id=1QKWT5a0wqbFz8YKicGXrB3OEXx45ZSs2" TargetMode="External"/><Relationship Id="rId762" Type="http://schemas.openxmlformats.org/officeDocument/2006/relationships/hyperlink" Target="https://drive.google.com/open?id=1eGYAC-LTWLlX9Oh4N2p5D7a4B5RNvfwL" TargetMode="External"/><Relationship Id="rId761" Type="http://schemas.openxmlformats.org/officeDocument/2006/relationships/hyperlink" Target="https://drive.google.com/open?id=1w6_mTMaE-A3Cv53SF92TK-5BSIqZViuD" TargetMode="External"/><Relationship Id="rId760" Type="http://schemas.openxmlformats.org/officeDocument/2006/relationships/hyperlink" Target="https://drive.google.com/open?id=1Qxwt48E-W5P30Yu1ZS-3vsPWIQo4YYvX" TargetMode="External"/><Relationship Id="rId11" Type="http://schemas.openxmlformats.org/officeDocument/2006/relationships/hyperlink" Target="https://drive.google.com/open?id=1teHMq-ZjIEcnMHPp1gbJnewcLrkWdQYk" TargetMode="External"/><Relationship Id="rId10" Type="http://schemas.openxmlformats.org/officeDocument/2006/relationships/hyperlink" Target="https://drive.google.com/open?id=1YY-7WBGgeypG5iIYh61c9PfMdkHWn34S" TargetMode="External"/><Relationship Id="rId13" Type="http://schemas.openxmlformats.org/officeDocument/2006/relationships/hyperlink" Target="https://drive.google.com/open?id=1WHwSqwLNdIo25Wgx8QmwgQ86TWF-TgUq" TargetMode="External"/><Relationship Id="rId12" Type="http://schemas.openxmlformats.org/officeDocument/2006/relationships/hyperlink" Target="https://drive.google.com/open?id=1i1hIGkflyeEf3q19iIsvB6uHJIUkuphD" TargetMode="External"/><Relationship Id="rId519" Type="http://schemas.openxmlformats.org/officeDocument/2006/relationships/hyperlink" Target="https://drive.google.com/open?id=1DJD7E9eYgD0u1mJTZXbCIkBXoisG_m12" TargetMode="External"/><Relationship Id="rId514" Type="http://schemas.openxmlformats.org/officeDocument/2006/relationships/hyperlink" Target="https://drive.google.com/open?id=1cKFPMeK9y-WxlqOYs7gj6VjutnCKyA5a" TargetMode="External"/><Relationship Id="rId756" Type="http://schemas.openxmlformats.org/officeDocument/2006/relationships/hyperlink" Target="https://drive.google.com/open?id=1YjwwZ33Setj-7dESgh3aztBanRvWnRZQ" TargetMode="External"/><Relationship Id="rId513" Type="http://schemas.openxmlformats.org/officeDocument/2006/relationships/hyperlink" Target="https://drive.google.com/open?id=1neEE81L9CKASg1CvGZ9f2gxZSrz4GMH1" TargetMode="External"/><Relationship Id="rId755" Type="http://schemas.openxmlformats.org/officeDocument/2006/relationships/hyperlink" Target="https://drive.google.com/open?id=1RpPv_A_0zpnEQKJpCPqPweMSLrwPOgty" TargetMode="External"/><Relationship Id="rId512" Type="http://schemas.openxmlformats.org/officeDocument/2006/relationships/hyperlink" Target="https://drive.google.com/open?id=1P0UFlLSJVkpbMDAE2Y6UE6pGamln0jXO" TargetMode="External"/><Relationship Id="rId754" Type="http://schemas.openxmlformats.org/officeDocument/2006/relationships/hyperlink" Target="https://drive.google.com/open?id=1QcaWkHZUGNLmBxn1ueO_R6jUgpRvPkp0" TargetMode="External"/><Relationship Id="rId511" Type="http://schemas.openxmlformats.org/officeDocument/2006/relationships/hyperlink" Target="https://drive.google.com/open?id=1nO6Q_EiEdps-6qX_iEOWwL3kpAoWiJ7f" TargetMode="External"/><Relationship Id="rId753" Type="http://schemas.openxmlformats.org/officeDocument/2006/relationships/hyperlink" Target="https://drive.google.com/open?id=1W-E0e2j-xwwgGyNXyOO-dbItRJHkvCc-" TargetMode="External"/><Relationship Id="rId518" Type="http://schemas.openxmlformats.org/officeDocument/2006/relationships/hyperlink" Target="https://drive.google.com/open?id=1U_NwGElkU5andURlR3EwsBcqGi74vBDo" TargetMode="External"/><Relationship Id="rId517" Type="http://schemas.openxmlformats.org/officeDocument/2006/relationships/hyperlink" Target="https://drive.google.com/open?id=1MMqwkkRQsM902d4-BOE03tFDubKkeFOA" TargetMode="External"/><Relationship Id="rId759" Type="http://schemas.openxmlformats.org/officeDocument/2006/relationships/hyperlink" Target="https://drive.google.com/open?id=1lNyavkOUuBGC1Lr-Nnlsv0WqGxwSwuTc" TargetMode="External"/><Relationship Id="rId516" Type="http://schemas.openxmlformats.org/officeDocument/2006/relationships/hyperlink" Target="https://drive.google.com/open?id=185bDhkiBCJ0cqXK8i9B0ThXdS198h6tn" TargetMode="External"/><Relationship Id="rId758" Type="http://schemas.openxmlformats.org/officeDocument/2006/relationships/hyperlink" Target="https://drive.google.com/open?id=1ByUYPD0fDEHQowoy-vMYy6Y7ba6gMq4_" TargetMode="External"/><Relationship Id="rId515" Type="http://schemas.openxmlformats.org/officeDocument/2006/relationships/hyperlink" Target="https://drive.google.com/open?id=16CoPj-429chxqNGyJKRl0YfqvbbFauZo" TargetMode="External"/><Relationship Id="rId757" Type="http://schemas.openxmlformats.org/officeDocument/2006/relationships/hyperlink" Target="https://drive.google.com/open?id=1uLfofodQb3oPN5FyhMd8pNACmLxFHxqu" TargetMode="External"/><Relationship Id="rId15" Type="http://schemas.openxmlformats.org/officeDocument/2006/relationships/hyperlink" Target="https://drive.google.com/open?id=16aqy14pbwZRgLTAQxJ7aRoecDXLlMBmP" TargetMode="External"/><Relationship Id="rId14" Type="http://schemas.openxmlformats.org/officeDocument/2006/relationships/hyperlink" Target="https://drive.google.com/open?id=1GrtAhpoPffhoQd1VBFiu_TlQpqyHWtiv" TargetMode="External"/><Relationship Id="rId17" Type="http://schemas.openxmlformats.org/officeDocument/2006/relationships/hyperlink" Target="https://drive.google.com/open?id=1QKQZqWD7vi6HNQwEKeu33yT-InBvns4U" TargetMode="External"/><Relationship Id="rId16" Type="http://schemas.openxmlformats.org/officeDocument/2006/relationships/hyperlink" Target="https://drive.google.com/open?id=1dIgMN8z03RRN3o_0cVqH4VOasDhxP9Gq" TargetMode="External"/><Relationship Id="rId19" Type="http://schemas.openxmlformats.org/officeDocument/2006/relationships/hyperlink" Target="https://drive.google.com/open?id=1_w59FI7Mx2cNFtJvsSNrTN6ssf5lH4Ow" TargetMode="External"/><Relationship Id="rId510" Type="http://schemas.openxmlformats.org/officeDocument/2006/relationships/hyperlink" Target="https://drive.google.com/open?id=1ZFL3Gi3z_wV4NbfWLNZlHZscN1TokWhT" TargetMode="External"/><Relationship Id="rId752" Type="http://schemas.openxmlformats.org/officeDocument/2006/relationships/hyperlink" Target="https://drive.google.com/open?id=1NrmvTF2QfLze3086W3MTAKl2LLjRX08v" TargetMode="External"/><Relationship Id="rId18" Type="http://schemas.openxmlformats.org/officeDocument/2006/relationships/hyperlink" Target="https://drive.google.com/open?id=1z68jt9o9SglVe7gPVVyLTCRqZyuZ1h9R" TargetMode="External"/><Relationship Id="rId751" Type="http://schemas.openxmlformats.org/officeDocument/2006/relationships/hyperlink" Target="https://drive.google.com/open?id=1j5wbzZTYCpfFUhciwDZCG7f4c-jOQXXz" TargetMode="External"/><Relationship Id="rId750" Type="http://schemas.openxmlformats.org/officeDocument/2006/relationships/hyperlink" Target="https://drive.google.com/open?id=14CmOjECvh9qufvQGpkaOy_IiMCeA6Li1" TargetMode="External"/><Relationship Id="rId84" Type="http://schemas.openxmlformats.org/officeDocument/2006/relationships/hyperlink" Target="https://drive.google.com/open?id=14S9ES0Sw83jTS5TRyOrYJWt_ppusSg_H" TargetMode="External"/><Relationship Id="rId83" Type="http://schemas.openxmlformats.org/officeDocument/2006/relationships/hyperlink" Target="https://drive.google.com/open?id=1CXCZxCe0HUI_bE1WUQk4rkaxJluYjKbS" TargetMode="External"/><Relationship Id="rId86" Type="http://schemas.openxmlformats.org/officeDocument/2006/relationships/hyperlink" Target="https://drive.google.com/open?id=1iVOIhTz7XU6VFWG9tjybbM1EDGGuagxY" TargetMode="External"/><Relationship Id="rId85" Type="http://schemas.openxmlformats.org/officeDocument/2006/relationships/hyperlink" Target="https://drive.google.com/open?id=1Jbboxv_BF6zw4CdCtbQ2m0hLUU2yAiVT" TargetMode="External"/><Relationship Id="rId88" Type="http://schemas.openxmlformats.org/officeDocument/2006/relationships/hyperlink" Target="https://drive.google.com/open?id=1AAeo6zhgvsPiBlGkqfUK7v_eY7lWagqc" TargetMode="External"/><Relationship Id="rId87" Type="http://schemas.openxmlformats.org/officeDocument/2006/relationships/hyperlink" Target="https://drive.google.com/open?id=1l1jbD0mHScVugkTwd4Y25Kh_nEEI3MX9" TargetMode="External"/><Relationship Id="rId89" Type="http://schemas.openxmlformats.org/officeDocument/2006/relationships/hyperlink" Target="https://drive.google.com/open?id=1r-OruzCDAMIkHnSauFWEUHej21HxS1V-" TargetMode="External"/><Relationship Id="rId709" Type="http://schemas.openxmlformats.org/officeDocument/2006/relationships/hyperlink" Target="https://drive.google.com/open?id=1IDZSPkBx_IIro0njyYU4-tF-qsXzjBWb" TargetMode="External"/><Relationship Id="rId708" Type="http://schemas.openxmlformats.org/officeDocument/2006/relationships/hyperlink" Target="https://drive.google.com/open?id=1PCt5ErtuJCQRPLKg90iIzlAzlS-ofCw8" TargetMode="External"/><Relationship Id="rId707" Type="http://schemas.openxmlformats.org/officeDocument/2006/relationships/hyperlink" Target="https://drive.google.com/open?id=1F-iNqufq8UGp4H9pW7VbjF7zxM7E4RJJ" TargetMode="External"/><Relationship Id="rId706" Type="http://schemas.openxmlformats.org/officeDocument/2006/relationships/hyperlink" Target="https://drive.google.com/open?id=1k-ehv01sfq2aATVfm9jNqAr6tjvhcqfs" TargetMode="External"/><Relationship Id="rId80" Type="http://schemas.openxmlformats.org/officeDocument/2006/relationships/hyperlink" Target="https://drive.google.com/open?id=1FJ4tKlAHT9tbn4x8SUage_mvIgdoWIYl" TargetMode="External"/><Relationship Id="rId82" Type="http://schemas.openxmlformats.org/officeDocument/2006/relationships/hyperlink" Target="https://drive.google.com/open?id=1wYR_WSzutMMEHHmwAEhg2gZ2YkExeiO7" TargetMode="External"/><Relationship Id="rId81" Type="http://schemas.openxmlformats.org/officeDocument/2006/relationships/hyperlink" Target="https://drive.google.com/open?id=1rEsMxNPTIJBg-tNHtGdE32YF4zFOeX9L" TargetMode="External"/><Relationship Id="rId701" Type="http://schemas.openxmlformats.org/officeDocument/2006/relationships/hyperlink" Target="https://drive.google.com/open?id=1e2roHVnz0t-rZ9okAh1ftdGw1TFlFAY6" TargetMode="External"/><Relationship Id="rId700" Type="http://schemas.openxmlformats.org/officeDocument/2006/relationships/hyperlink" Target="https://drive.google.com/open?id=1g5lANzP7Vr-Rtwzz6FttfMsteB4UBGRg" TargetMode="External"/><Relationship Id="rId705" Type="http://schemas.openxmlformats.org/officeDocument/2006/relationships/hyperlink" Target="https://drive.google.com/open?id=1jCcIXzBFhHaRtoWji_tgWTIqV7b_f6bU" TargetMode="External"/><Relationship Id="rId704" Type="http://schemas.openxmlformats.org/officeDocument/2006/relationships/hyperlink" Target="https://drive.google.com/open?id=1VitsENYn4hOZFwQsaPtFygDccXk-gFGB" TargetMode="External"/><Relationship Id="rId703" Type="http://schemas.openxmlformats.org/officeDocument/2006/relationships/hyperlink" Target="https://drive.google.com/open?id=1nXmNz-eKrfFTajybbumrp0JWdcAfYf4h" TargetMode="External"/><Relationship Id="rId702" Type="http://schemas.openxmlformats.org/officeDocument/2006/relationships/hyperlink" Target="https://drive.google.com/open?id=1o5EnA7AEFRRro0lbUGfYlIJ3K_8-5svY" TargetMode="External"/><Relationship Id="rId73" Type="http://schemas.openxmlformats.org/officeDocument/2006/relationships/hyperlink" Target="https://drive.google.com/open?id=1TRxZokMeH8k9VXxHO76PBH4KTAotKxra" TargetMode="External"/><Relationship Id="rId72" Type="http://schemas.openxmlformats.org/officeDocument/2006/relationships/hyperlink" Target="https://drive.google.com/open?id=1H2lnUP9OFDtIJ3ZFlbmVkr-zmpVa6Rq_" TargetMode="External"/><Relationship Id="rId75" Type="http://schemas.openxmlformats.org/officeDocument/2006/relationships/hyperlink" Target="https://drive.google.com/open?id=1Sz08ixNU6hQDYIYabzkjzR7rbdsrfCh7" TargetMode="External"/><Relationship Id="rId74" Type="http://schemas.openxmlformats.org/officeDocument/2006/relationships/hyperlink" Target="https://drive.google.com/open?id=1aJrIO2nnEMuDLeNByS5xG_zJx9ttmg6l" TargetMode="External"/><Relationship Id="rId77" Type="http://schemas.openxmlformats.org/officeDocument/2006/relationships/hyperlink" Target="https://drive.google.com/open?id=1fPiJjAyHF-ulUkz52gJZIRRNwnAOKWDR" TargetMode="External"/><Relationship Id="rId76" Type="http://schemas.openxmlformats.org/officeDocument/2006/relationships/hyperlink" Target="https://drive.google.com/open?id=1vfNIT2waohrsTnDiJkCB13OnNFlkq6d7" TargetMode="External"/><Relationship Id="rId79" Type="http://schemas.openxmlformats.org/officeDocument/2006/relationships/hyperlink" Target="https://drive.google.com/open?id=1LPIIOGnS0_d0gNT6_iTq3P9oB0g4Yggs" TargetMode="External"/><Relationship Id="rId78" Type="http://schemas.openxmlformats.org/officeDocument/2006/relationships/hyperlink" Target="https://drive.google.com/open?id=1riaGgDAS2AI_uJY4gXZszU3EzwJcB1o-" TargetMode="External"/><Relationship Id="rId71" Type="http://schemas.openxmlformats.org/officeDocument/2006/relationships/hyperlink" Target="https://drive.google.com/open?id=1s9WW_YgLnz0smvpITF08_HLbY4WntF9N" TargetMode="External"/><Relationship Id="rId70" Type="http://schemas.openxmlformats.org/officeDocument/2006/relationships/hyperlink" Target="https://drive.google.com/open?id=1BtVpzp3y8130h3Dvoh8cy3vhhG3RvE1C" TargetMode="External"/><Relationship Id="rId62" Type="http://schemas.openxmlformats.org/officeDocument/2006/relationships/hyperlink" Target="https://drive.google.com/open?id=1ww9KaVgogOE96LvRXY4ekJkIc0eydtlM" TargetMode="External"/><Relationship Id="rId61" Type="http://schemas.openxmlformats.org/officeDocument/2006/relationships/hyperlink" Target="https://drive.google.com/open?id=1n63E6Xxmi5ZOPPLf47JyuOKAdjmmQP6x" TargetMode="External"/><Relationship Id="rId64" Type="http://schemas.openxmlformats.org/officeDocument/2006/relationships/hyperlink" Target="https://drive.google.com/open?id=1cOLuKiQZXa-4IoKC8AxcC4TToTflGbzU" TargetMode="External"/><Relationship Id="rId63" Type="http://schemas.openxmlformats.org/officeDocument/2006/relationships/hyperlink" Target="https://drive.google.com/open?id=1LOvy19JXLGwcDdgKYeCJ4DmzTocC7aOV" TargetMode="External"/><Relationship Id="rId66" Type="http://schemas.openxmlformats.org/officeDocument/2006/relationships/hyperlink" Target="https://drive.google.com/open?id=12qxO02ZPiitsK4PWLGQokDS4JVcByFRT" TargetMode="External"/><Relationship Id="rId65" Type="http://schemas.openxmlformats.org/officeDocument/2006/relationships/hyperlink" Target="https://drive.google.com/open?id=1rKQeCb9kD2hT8snM4ztkHmsMCYDb_sak" TargetMode="External"/><Relationship Id="rId68" Type="http://schemas.openxmlformats.org/officeDocument/2006/relationships/hyperlink" Target="https://drive.google.com/open?id=1_AkvsLkdXQOPtPK8rh09TfsfcNClLowa" TargetMode="External"/><Relationship Id="rId67" Type="http://schemas.openxmlformats.org/officeDocument/2006/relationships/hyperlink" Target="https://drive.google.com/open?id=15BgtfJOMTxuiRwnYyDyIhhaJFSvWcPHZ" TargetMode="External"/><Relationship Id="rId729" Type="http://schemas.openxmlformats.org/officeDocument/2006/relationships/hyperlink" Target="https://drive.google.com/open?id=1oSdpfWyK4BgLARMvn9TZD45mONo7CKh5" TargetMode="External"/><Relationship Id="rId728" Type="http://schemas.openxmlformats.org/officeDocument/2006/relationships/hyperlink" Target="https://drive.google.com/open?id=1WE9hse60cILk-10QEKvXJPSilKG_4egt" TargetMode="External"/><Relationship Id="rId60" Type="http://schemas.openxmlformats.org/officeDocument/2006/relationships/hyperlink" Target="https://drive.google.com/open?id=1rPF3ZicZOc3FZ_ack0nIn6tvg3YgFsmz" TargetMode="External"/><Relationship Id="rId723" Type="http://schemas.openxmlformats.org/officeDocument/2006/relationships/hyperlink" Target="https://drive.google.com/open?id=10OLrAYynQrMGj9M584OD8c5qFpDVNG1K" TargetMode="External"/><Relationship Id="rId722" Type="http://schemas.openxmlformats.org/officeDocument/2006/relationships/hyperlink" Target="https://drive.google.com/open?id=1OyPTmwCt2kKIlKEZADbqS26WZMxEyw4C" TargetMode="External"/><Relationship Id="rId721" Type="http://schemas.openxmlformats.org/officeDocument/2006/relationships/hyperlink" Target="https://drive.google.com/open?id=1YFQUE_lltibu0o77yalcme-rAwZeqAf8" TargetMode="External"/><Relationship Id="rId720" Type="http://schemas.openxmlformats.org/officeDocument/2006/relationships/hyperlink" Target="https://drive.google.com/open?id=1zQm6y7zpjeYm063MiGUVioYw_lTp7GiW" TargetMode="External"/><Relationship Id="rId727" Type="http://schemas.openxmlformats.org/officeDocument/2006/relationships/hyperlink" Target="https://drive.google.com/open?id=1UPcKqRp1P6zlO21GSuYwCse9RkGZtFJd" TargetMode="External"/><Relationship Id="rId726" Type="http://schemas.openxmlformats.org/officeDocument/2006/relationships/hyperlink" Target="https://drive.google.com/open?id=18c67s4Et6ebUByEfpbJAEDAv_qQngLUN" TargetMode="External"/><Relationship Id="rId725" Type="http://schemas.openxmlformats.org/officeDocument/2006/relationships/hyperlink" Target="https://drive.google.com/open?id=1q_dkuGxG2V4tuYVxrD51yo3yl0E3L17t" TargetMode="External"/><Relationship Id="rId724" Type="http://schemas.openxmlformats.org/officeDocument/2006/relationships/hyperlink" Target="https://drive.google.com/open?id=1nodnw6JwD5ZjHdothjmJtaChF4lxJYFm" TargetMode="External"/><Relationship Id="rId69" Type="http://schemas.openxmlformats.org/officeDocument/2006/relationships/hyperlink" Target="https://drive.google.com/open?id=1XJRKQ8o6i4bt9jqh1CRB9OVV2RcV-V2k" TargetMode="External"/><Relationship Id="rId51" Type="http://schemas.openxmlformats.org/officeDocument/2006/relationships/hyperlink" Target="https://drive.google.com/open?id=1rvrH4pxf1yXsCVa-PA8nnrpQErl-oQGg" TargetMode="External"/><Relationship Id="rId50" Type="http://schemas.openxmlformats.org/officeDocument/2006/relationships/hyperlink" Target="https://drive.google.com/open?id=1AKRJRdE6NIKsvODrbauLhJBlnNfk3Nai" TargetMode="External"/><Relationship Id="rId53" Type="http://schemas.openxmlformats.org/officeDocument/2006/relationships/hyperlink" Target="https://drive.google.com/open?id=1gb1FXZQ5f3c40oJ7aDsHzuFvupKvxRSC" TargetMode="External"/><Relationship Id="rId52" Type="http://schemas.openxmlformats.org/officeDocument/2006/relationships/hyperlink" Target="https://drive.google.com/open?id=1fPrszEjE1AjUHQBZFFcCfHufQ0qhDb_h" TargetMode="External"/><Relationship Id="rId55" Type="http://schemas.openxmlformats.org/officeDocument/2006/relationships/hyperlink" Target="https://drive.google.com/open?id=1WB-yiTQWgNPjkHxF69fU2PdsmTaxCn9E" TargetMode="External"/><Relationship Id="rId54" Type="http://schemas.openxmlformats.org/officeDocument/2006/relationships/hyperlink" Target="https://drive.google.com/open?id=1Sl9vbsLxryQ96eKskqejMpIaVrukDLDs" TargetMode="External"/><Relationship Id="rId57" Type="http://schemas.openxmlformats.org/officeDocument/2006/relationships/hyperlink" Target="https://drive.google.com/open?id=1_f2od5_ezBUU4jg3R-Lwd7OHHhuKQ4nc" TargetMode="External"/><Relationship Id="rId56" Type="http://schemas.openxmlformats.org/officeDocument/2006/relationships/hyperlink" Target="https://drive.google.com/open?id=1xZLXHf9bIHRXSULhTDzkKrZOMAt---Ef" TargetMode="External"/><Relationship Id="rId719" Type="http://schemas.openxmlformats.org/officeDocument/2006/relationships/hyperlink" Target="https://drive.google.com/open?id=17Zw8YArcMiNYbFevfXNnrOz5Kg1NSzpN" TargetMode="External"/><Relationship Id="rId718" Type="http://schemas.openxmlformats.org/officeDocument/2006/relationships/hyperlink" Target="https://drive.google.com/open?id=14NZ91MkKchpk7rq91yPAERvBRsxCBExE" TargetMode="External"/><Relationship Id="rId717" Type="http://schemas.openxmlformats.org/officeDocument/2006/relationships/hyperlink" Target="https://drive.google.com/open?id=1_Gbf0SkTIcHOnNIw2TlavubZvN-tUuEu" TargetMode="External"/><Relationship Id="rId712" Type="http://schemas.openxmlformats.org/officeDocument/2006/relationships/hyperlink" Target="https://drive.google.com/open?id=1YEzDDIBkCi0D7LfdkCaPc4306qOfrnqT" TargetMode="External"/><Relationship Id="rId711" Type="http://schemas.openxmlformats.org/officeDocument/2006/relationships/hyperlink" Target="https://drive.google.com/open?id=10u4HQrJqstHzI0bSzdnvwmT--HR5m-Au" TargetMode="External"/><Relationship Id="rId710" Type="http://schemas.openxmlformats.org/officeDocument/2006/relationships/hyperlink" Target="https://drive.google.com/open?id=1fYFYWX3Iwe73RpvTYMiBp2H0heFzoMvW" TargetMode="External"/><Relationship Id="rId716" Type="http://schemas.openxmlformats.org/officeDocument/2006/relationships/hyperlink" Target="https://drive.google.com/open?id=1H5gSAsVMO5HGQfdgit8M3Gmrr983SXYK" TargetMode="External"/><Relationship Id="rId715" Type="http://schemas.openxmlformats.org/officeDocument/2006/relationships/hyperlink" Target="https://drive.google.com/open?id=1iJGE8FFl0RC5i05z05QeOeu633ujRtbb" TargetMode="External"/><Relationship Id="rId714" Type="http://schemas.openxmlformats.org/officeDocument/2006/relationships/hyperlink" Target="https://drive.google.com/open?id=1X9Ftr5F8j-ljHJd4F6w-6bqJnlXzciYW" TargetMode="External"/><Relationship Id="rId713" Type="http://schemas.openxmlformats.org/officeDocument/2006/relationships/hyperlink" Target="https://drive.google.com/open?id=15-hDgzBEXpf8GrfyEZBr3SkBqlWY-2GN" TargetMode="External"/><Relationship Id="rId59" Type="http://schemas.openxmlformats.org/officeDocument/2006/relationships/hyperlink" Target="https://drive.google.com/open?id=1bRsTGQA9KO_khnCX6214YlqvbBymx_LM" TargetMode="External"/><Relationship Id="rId58" Type="http://schemas.openxmlformats.org/officeDocument/2006/relationships/hyperlink" Target="https://drive.google.com/open?id=1waZRKDLmAD32RKF4NY7OI8kCjq64DvbG" TargetMode="External"/><Relationship Id="rId590" Type="http://schemas.openxmlformats.org/officeDocument/2006/relationships/hyperlink" Target="https://drive.google.com/open?id=1TX_4PKffPgF3r4ZhAgBYIEIfhIp41PC1" TargetMode="External"/><Relationship Id="rId107" Type="http://schemas.openxmlformats.org/officeDocument/2006/relationships/hyperlink" Target="https://drive.google.com/open?id=1QU2_ly1Qm_FVdaeEe5oQaGmcRX5aPM00" TargetMode="External"/><Relationship Id="rId349" Type="http://schemas.openxmlformats.org/officeDocument/2006/relationships/hyperlink" Target="https://drive.google.com/open?id=1Mga-ZD3zG0GizA_sYbTE0vTu7S7RW9_e" TargetMode="External"/><Relationship Id="rId106" Type="http://schemas.openxmlformats.org/officeDocument/2006/relationships/hyperlink" Target="https://drive.google.com/open?id=1qlvH6LiJGLJ5-MbTmod3cG7IeqNHlF-M" TargetMode="External"/><Relationship Id="rId348" Type="http://schemas.openxmlformats.org/officeDocument/2006/relationships/hyperlink" Target="https://drive.google.com/open?id=1VGak71UlODq2qdnQUwIJ7zcKIqfQ52Lu" TargetMode="External"/><Relationship Id="rId105" Type="http://schemas.openxmlformats.org/officeDocument/2006/relationships/hyperlink" Target="https://drive.google.com/open?id=1qAkTQ4_0bybEYsplQCrOpeuwBo9barHs" TargetMode="External"/><Relationship Id="rId347" Type="http://schemas.openxmlformats.org/officeDocument/2006/relationships/hyperlink" Target="https://drive.google.com/open?id=1K1zWwNz-Les_lw4onGSmntD-lBJCuclG" TargetMode="External"/><Relationship Id="rId589" Type="http://schemas.openxmlformats.org/officeDocument/2006/relationships/hyperlink" Target="https://drive.google.com/open?id=1gwwoRfK4nChm7NdYi8xJ65bRtc6HDI-A" TargetMode="External"/><Relationship Id="rId104" Type="http://schemas.openxmlformats.org/officeDocument/2006/relationships/hyperlink" Target="https://drive.google.com/open?id=1jRwseAW817Xq2Y3zbZuVFv51_Y9DF8-j" TargetMode="External"/><Relationship Id="rId346" Type="http://schemas.openxmlformats.org/officeDocument/2006/relationships/hyperlink" Target="https://drive.google.com/open?id=1PboJt5Bar_RbW90SMh4JrnAAf-7C_Vik" TargetMode="External"/><Relationship Id="rId588" Type="http://schemas.openxmlformats.org/officeDocument/2006/relationships/hyperlink" Target="https://drive.google.com/open?id=1edO9ymCd0vgKAemNquHBSHudSQif8VgP" TargetMode="External"/><Relationship Id="rId109" Type="http://schemas.openxmlformats.org/officeDocument/2006/relationships/hyperlink" Target="https://drive.google.com/open?id=1ECtMI07nSsHD0O0hJzg0YvZO3O4W2aeL" TargetMode="External"/><Relationship Id="rId108" Type="http://schemas.openxmlformats.org/officeDocument/2006/relationships/hyperlink" Target="https://drive.google.com/open?id=1glSNoOdrNP-f1bjKpuilDyq6rulPmpoY" TargetMode="External"/><Relationship Id="rId341" Type="http://schemas.openxmlformats.org/officeDocument/2006/relationships/hyperlink" Target="https://drive.google.com/open?id=1hmdCywkzpxBlWhaCl8fAjit9j6hV9jXl" TargetMode="External"/><Relationship Id="rId583" Type="http://schemas.openxmlformats.org/officeDocument/2006/relationships/hyperlink" Target="https://drive.google.com/open?id=1pELnS637txI2kYAlfITpBvgdtXwi6dMU" TargetMode="External"/><Relationship Id="rId340" Type="http://schemas.openxmlformats.org/officeDocument/2006/relationships/hyperlink" Target="https://drive.google.com/open?id=1YSQDLoY9p8DzaFsB4_sE7Yrn9mNEYdbw" TargetMode="External"/><Relationship Id="rId582" Type="http://schemas.openxmlformats.org/officeDocument/2006/relationships/hyperlink" Target="https://drive.google.com/open?id=1QZxbuc5Mivi4-ZPyeV-pgYXP471WJnsW" TargetMode="External"/><Relationship Id="rId581" Type="http://schemas.openxmlformats.org/officeDocument/2006/relationships/hyperlink" Target="https://drive.google.com/open?id=12tOaR6fsyc1skaasCEoQ_ZSTcOB5yPqI" TargetMode="External"/><Relationship Id="rId580" Type="http://schemas.openxmlformats.org/officeDocument/2006/relationships/hyperlink" Target="https://drive.google.com/open?id=1SUb3XbeMW8-hvmyqVb58ZD7htyhg513X" TargetMode="External"/><Relationship Id="rId103" Type="http://schemas.openxmlformats.org/officeDocument/2006/relationships/hyperlink" Target="https://drive.google.com/open?id=1rkQB9ayFvi65OtWQltnodnIsxn-YmT57" TargetMode="External"/><Relationship Id="rId345" Type="http://schemas.openxmlformats.org/officeDocument/2006/relationships/hyperlink" Target="https://drive.google.com/open?id=15fdOXKrAPJnxpox9OmNxWRdiNcQRSJZG" TargetMode="External"/><Relationship Id="rId587" Type="http://schemas.openxmlformats.org/officeDocument/2006/relationships/hyperlink" Target="https://drive.google.com/open?id=1sTnokab-HzbvB-uI0gWdG3vTuOCQziBi" TargetMode="External"/><Relationship Id="rId102" Type="http://schemas.openxmlformats.org/officeDocument/2006/relationships/hyperlink" Target="https://drive.google.com/open?id=1pPx_4fd4i10Rw7VPqH533oFQ2SClOG1m" TargetMode="External"/><Relationship Id="rId344" Type="http://schemas.openxmlformats.org/officeDocument/2006/relationships/hyperlink" Target="https://drive.google.com/open?id=1IARHb0lkKnfuE0MWTyQ3qCVwDVATC5ef" TargetMode="External"/><Relationship Id="rId586" Type="http://schemas.openxmlformats.org/officeDocument/2006/relationships/hyperlink" Target="https://drive.google.com/open?id=1ox6NdhlTw4x81rA0VCW6LC6lUxMQMkTp" TargetMode="External"/><Relationship Id="rId101" Type="http://schemas.openxmlformats.org/officeDocument/2006/relationships/hyperlink" Target="https://drive.google.com/open?id=1K6L6z1hcz-eotwlPve61ZPJ9vEE4T1bf" TargetMode="External"/><Relationship Id="rId343" Type="http://schemas.openxmlformats.org/officeDocument/2006/relationships/hyperlink" Target="https://drive.google.com/open?id=10k3g62pVoCKHADmaq1awe-tvtCtVOdhq" TargetMode="External"/><Relationship Id="rId585" Type="http://schemas.openxmlformats.org/officeDocument/2006/relationships/hyperlink" Target="https://drive.google.com/open?id=1A2CBXxFsfEqRnM-kVIjQQRjca7NGTF01" TargetMode="External"/><Relationship Id="rId100" Type="http://schemas.openxmlformats.org/officeDocument/2006/relationships/hyperlink" Target="https://drive.google.com/open?id=1NscRl3vwfmlu-OtSUYq8WpxJvLqPgfBc" TargetMode="External"/><Relationship Id="rId342" Type="http://schemas.openxmlformats.org/officeDocument/2006/relationships/hyperlink" Target="https://drive.google.com/open?id=1yasxh7190dhzz-NB75IG-w6oMW1Ihs5s" TargetMode="External"/><Relationship Id="rId584" Type="http://schemas.openxmlformats.org/officeDocument/2006/relationships/hyperlink" Target="https://drive.google.com/open?id=1Zv39C3Vb93IoF9R0h7QvEKztzbJyCIfU" TargetMode="External"/><Relationship Id="rId338" Type="http://schemas.openxmlformats.org/officeDocument/2006/relationships/hyperlink" Target="https://drive.google.com/open?id=1aFGJhiKJJc8oUpn4JbDXU8_dhwTCP2RV" TargetMode="External"/><Relationship Id="rId337" Type="http://schemas.openxmlformats.org/officeDocument/2006/relationships/hyperlink" Target="https://drive.google.com/open?id=1NZJZoQFfKDEod08PtPPi1s0rWJCo-3sV" TargetMode="External"/><Relationship Id="rId579" Type="http://schemas.openxmlformats.org/officeDocument/2006/relationships/hyperlink" Target="https://drive.google.com/open?id=1zlfMHxp0cv1ha53yi03E1D3EaUaPqYUs" TargetMode="External"/><Relationship Id="rId336" Type="http://schemas.openxmlformats.org/officeDocument/2006/relationships/hyperlink" Target="https://drive.google.com/open?id=1f-DGG7-3jrkPjGFu7FV8b0z-9ManYT2x" TargetMode="External"/><Relationship Id="rId578" Type="http://schemas.openxmlformats.org/officeDocument/2006/relationships/hyperlink" Target="https://drive.google.com/open?id=1s4wNGKffyitKSoCv5-hGAmSMX40ab0rq" TargetMode="External"/><Relationship Id="rId335" Type="http://schemas.openxmlformats.org/officeDocument/2006/relationships/hyperlink" Target="https://drive.google.com/open?id=1J09CEZ3HK_SPMq45Lw917MqMOLhyNwBB" TargetMode="External"/><Relationship Id="rId577" Type="http://schemas.openxmlformats.org/officeDocument/2006/relationships/hyperlink" Target="https://drive.google.com/open?id=1OVzvtjCXfQ5sflRmhJe016XZHTuiVdFA" TargetMode="External"/><Relationship Id="rId339" Type="http://schemas.openxmlformats.org/officeDocument/2006/relationships/hyperlink" Target="https://drive.google.com/open?id=1-jID0F8vLWkPZIDA9gO6EIQJvoPZaK3g" TargetMode="External"/><Relationship Id="rId330" Type="http://schemas.openxmlformats.org/officeDocument/2006/relationships/hyperlink" Target="https://drive.google.com/open?id=1rX14oBNkTP3dLs5rObaaT0McshSRSOoo" TargetMode="External"/><Relationship Id="rId572" Type="http://schemas.openxmlformats.org/officeDocument/2006/relationships/hyperlink" Target="https://drive.google.com/open?id=1Tg1HUBn_uUb10ui6lz10xF4xDgWeZdur" TargetMode="External"/><Relationship Id="rId571" Type="http://schemas.openxmlformats.org/officeDocument/2006/relationships/hyperlink" Target="https://drive.google.com/open?id=1yjmLgfRIEVEKo-xXCNsxsAgroBVlB1h4" TargetMode="External"/><Relationship Id="rId570" Type="http://schemas.openxmlformats.org/officeDocument/2006/relationships/hyperlink" Target="https://drive.google.com/open?id=1Zx3GM8UenTWyHhIDzKPfa3R1Dc9KpvEW" TargetMode="External"/><Relationship Id="rId334" Type="http://schemas.openxmlformats.org/officeDocument/2006/relationships/hyperlink" Target="https://drive.google.com/open?id=1RUUCXqmhlnAE10lAmv4BTAkdHqRYFSw9" TargetMode="External"/><Relationship Id="rId576" Type="http://schemas.openxmlformats.org/officeDocument/2006/relationships/hyperlink" Target="https://drive.google.com/open?id=1Z3vKJB-oZl50FBTza9ybiJF76BSoGayI" TargetMode="External"/><Relationship Id="rId333" Type="http://schemas.openxmlformats.org/officeDocument/2006/relationships/hyperlink" Target="https://drive.google.com/open?id=1b9MvlEtr5Hrd-FZuj_qVxEHlx2_FO9Rc" TargetMode="External"/><Relationship Id="rId575" Type="http://schemas.openxmlformats.org/officeDocument/2006/relationships/hyperlink" Target="https://drive.google.com/open?id=1U1h3De3W_iE7go9YF-ltV7NwZHgF7DeA" TargetMode="External"/><Relationship Id="rId332" Type="http://schemas.openxmlformats.org/officeDocument/2006/relationships/hyperlink" Target="https://drive.google.com/open?id=1EBlUfgDk0W4IhSadWP8c-cp9SxuLiwnN" TargetMode="External"/><Relationship Id="rId574" Type="http://schemas.openxmlformats.org/officeDocument/2006/relationships/hyperlink" Target="https://drive.google.com/open?id=1B_JuN1XiZOe2tX3zhJwxMXKm4EUEkJ5H" TargetMode="External"/><Relationship Id="rId331" Type="http://schemas.openxmlformats.org/officeDocument/2006/relationships/hyperlink" Target="https://drive.google.com/open?id=1a1BwfjndKP3MdSnTaXWB5d0aEDaRkbV8" TargetMode="External"/><Relationship Id="rId573" Type="http://schemas.openxmlformats.org/officeDocument/2006/relationships/hyperlink" Target="https://drive.google.com/open?id=1B_JuN1XiZOe2tX3zhJwxMXKm4EUEkJ5H" TargetMode="External"/><Relationship Id="rId370" Type="http://schemas.openxmlformats.org/officeDocument/2006/relationships/hyperlink" Target="https://drive.google.com/open?id=1Pzr1KoT1RrgySckcbgEmwm7qUH11O24M" TargetMode="External"/><Relationship Id="rId129" Type="http://schemas.openxmlformats.org/officeDocument/2006/relationships/hyperlink" Target="https://drive.google.com/open?id=1s-S52-1C7FRk4WCkdrNR-wZeOFr2M85z" TargetMode="External"/><Relationship Id="rId128" Type="http://schemas.openxmlformats.org/officeDocument/2006/relationships/hyperlink" Target="https://drive.google.com/open?id=1qkq72lxBXkM4yCyC4-iUY_J4CqG5MbOT" TargetMode="External"/><Relationship Id="rId127" Type="http://schemas.openxmlformats.org/officeDocument/2006/relationships/hyperlink" Target="https://drive.google.com/open?id=13KeX3A93_8v70SH9Ucj3khwjC4n1Rsh8" TargetMode="External"/><Relationship Id="rId369" Type="http://schemas.openxmlformats.org/officeDocument/2006/relationships/hyperlink" Target="https://drive.google.com/open?id=1EXyzrCJ_lmKChPBwonHfJ-sBlA4Vga1N" TargetMode="External"/><Relationship Id="rId126" Type="http://schemas.openxmlformats.org/officeDocument/2006/relationships/hyperlink" Target="https://drive.google.com/open?id=1VecLgEEI8eLOBEWuCiw3uBaPjmere-L6" TargetMode="External"/><Relationship Id="rId368" Type="http://schemas.openxmlformats.org/officeDocument/2006/relationships/hyperlink" Target="https://drive.google.com/open?id=1GsP3Hs1k8YpfH-we1uLAQQf-we5oAJBg" TargetMode="External"/><Relationship Id="rId121" Type="http://schemas.openxmlformats.org/officeDocument/2006/relationships/hyperlink" Target="https://drive.google.com/open?id=1SEF03L3PVcpehqQgVducBNmxbWrO8O7C" TargetMode="External"/><Relationship Id="rId363" Type="http://schemas.openxmlformats.org/officeDocument/2006/relationships/hyperlink" Target="https://drive.google.com/open?id=1OBGWIGLidgGMeJ4zL2hBH0D98ATz7VBa" TargetMode="External"/><Relationship Id="rId120" Type="http://schemas.openxmlformats.org/officeDocument/2006/relationships/hyperlink" Target="https://drive.google.com/open?id=1wtObT9e-Nq7bKpqMYl1a0VqvCPs5rLwG" TargetMode="External"/><Relationship Id="rId362" Type="http://schemas.openxmlformats.org/officeDocument/2006/relationships/hyperlink" Target="https://drive.google.com/open?id=18izmmwurmwjqpRilYkFHjKBCaX8bzFX2" TargetMode="External"/><Relationship Id="rId361" Type="http://schemas.openxmlformats.org/officeDocument/2006/relationships/hyperlink" Target="https://drive.google.com/open?id=1WGmZZzzJCzL19GRh-C8etUU7hw7ongn0" TargetMode="External"/><Relationship Id="rId360" Type="http://schemas.openxmlformats.org/officeDocument/2006/relationships/hyperlink" Target="https://drive.google.com/open?id=1mXCLT8jiIX-z0d8T501KmNqGcPth2lYR" TargetMode="External"/><Relationship Id="rId125" Type="http://schemas.openxmlformats.org/officeDocument/2006/relationships/hyperlink" Target="https://drive.google.com/open?id=1SS9ERGWz7_Bp5GUQpRHLDjJCpkOSUsM-" TargetMode="External"/><Relationship Id="rId367" Type="http://schemas.openxmlformats.org/officeDocument/2006/relationships/hyperlink" Target="https://drive.google.com/open?id=1Vnlu0_4r1OAik72XmD1vBffdCmO2bzGQ" TargetMode="External"/><Relationship Id="rId124" Type="http://schemas.openxmlformats.org/officeDocument/2006/relationships/hyperlink" Target="https://drive.google.com/open?id=1D6HecYFwGmhXgXcmGMPMCha9gIKEFh2u" TargetMode="External"/><Relationship Id="rId366" Type="http://schemas.openxmlformats.org/officeDocument/2006/relationships/hyperlink" Target="https://drive.google.com/open?id=1N3zMk05ZVPVHSDtM-Cb78nGPWbTbBgIX" TargetMode="External"/><Relationship Id="rId123" Type="http://schemas.openxmlformats.org/officeDocument/2006/relationships/hyperlink" Target="https://drive.google.com/open?id=174NP1A32WCfIvU1aKXg6R8UlkyGVByvX" TargetMode="External"/><Relationship Id="rId365" Type="http://schemas.openxmlformats.org/officeDocument/2006/relationships/hyperlink" Target="https://drive.google.com/open?id=12WuTgQSFzdY9lzwOlHkyyNg5--wR4e1K" TargetMode="External"/><Relationship Id="rId122" Type="http://schemas.openxmlformats.org/officeDocument/2006/relationships/hyperlink" Target="https://drive.google.com/open?id=1lk0srWnB40JpSEt8z9_xRL1TZJud-EzC" TargetMode="External"/><Relationship Id="rId364" Type="http://schemas.openxmlformats.org/officeDocument/2006/relationships/hyperlink" Target="https://drive.google.com/open?id=1ChqXUiqDcAGqV2Ni4sHnknKalrwPVEjU" TargetMode="External"/><Relationship Id="rId95" Type="http://schemas.openxmlformats.org/officeDocument/2006/relationships/hyperlink" Target="https://drive.google.com/open?id=1DVSYRPvpUvluG7ANK4Pq10VFeiHAqDRP" TargetMode="External"/><Relationship Id="rId94" Type="http://schemas.openxmlformats.org/officeDocument/2006/relationships/hyperlink" Target="https://drive.google.com/open?id=171aDeTxPY2IndmTrUsQuVW8sy9dFf45E" TargetMode="External"/><Relationship Id="rId97" Type="http://schemas.openxmlformats.org/officeDocument/2006/relationships/hyperlink" Target="https://drive.google.com/open?id=1K28DOWZwX9QXJhsNPSyxal-dnjrzgXRu" TargetMode="External"/><Relationship Id="rId96" Type="http://schemas.openxmlformats.org/officeDocument/2006/relationships/hyperlink" Target="https://drive.google.com/open?id=13dzEppiyC_Q0U3NlrvoUdTqx9gCGcrak" TargetMode="External"/><Relationship Id="rId99" Type="http://schemas.openxmlformats.org/officeDocument/2006/relationships/hyperlink" Target="https://drive.google.com/open?id=1Vrh1ovagWgfJW5oPDyUn4L9-1UWOIuOq" TargetMode="External"/><Relationship Id="rId98" Type="http://schemas.openxmlformats.org/officeDocument/2006/relationships/hyperlink" Target="https://drive.google.com/open?id=1jGb8xmMarUcsngQ17j595vQeq5WlbZU4" TargetMode="External"/><Relationship Id="rId91" Type="http://schemas.openxmlformats.org/officeDocument/2006/relationships/hyperlink" Target="https://drive.google.com/open?id=1UimNYGC4AlObfDQDhkdstSmKE3OYvEWv" TargetMode="External"/><Relationship Id="rId90" Type="http://schemas.openxmlformats.org/officeDocument/2006/relationships/hyperlink" Target="https://drive.google.com/open?id=1Go-mkovNZFUswU9dhrgJkSGP_i1MNJuN" TargetMode="External"/><Relationship Id="rId93" Type="http://schemas.openxmlformats.org/officeDocument/2006/relationships/hyperlink" Target="https://drive.google.com/open?id=1Fqo_NP_9tHeIB0Z01egsFoZGeeN7MGTe" TargetMode="External"/><Relationship Id="rId92" Type="http://schemas.openxmlformats.org/officeDocument/2006/relationships/hyperlink" Target="https://drive.google.com/open?id=1T0MDgBLXc5uMCplwGdzpHNF4cH_RHzaN" TargetMode="External"/><Relationship Id="rId118" Type="http://schemas.openxmlformats.org/officeDocument/2006/relationships/hyperlink" Target="https://drive.google.com/open?id=1G7lxPooH_vfBWcA6WMdKe2Vo-DpAuaAF" TargetMode="External"/><Relationship Id="rId117" Type="http://schemas.openxmlformats.org/officeDocument/2006/relationships/hyperlink" Target="https://drive.google.com/open?id=1niTcJTHx-vQrEWMk-114HTVdM-IAE1Jc" TargetMode="External"/><Relationship Id="rId359" Type="http://schemas.openxmlformats.org/officeDocument/2006/relationships/hyperlink" Target="https://drive.google.com/open?id=1vM8vBbMOJQtjHRFT3Kc_VVPMKE479K1M" TargetMode="External"/><Relationship Id="rId116" Type="http://schemas.openxmlformats.org/officeDocument/2006/relationships/hyperlink" Target="https://drive.google.com/open?id=13nD03be5QnaT1YYdjk4YvhGPCf3g9dy6" TargetMode="External"/><Relationship Id="rId358" Type="http://schemas.openxmlformats.org/officeDocument/2006/relationships/hyperlink" Target="https://drive.google.com/open?id=1eBLEKnM9BWNCjb2ta5dyySRraZLbELZK" TargetMode="External"/><Relationship Id="rId115" Type="http://schemas.openxmlformats.org/officeDocument/2006/relationships/hyperlink" Target="https://drive.google.com/open?id=19w5epiuCrJ1NfGBNokaNJ84hEmBW4QYG" TargetMode="External"/><Relationship Id="rId357" Type="http://schemas.openxmlformats.org/officeDocument/2006/relationships/hyperlink" Target="https://drive.google.com/open?id=1vkE-i4ThDgPnBwFgrQUzGE5fnOm1RQ5B" TargetMode="External"/><Relationship Id="rId599" Type="http://schemas.openxmlformats.org/officeDocument/2006/relationships/hyperlink" Target="https://drive.google.com/open?id=1sUXVv73_a2FhMhSIOOscAyepW7jveMtF" TargetMode="External"/><Relationship Id="rId119" Type="http://schemas.openxmlformats.org/officeDocument/2006/relationships/hyperlink" Target="https://drive.google.com/open?id=1gGlEUNhGTVfWmOeHY28M_CJGjzOc7YTj" TargetMode="External"/><Relationship Id="rId110" Type="http://schemas.openxmlformats.org/officeDocument/2006/relationships/hyperlink" Target="https://drive.google.com/open?id=1Sg9QNKfXfQQeHiPRwg6qoAaQkzwW_5eG" TargetMode="External"/><Relationship Id="rId352" Type="http://schemas.openxmlformats.org/officeDocument/2006/relationships/hyperlink" Target="https://drive.google.com/open?id=13cKQOP3H_SwfTwRde2ZZDdhHzN3pyyC7" TargetMode="External"/><Relationship Id="rId594" Type="http://schemas.openxmlformats.org/officeDocument/2006/relationships/hyperlink" Target="https://drive.google.com/open?id=1atJhyRNrzjetWeT2v5BhS2MhW_L0vEaV" TargetMode="External"/><Relationship Id="rId351" Type="http://schemas.openxmlformats.org/officeDocument/2006/relationships/hyperlink" Target="https://drive.google.com/open?id=19hGonDz4wl1rKhHjyQtaGRPTdGPskYp1" TargetMode="External"/><Relationship Id="rId593" Type="http://schemas.openxmlformats.org/officeDocument/2006/relationships/hyperlink" Target="https://drive.google.com/open?id=1qOX5pl6c2q80SUR947PDn7Mr933273S2" TargetMode="External"/><Relationship Id="rId350" Type="http://schemas.openxmlformats.org/officeDocument/2006/relationships/hyperlink" Target="https://drive.google.com/open?id=1pmVnmAvcVl5Pn_Pk3GOSsn32BpcSv8RW" TargetMode="External"/><Relationship Id="rId592" Type="http://schemas.openxmlformats.org/officeDocument/2006/relationships/hyperlink" Target="https://drive.google.com/open?id=1SDNxM5s2E1Yj3-2f1o3a9XRkPGlPZ52s" TargetMode="External"/><Relationship Id="rId591" Type="http://schemas.openxmlformats.org/officeDocument/2006/relationships/hyperlink" Target="https://drive.google.com/open?id=1HdoYupTtd3U1mzWD0Q9N7I6u9aoFqz-a" TargetMode="External"/><Relationship Id="rId114" Type="http://schemas.openxmlformats.org/officeDocument/2006/relationships/hyperlink" Target="https://drive.google.com/open?id=1lqNG7SvuEQ7ClX3bpp6jeYZNuIVk_6bS" TargetMode="External"/><Relationship Id="rId356" Type="http://schemas.openxmlformats.org/officeDocument/2006/relationships/hyperlink" Target="https://drive.google.com/open?id=1IOiN8Y5EUHpuULr3AWQmFgFLmKWPeoFt" TargetMode="External"/><Relationship Id="rId598" Type="http://schemas.openxmlformats.org/officeDocument/2006/relationships/hyperlink" Target="https://drive.google.com/open?id=1t4fl2lzTqpi56m-zGnT8zXnvq8JI6mrN" TargetMode="External"/><Relationship Id="rId113" Type="http://schemas.openxmlformats.org/officeDocument/2006/relationships/hyperlink" Target="https://drive.google.com/open?id=1Lsj0tT8HfzRYyt90Kj8t9bva71UUQNAn" TargetMode="External"/><Relationship Id="rId355" Type="http://schemas.openxmlformats.org/officeDocument/2006/relationships/hyperlink" Target="https://drive.google.com/open?id=1qkTB1r29GA2rhNtiH2HD8q28uyp6NTpk" TargetMode="External"/><Relationship Id="rId597" Type="http://schemas.openxmlformats.org/officeDocument/2006/relationships/hyperlink" Target="https://drive.google.com/open?id=128-7_hogHN1334ZW4tIrxN_ot7X88Eax" TargetMode="External"/><Relationship Id="rId112" Type="http://schemas.openxmlformats.org/officeDocument/2006/relationships/hyperlink" Target="https://drive.google.com/open?id=16SHteqrD_Na2zI9khux2Ciim9wcfaxPt" TargetMode="External"/><Relationship Id="rId354" Type="http://schemas.openxmlformats.org/officeDocument/2006/relationships/hyperlink" Target="https://drive.google.com/open?id=1z0sRaCRBpYu7HnUwwluojKGcDkziIwpG" TargetMode="External"/><Relationship Id="rId596" Type="http://schemas.openxmlformats.org/officeDocument/2006/relationships/hyperlink" Target="https://drive.google.com/open?id=1i-JrbBCBmPPd8qhULzWfRB6LMKNwHz2-" TargetMode="External"/><Relationship Id="rId111" Type="http://schemas.openxmlformats.org/officeDocument/2006/relationships/hyperlink" Target="https://drive.google.com/open?id=1kxII1j1fn6g0uxxm95SqlkYuZ5xNQ_gy" TargetMode="External"/><Relationship Id="rId353" Type="http://schemas.openxmlformats.org/officeDocument/2006/relationships/hyperlink" Target="https://drive.google.com/open?id=19ZJdtvaJ96Cw8VXLux6LOBDJbxDXERsW" TargetMode="External"/><Relationship Id="rId595" Type="http://schemas.openxmlformats.org/officeDocument/2006/relationships/hyperlink" Target="https://drive.google.com/open?id=1OAZugdnmcePNq6xO2Ge723Yw2i1ff5GM" TargetMode="External"/><Relationship Id="rId305" Type="http://schemas.openxmlformats.org/officeDocument/2006/relationships/hyperlink" Target="https://drive.google.com/open?id=1b7myKdYJqB7B154N38Vu8E4RAY1zXDfh" TargetMode="External"/><Relationship Id="rId547" Type="http://schemas.openxmlformats.org/officeDocument/2006/relationships/hyperlink" Target="https://drive.google.com/open?id=1yxOWz-PHWFi-9qg31VzzsTV6_xu_Xvm9" TargetMode="External"/><Relationship Id="rId789" Type="http://schemas.openxmlformats.org/officeDocument/2006/relationships/hyperlink" Target="https://drive.google.com/open?id=1h1zW7wzzUFvIq3Eq6i76jGaecxLsoQi6" TargetMode="External"/><Relationship Id="rId304" Type="http://schemas.openxmlformats.org/officeDocument/2006/relationships/hyperlink" Target="https://drive.google.com/open?id=1DBh9oMotF_DOMV-XPMnZb9UxiFeXd7-K" TargetMode="External"/><Relationship Id="rId546" Type="http://schemas.openxmlformats.org/officeDocument/2006/relationships/hyperlink" Target="https://drive.google.com/open?id=1b6k282C73Pj0lveoDE4XS2Z2DJ30f8A2" TargetMode="External"/><Relationship Id="rId788" Type="http://schemas.openxmlformats.org/officeDocument/2006/relationships/hyperlink" Target="https://drive.google.com/open?id=17dMk8MGwYIxNWThFLwZe4ttfXPt1Gsds" TargetMode="External"/><Relationship Id="rId303" Type="http://schemas.openxmlformats.org/officeDocument/2006/relationships/hyperlink" Target="https://drive.google.com/open?id=1ICQZBqz_IB6sJOAYCJ58_NjKvzMBloqp" TargetMode="External"/><Relationship Id="rId545" Type="http://schemas.openxmlformats.org/officeDocument/2006/relationships/hyperlink" Target="https://drive.google.com/open?id=1RdqApuLVS6yyGCwe_W7OR6uirfbHo1Ug" TargetMode="External"/><Relationship Id="rId787" Type="http://schemas.openxmlformats.org/officeDocument/2006/relationships/hyperlink" Target="https://drive.google.com/open?id=1xY9lm1577xm0RaTZw2JwEH4vbklsR4Kh" TargetMode="External"/><Relationship Id="rId302" Type="http://schemas.openxmlformats.org/officeDocument/2006/relationships/hyperlink" Target="https://drive.google.com/open?id=12YOeI9-3zGMBQAsZH7r3jtz1KKumK8pK" TargetMode="External"/><Relationship Id="rId544" Type="http://schemas.openxmlformats.org/officeDocument/2006/relationships/hyperlink" Target="https://drive.google.com/open?id=18X-AL2ybkY4elC5YQ7ui_moJReCIGYTQ" TargetMode="External"/><Relationship Id="rId786" Type="http://schemas.openxmlformats.org/officeDocument/2006/relationships/hyperlink" Target="https://drive.google.com/open?id=1WnLktZFK2j3QySx0yCoSOWtvvX2CfTku" TargetMode="External"/><Relationship Id="rId309" Type="http://schemas.openxmlformats.org/officeDocument/2006/relationships/hyperlink" Target="https://drive.google.com/open?id=1-OgwIscBRwYnwhGPtPJZeJf3wmUF0A13" TargetMode="External"/><Relationship Id="rId308" Type="http://schemas.openxmlformats.org/officeDocument/2006/relationships/hyperlink" Target="https://drive.google.com/open?id=1qhL6qf1_uqC_dN2KDHLB_ip0eEL2aVLG" TargetMode="External"/><Relationship Id="rId307" Type="http://schemas.openxmlformats.org/officeDocument/2006/relationships/hyperlink" Target="https://drive.google.com/open?id=1uoaRQQpcdssfJ2z14gx96LaS4lsNPs6A" TargetMode="External"/><Relationship Id="rId549" Type="http://schemas.openxmlformats.org/officeDocument/2006/relationships/hyperlink" Target="https://drive.google.com/open?id=1aRZ9eBzxtHhk10NpnpRgvbz7BPrQVvOn" TargetMode="External"/><Relationship Id="rId306" Type="http://schemas.openxmlformats.org/officeDocument/2006/relationships/hyperlink" Target="https://drive.google.com/open?id=1p5suCkaR2ENnjqAJNbNkKjjAIP7VQ8gO" TargetMode="External"/><Relationship Id="rId548" Type="http://schemas.openxmlformats.org/officeDocument/2006/relationships/hyperlink" Target="https://drive.google.com/open?id=1EyQGyhx_d3WAxrWr0JjerUVIwHxm9VPZ" TargetMode="External"/><Relationship Id="rId781" Type="http://schemas.openxmlformats.org/officeDocument/2006/relationships/hyperlink" Target="https://drive.google.com/open?id=1S-DShv5Ezt4j6scqNtWOfn7wqgq02_9W" TargetMode="External"/><Relationship Id="rId780" Type="http://schemas.openxmlformats.org/officeDocument/2006/relationships/hyperlink" Target="https://drive.google.com/open?id=1C4RfvAgmOJHqOPRPvaz6WYNs_GUKZVDH" TargetMode="External"/><Relationship Id="rId301" Type="http://schemas.openxmlformats.org/officeDocument/2006/relationships/hyperlink" Target="https://drive.google.com/open?id=1Kw0CLL7pEdPC5XXkc6drWmQZXEZZm7fB" TargetMode="External"/><Relationship Id="rId543" Type="http://schemas.openxmlformats.org/officeDocument/2006/relationships/hyperlink" Target="https://drive.google.com/open?id=1ITk5YdyCozdv1iQxvrWA8QnvUFlscul6" TargetMode="External"/><Relationship Id="rId785" Type="http://schemas.openxmlformats.org/officeDocument/2006/relationships/hyperlink" Target="https://drive.google.com/open?id=1Ln_4Kqz3I5vm4Ewqq50sdPtt6IDH4Zb9" TargetMode="External"/><Relationship Id="rId300" Type="http://schemas.openxmlformats.org/officeDocument/2006/relationships/hyperlink" Target="https://drive.google.com/open?id=1Ad3XAT6mGapcwa00s3Y59OYA7X3q8lG3" TargetMode="External"/><Relationship Id="rId542" Type="http://schemas.openxmlformats.org/officeDocument/2006/relationships/hyperlink" Target="https://drive.google.com/open?id=10igGmRel985aoG3i0yq6-Y4vxDZwxk2G" TargetMode="External"/><Relationship Id="rId784" Type="http://schemas.openxmlformats.org/officeDocument/2006/relationships/hyperlink" Target="https://drive.google.com/open?id=1R_PLTscHmt49HaRXN2KQnZUUiCr-C1uZ" TargetMode="External"/><Relationship Id="rId541" Type="http://schemas.openxmlformats.org/officeDocument/2006/relationships/hyperlink" Target="https://drive.google.com/open?id=12MozTjtOXJcS8Yi6WgaZye19Pm_l_vFk" TargetMode="External"/><Relationship Id="rId783" Type="http://schemas.openxmlformats.org/officeDocument/2006/relationships/hyperlink" Target="https://drive.google.com/open?id=19HvHFSQ_9nKZU42bw2cbnQDNsXw66R3M" TargetMode="External"/><Relationship Id="rId540" Type="http://schemas.openxmlformats.org/officeDocument/2006/relationships/hyperlink" Target="https://drive.google.com/open?id=1SKGasmXWgFGKuE7XSC03iNG5HAFd6aJB" TargetMode="External"/><Relationship Id="rId782" Type="http://schemas.openxmlformats.org/officeDocument/2006/relationships/hyperlink" Target="https://drive.google.com/open?id=1GrSx1w6QlDcCXyoJqlKOodunt6ByahZS" TargetMode="External"/><Relationship Id="rId536" Type="http://schemas.openxmlformats.org/officeDocument/2006/relationships/hyperlink" Target="https://drive.google.com/open?id=1VipeDi-5qNAJt8yN9H_VumkeiIMy4wrO" TargetMode="External"/><Relationship Id="rId778" Type="http://schemas.openxmlformats.org/officeDocument/2006/relationships/hyperlink" Target="https://drive.google.com/open?id=1XhirkIxJgvJt6f_WFzMY-8p0t-rjGr7p" TargetMode="External"/><Relationship Id="rId535" Type="http://schemas.openxmlformats.org/officeDocument/2006/relationships/hyperlink" Target="https://drive.google.com/open?id=1svgxVlK9KjSBtujDHDujiuO9OlL7n61y" TargetMode="External"/><Relationship Id="rId777" Type="http://schemas.openxmlformats.org/officeDocument/2006/relationships/hyperlink" Target="https://drive.google.com/open?id=1N8_et_kQOFv6mkZJRGKGrLzZuwCN1o9m" TargetMode="External"/><Relationship Id="rId534" Type="http://schemas.openxmlformats.org/officeDocument/2006/relationships/hyperlink" Target="https://drive.google.com/open?id=1KTLzELprxUhrLtnwAicdsuJ9I1z-ch-C" TargetMode="External"/><Relationship Id="rId776" Type="http://schemas.openxmlformats.org/officeDocument/2006/relationships/hyperlink" Target="https://drive.google.com/open?id=1mVjRE5G7_O-evK_2EUUwEX4dIBIr3wbN" TargetMode="External"/><Relationship Id="rId533" Type="http://schemas.openxmlformats.org/officeDocument/2006/relationships/hyperlink" Target="https://drive.google.com/open?id=12r5MuBYjWhUbcxTbI6kDq6Vp7trVUuno" TargetMode="External"/><Relationship Id="rId775" Type="http://schemas.openxmlformats.org/officeDocument/2006/relationships/hyperlink" Target="https://drive.google.com/open?id=1jl4_3fyhsVJ6utGjlmZLv58Td5MLnvRS" TargetMode="External"/><Relationship Id="rId539" Type="http://schemas.openxmlformats.org/officeDocument/2006/relationships/hyperlink" Target="https://drive.google.com/open?id=1Yu4UU2ljcq6FoYvMak71O68_E5Wu0kTF" TargetMode="External"/><Relationship Id="rId538" Type="http://schemas.openxmlformats.org/officeDocument/2006/relationships/hyperlink" Target="https://drive.google.com/open?id=1CBOrZRU4jxx5ZZZjfDWlbLNxPvUv_K23" TargetMode="External"/><Relationship Id="rId537" Type="http://schemas.openxmlformats.org/officeDocument/2006/relationships/hyperlink" Target="https://drive.google.com/open?id=1954rhvgv-2Ag3UfbT6i6feG5WksoIOdE" TargetMode="External"/><Relationship Id="rId779" Type="http://schemas.openxmlformats.org/officeDocument/2006/relationships/hyperlink" Target="https://drive.google.com/open?id=1UolYImmylDyqmHL7BEv_YBRYH29hgw72" TargetMode="External"/><Relationship Id="rId770" Type="http://schemas.openxmlformats.org/officeDocument/2006/relationships/hyperlink" Target="https://drive.google.com/open?id=13w50LLzN9RjoQmW65q3PxSwbgKX6f4i-" TargetMode="External"/><Relationship Id="rId532" Type="http://schemas.openxmlformats.org/officeDocument/2006/relationships/hyperlink" Target="https://drive.google.com/open?id=1Z6fIDf9afYPSHnJYGAYneegHqEf0_fT6" TargetMode="External"/><Relationship Id="rId774" Type="http://schemas.openxmlformats.org/officeDocument/2006/relationships/hyperlink" Target="https://drive.google.com/open?id=1Ju0-wAsQbI3dojiO-sdtQYKrucxEPGak" TargetMode="External"/><Relationship Id="rId531" Type="http://schemas.openxmlformats.org/officeDocument/2006/relationships/hyperlink" Target="https://drive.google.com/open?id=1X6XW9pysDpRu3o0uj8QHAtK4kMYUKvfP" TargetMode="External"/><Relationship Id="rId773" Type="http://schemas.openxmlformats.org/officeDocument/2006/relationships/hyperlink" Target="https://drive.google.com/open?id=1HPw9HqS3UuTRvqPIJ6YgV5Li6uFqL2uE" TargetMode="External"/><Relationship Id="rId530" Type="http://schemas.openxmlformats.org/officeDocument/2006/relationships/hyperlink" Target="https://drive.google.com/open?id=1X1DD0M7BPvRf47hy7-6WsP90haFmmD3W" TargetMode="External"/><Relationship Id="rId772" Type="http://schemas.openxmlformats.org/officeDocument/2006/relationships/hyperlink" Target="https://drive.google.com/open?id=1c9jcy9Itx-cDrZl6yd-OxcZUUpHkt4bH" TargetMode="External"/><Relationship Id="rId771" Type="http://schemas.openxmlformats.org/officeDocument/2006/relationships/hyperlink" Target="https://drive.google.com/open?id=1wDpCfNYxTmSzhVUZBLgDRZ5q3Bmp3h6t" TargetMode="External"/><Relationship Id="rId327" Type="http://schemas.openxmlformats.org/officeDocument/2006/relationships/hyperlink" Target="https://drive.google.com/open?id=1AuKPi7EGqKLcZpkujG-TU-tmjbfRamga" TargetMode="External"/><Relationship Id="rId569" Type="http://schemas.openxmlformats.org/officeDocument/2006/relationships/hyperlink" Target="https://drive.google.com/open?id=13s1v2AsnX7c7lSLRVGw3b6hjd_tNjorp" TargetMode="External"/><Relationship Id="rId326" Type="http://schemas.openxmlformats.org/officeDocument/2006/relationships/hyperlink" Target="https://drive.google.com/open?id=1ztnAEpXJP3PVF--XvY76_uUuFbNBskup" TargetMode="External"/><Relationship Id="rId568" Type="http://schemas.openxmlformats.org/officeDocument/2006/relationships/hyperlink" Target="https://drive.google.com/open?id=13eAnK8McbHPE90x-r41-rfjrkEog4Clk" TargetMode="External"/><Relationship Id="rId325" Type="http://schemas.openxmlformats.org/officeDocument/2006/relationships/hyperlink" Target="https://drive.google.com/open?id=1s4rrnrsB-wY-ukWFCeBXptCEbrltk6JO" TargetMode="External"/><Relationship Id="rId567" Type="http://schemas.openxmlformats.org/officeDocument/2006/relationships/hyperlink" Target="https://drive.google.com/open?id=1KlyD9gF4d71236pRvmIVHeUpkhFs_6h7" TargetMode="External"/><Relationship Id="rId324" Type="http://schemas.openxmlformats.org/officeDocument/2006/relationships/hyperlink" Target="https://drive.google.com/open?id=12ClMPERUym5i6JKzLdbsuj6sXOTU9A2O" TargetMode="External"/><Relationship Id="rId566" Type="http://schemas.openxmlformats.org/officeDocument/2006/relationships/hyperlink" Target="https://drive.google.com/open?id=103KqixgR4uW7aXUyUzMaS-xFNFuqZ8GJ" TargetMode="External"/><Relationship Id="rId329" Type="http://schemas.openxmlformats.org/officeDocument/2006/relationships/hyperlink" Target="https://drive.google.com/open?id=1ImFtAoTJ31Zakr_5ECIqoyyOkP7vd7ai" TargetMode="External"/><Relationship Id="rId328" Type="http://schemas.openxmlformats.org/officeDocument/2006/relationships/hyperlink" Target="https://drive.google.com/open?id=1s8JjT5rG6q6eT3OpglYhECEV3gg5dB3G" TargetMode="External"/><Relationship Id="rId561" Type="http://schemas.openxmlformats.org/officeDocument/2006/relationships/hyperlink" Target="https://drive.google.com/open?id=1pcFuZ3-abnxOotHAtZkSb_1vh79-0UcM" TargetMode="External"/><Relationship Id="rId560" Type="http://schemas.openxmlformats.org/officeDocument/2006/relationships/hyperlink" Target="https://drive.google.com/open?id=1LWrd_XMvStaxLPn6kgbPsTGRQvI-PQ-Q" TargetMode="External"/><Relationship Id="rId323" Type="http://schemas.openxmlformats.org/officeDocument/2006/relationships/hyperlink" Target="https://drive.google.com/open?id=1t48Zcm9wyCK0L6GukLCeDIuUyQkTVAGA" TargetMode="External"/><Relationship Id="rId565" Type="http://schemas.openxmlformats.org/officeDocument/2006/relationships/hyperlink" Target="https://drive.google.com/open?id=14rmOOQGJBb8hU7jnv-QDnvEkREwExH8Q" TargetMode="External"/><Relationship Id="rId322" Type="http://schemas.openxmlformats.org/officeDocument/2006/relationships/hyperlink" Target="https://drive.google.com/open?id=1HPShFFZVYMP9Tih-7p9pVSndtPo_99Gi" TargetMode="External"/><Relationship Id="rId564" Type="http://schemas.openxmlformats.org/officeDocument/2006/relationships/hyperlink" Target="https://drive.google.com/open?id=1DFhHsqMYE5fRDUV83ZhWBAYusYDCR2U3" TargetMode="External"/><Relationship Id="rId321" Type="http://schemas.openxmlformats.org/officeDocument/2006/relationships/hyperlink" Target="https://drive.google.com/open?id=1L_jr8BFXVZqyqYPmZglqekvgnP8oI9K7" TargetMode="External"/><Relationship Id="rId563" Type="http://schemas.openxmlformats.org/officeDocument/2006/relationships/hyperlink" Target="https://drive.google.com/open?id=1ww7_HHZ8epMq1ptF-yUPsTx3fMbRq9WX" TargetMode="External"/><Relationship Id="rId320" Type="http://schemas.openxmlformats.org/officeDocument/2006/relationships/hyperlink" Target="https://drive.google.com/open?id=12xNnYEDRaZ3oJ5NDRhl2o1LGXexRyYLq" TargetMode="External"/><Relationship Id="rId562" Type="http://schemas.openxmlformats.org/officeDocument/2006/relationships/hyperlink" Target="https://drive.google.com/open?id=1IENeYfBpEoeK2WP26YBE05aIJemcpdHg" TargetMode="External"/><Relationship Id="rId316" Type="http://schemas.openxmlformats.org/officeDocument/2006/relationships/hyperlink" Target="https://drive.google.com/open?id=19viOUUftPEMZHDZsWwh1_Q85uysR4TNX" TargetMode="External"/><Relationship Id="rId558" Type="http://schemas.openxmlformats.org/officeDocument/2006/relationships/hyperlink" Target="https://drive.google.com/open?id=1z5IWQ8Jr2wKOGO0WKFPc8IxLXmhTVBFD" TargetMode="External"/><Relationship Id="rId315" Type="http://schemas.openxmlformats.org/officeDocument/2006/relationships/hyperlink" Target="https://drive.google.com/open?id=1uWRRK4NDwmYl55QaASwsP2JcJXOKaGqL" TargetMode="External"/><Relationship Id="rId557" Type="http://schemas.openxmlformats.org/officeDocument/2006/relationships/hyperlink" Target="https://drive.google.com/open?id=1Tf3m0f85cKUEI0aAkpnmKYLoP9iK8wwh" TargetMode="External"/><Relationship Id="rId799" Type="http://schemas.openxmlformats.org/officeDocument/2006/relationships/hyperlink" Target="https://drive.google.com/open?id=1bhBJueGQs0SjtFESO66_rlAbdzcJ53cP" TargetMode="External"/><Relationship Id="rId314" Type="http://schemas.openxmlformats.org/officeDocument/2006/relationships/hyperlink" Target="https://drive.google.com/open?id=1vUrChfi3MeIFvlyBVpJGaUAVwX3SNsUg" TargetMode="External"/><Relationship Id="rId556" Type="http://schemas.openxmlformats.org/officeDocument/2006/relationships/hyperlink" Target="https://drive.google.com/open?id=12QoHRE5rSHP4sOVtAASIg5bVp18kzATr" TargetMode="External"/><Relationship Id="rId798" Type="http://schemas.openxmlformats.org/officeDocument/2006/relationships/hyperlink" Target="https://drive.google.com/open?id=1UsS2dYhKjIu0gzZH50qysrAtPquE1wqI" TargetMode="External"/><Relationship Id="rId313" Type="http://schemas.openxmlformats.org/officeDocument/2006/relationships/hyperlink" Target="https://drive.google.com/open?id=1W06GGURxEzTrCea5t8TUkqQ6G1HAUTRb" TargetMode="External"/><Relationship Id="rId555" Type="http://schemas.openxmlformats.org/officeDocument/2006/relationships/hyperlink" Target="https://drive.google.com/open?id=1pX59H9jJ1oIkOh1f6O3SXkmnh4IR4JB8" TargetMode="External"/><Relationship Id="rId797" Type="http://schemas.openxmlformats.org/officeDocument/2006/relationships/hyperlink" Target="https://drive.google.com/open?id=1tu6nge5mEvkESNgUpzCWUR3UaOUk3hkB" TargetMode="External"/><Relationship Id="rId319" Type="http://schemas.openxmlformats.org/officeDocument/2006/relationships/hyperlink" Target="https://drive.google.com/open?id=1xI65L7MUYRXnY2b5kyxzWT2dIszOY1b6" TargetMode="External"/><Relationship Id="rId318" Type="http://schemas.openxmlformats.org/officeDocument/2006/relationships/hyperlink" Target="https://drive.google.com/open?id=1nd1VPMrgektpPkSHZyKWacSFs6angPvG" TargetMode="External"/><Relationship Id="rId317" Type="http://schemas.openxmlformats.org/officeDocument/2006/relationships/hyperlink" Target="https://drive.google.com/open?id=1brlAcMo_4ajWrqQbJV8koS5PhXuv_xgp" TargetMode="External"/><Relationship Id="rId559" Type="http://schemas.openxmlformats.org/officeDocument/2006/relationships/hyperlink" Target="https://drive.google.com/open?id=1IlPsVXfgl-wjSMf551aG4luPGLCX3LCy" TargetMode="External"/><Relationship Id="rId550" Type="http://schemas.openxmlformats.org/officeDocument/2006/relationships/hyperlink" Target="https://drive.google.com/open?id=1udWTjOmKYySoVSAjsIfFnOE8wU-91cXv" TargetMode="External"/><Relationship Id="rId792" Type="http://schemas.openxmlformats.org/officeDocument/2006/relationships/hyperlink" Target="https://drive.google.com/open?id=17uTpFpYasN0LPQjzNZ-61c1gy0cbSjaN" TargetMode="External"/><Relationship Id="rId791" Type="http://schemas.openxmlformats.org/officeDocument/2006/relationships/hyperlink" Target="https://drive.google.com/open?id=1Yy6H493_1toJQgHJuPMoHqLHTk49n1E6" TargetMode="External"/><Relationship Id="rId790" Type="http://schemas.openxmlformats.org/officeDocument/2006/relationships/hyperlink" Target="https://drive.google.com/open?id=1duuk5sr5n_hQ7O9vJke4hD_5lYDSu4f9" TargetMode="External"/><Relationship Id="rId312" Type="http://schemas.openxmlformats.org/officeDocument/2006/relationships/hyperlink" Target="https://drive.google.com/open?id=1y4N2U0R6-075tofwsF0UDl989KkYIdoR" TargetMode="External"/><Relationship Id="rId554" Type="http://schemas.openxmlformats.org/officeDocument/2006/relationships/hyperlink" Target="https://drive.google.com/open?id=1DmHLSu3iv-lLCWIgg0Q7otBtC5tHYenj" TargetMode="External"/><Relationship Id="rId796" Type="http://schemas.openxmlformats.org/officeDocument/2006/relationships/hyperlink" Target="https://drive.google.com/open?id=1Vm2vFXJFWTgQnKMTWlzrhnvd9Hsw-iwU" TargetMode="External"/><Relationship Id="rId311" Type="http://schemas.openxmlformats.org/officeDocument/2006/relationships/hyperlink" Target="https://drive.google.com/open?id=1LbSdZIc1s4k908HVlxlwIsODaDxU5ROA" TargetMode="External"/><Relationship Id="rId553" Type="http://schemas.openxmlformats.org/officeDocument/2006/relationships/hyperlink" Target="https://drive.google.com/open?id=1BZ45v_jnh4aL8AYPbQ96vHJ2WY0EqsS2" TargetMode="External"/><Relationship Id="rId795" Type="http://schemas.openxmlformats.org/officeDocument/2006/relationships/hyperlink" Target="https://drive.google.com/open?id=1lYlgNCad7-eB5fgoFA6gAPsLcHzkO4CJ" TargetMode="External"/><Relationship Id="rId310" Type="http://schemas.openxmlformats.org/officeDocument/2006/relationships/hyperlink" Target="https://drive.google.com/open?id=1s4OULOmk71mQQbdHtJPkFzTZNEG5f-Ha" TargetMode="External"/><Relationship Id="rId552" Type="http://schemas.openxmlformats.org/officeDocument/2006/relationships/hyperlink" Target="https://drive.google.com/open?id=1WRr25ME2lUxy6wlSzMzI0ySF2avd1JjD" TargetMode="External"/><Relationship Id="rId794" Type="http://schemas.openxmlformats.org/officeDocument/2006/relationships/hyperlink" Target="https://drive.google.com/open?id=1c2fqVlk7EsbFzCJXk9MBGNPwLQI5ewME" TargetMode="External"/><Relationship Id="rId551" Type="http://schemas.openxmlformats.org/officeDocument/2006/relationships/hyperlink" Target="https://drive.google.com/open?id=1lhd_PypgL0PPOwH9joxOHSgF6c9Yu-Vh" TargetMode="External"/><Relationship Id="rId793" Type="http://schemas.openxmlformats.org/officeDocument/2006/relationships/hyperlink" Target="https://drive.google.com/open?id=1KxO9vPTDc5LDBS3VrQqRU95WCrK9RQWI" TargetMode="External"/><Relationship Id="rId297" Type="http://schemas.openxmlformats.org/officeDocument/2006/relationships/hyperlink" Target="https://drive.google.com/open?id=1IyczN1_uixvgQfOXAFWvWqbql3t7Be5A" TargetMode="External"/><Relationship Id="rId296" Type="http://schemas.openxmlformats.org/officeDocument/2006/relationships/hyperlink" Target="https://drive.google.com/open?id=1HF17MRg5_knHWYgtPQSuCm2MbWikUIVI" TargetMode="External"/><Relationship Id="rId295" Type="http://schemas.openxmlformats.org/officeDocument/2006/relationships/hyperlink" Target="https://drive.google.com/open?id=12LwhxK7nWRARhQChyLRIDo3-a9jz64qU" TargetMode="External"/><Relationship Id="rId294" Type="http://schemas.openxmlformats.org/officeDocument/2006/relationships/hyperlink" Target="https://drive.google.com/open?id=1RDUke50z829Q6yyvcGY7hOkZYmG6Rz-z" TargetMode="External"/><Relationship Id="rId299" Type="http://schemas.openxmlformats.org/officeDocument/2006/relationships/hyperlink" Target="https://drive.google.com/open?id=10boUr0VQ1wm8L7NVtL09gwwkAll1ul5J" TargetMode="External"/><Relationship Id="rId298" Type="http://schemas.openxmlformats.org/officeDocument/2006/relationships/hyperlink" Target="https://drive.google.com/open?id=13wyxqr6oktnR6GKfN80KqUSQAdlmZonj" TargetMode="External"/><Relationship Id="rId271" Type="http://schemas.openxmlformats.org/officeDocument/2006/relationships/hyperlink" Target="https://drive.google.com/open?id=1AlFLj66qIZA-jqTBwudvISMIXDO_RSeS" TargetMode="External"/><Relationship Id="rId270" Type="http://schemas.openxmlformats.org/officeDocument/2006/relationships/hyperlink" Target="https://drive.google.com/open?id=1yYZuJYTj5uDSdh2seVd2penV_ShbU6ow" TargetMode="External"/><Relationship Id="rId269" Type="http://schemas.openxmlformats.org/officeDocument/2006/relationships/hyperlink" Target="https://drive.google.com/open?id=1VnkcsqAthotln97-IbW83FwA6dL4T5VX" TargetMode="External"/><Relationship Id="rId264" Type="http://schemas.openxmlformats.org/officeDocument/2006/relationships/hyperlink" Target="https://drive.google.com/open?id=144bELW0cSszhEUabwnjqepQYsrNlaNXv" TargetMode="External"/><Relationship Id="rId263" Type="http://schemas.openxmlformats.org/officeDocument/2006/relationships/hyperlink" Target="https://drive.google.com/open?id=1Wvagt4ZDyLKZw3kFTGZdOU5pD42z-pac" TargetMode="External"/><Relationship Id="rId262" Type="http://schemas.openxmlformats.org/officeDocument/2006/relationships/hyperlink" Target="https://drive.google.com/open?id=15XhBwdTQ1_4LvMwNpXzMNnWDLwwXEJkO" TargetMode="External"/><Relationship Id="rId261" Type="http://schemas.openxmlformats.org/officeDocument/2006/relationships/hyperlink" Target="https://drive.google.com/open?id=16LH_UHRqJCCBXWN4YmK6tIZzheQlAhI9" TargetMode="External"/><Relationship Id="rId268" Type="http://schemas.openxmlformats.org/officeDocument/2006/relationships/hyperlink" Target="https://drive.google.com/open?id=1FtE2lrPNMEFWPzeU9QyujzMYy5hVwTzu" TargetMode="External"/><Relationship Id="rId267" Type="http://schemas.openxmlformats.org/officeDocument/2006/relationships/hyperlink" Target="https://drive.google.com/open?id=1FYPfEgu9lqOQg93NYyA8nTvXmcV7CQBL" TargetMode="External"/><Relationship Id="rId266" Type="http://schemas.openxmlformats.org/officeDocument/2006/relationships/hyperlink" Target="https://drive.google.com/open?id=10TCtDooGzJkY6XRLHH2SvH7ht6sAeOOr" TargetMode="External"/><Relationship Id="rId265" Type="http://schemas.openxmlformats.org/officeDocument/2006/relationships/hyperlink" Target="https://drive.google.com/open?id=1cIpNyZ-rgMOF_aMa73S0jZaxLYkEfG9l" TargetMode="External"/><Relationship Id="rId260" Type="http://schemas.openxmlformats.org/officeDocument/2006/relationships/hyperlink" Target="https://drive.google.com/open?id=1VB0PbqdAZLsZjm3m7MgxHNskNXMKv867" TargetMode="External"/><Relationship Id="rId259" Type="http://schemas.openxmlformats.org/officeDocument/2006/relationships/hyperlink" Target="https://drive.google.com/open?id=16kmEtyYH2rcVPP9vIQ8bUu7UwHbCechr" TargetMode="External"/><Relationship Id="rId258" Type="http://schemas.openxmlformats.org/officeDocument/2006/relationships/hyperlink" Target="https://drive.google.com/open?id=1KIcBDWZ09mjjl1-x_oSpY9PfPEv_kYpO" TargetMode="External"/><Relationship Id="rId253" Type="http://schemas.openxmlformats.org/officeDocument/2006/relationships/hyperlink" Target="https://drive.google.com/open?id=1XhHLTUrJaMayeq-ru-sGKE-HGl525PmA" TargetMode="External"/><Relationship Id="rId495" Type="http://schemas.openxmlformats.org/officeDocument/2006/relationships/hyperlink" Target="https://drive.google.com/open?id=1F3qeCJ2P53S7Aa3K2c6JOI8GOOKEttsz" TargetMode="External"/><Relationship Id="rId252" Type="http://schemas.openxmlformats.org/officeDocument/2006/relationships/hyperlink" Target="https://drive.google.com/open?id=19g7_veS8FTtBM_FVhIPwSUDcmetVGq9L" TargetMode="External"/><Relationship Id="rId494" Type="http://schemas.openxmlformats.org/officeDocument/2006/relationships/hyperlink" Target="https://drive.google.com/open?id=1nLatTrmDgwTWiB77wknG_gVwz6UaADwH" TargetMode="External"/><Relationship Id="rId251" Type="http://schemas.openxmlformats.org/officeDocument/2006/relationships/hyperlink" Target="https://drive.google.com/open?id=1RGtUjz2DOLODz_hG8aKxf27uxaVflqax" TargetMode="External"/><Relationship Id="rId493" Type="http://schemas.openxmlformats.org/officeDocument/2006/relationships/hyperlink" Target="https://drive.google.com/open?id=1hc-o4vLzhQu-q14GxxDEcZDeaVSyd0qy" TargetMode="External"/><Relationship Id="rId250" Type="http://schemas.openxmlformats.org/officeDocument/2006/relationships/hyperlink" Target="https://drive.google.com/open?id=123fQOKxMIdSvTz1dvMO5U4FOltFPZVeF" TargetMode="External"/><Relationship Id="rId492" Type="http://schemas.openxmlformats.org/officeDocument/2006/relationships/hyperlink" Target="https://drive.google.com/open?id=18-Z32UBEY7m7bRjSglxUm0rGLye5kOo2" TargetMode="External"/><Relationship Id="rId257" Type="http://schemas.openxmlformats.org/officeDocument/2006/relationships/hyperlink" Target="https://drive.google.com/open?id=1V-gh44Oc19zl8NpDtE-djEPbi1w3Ct-J" TargetMode="External"/><Relationship Id="rId499" Type="http://schemas.openxmlformats.org/officeDocument/2006/relationships/hyperlink" Target="https://drive.google.com/open?id=1_jnf8S4nZC9e2ES9tG7BMBV0oRZfrkI_" TargetMode="External"/><Relationship Id="rId256" Type="http://schemas.openxmlformats.org/officeDocument/2006/relationships/hyperlink" Target="https://drive.google.com/open?id=18Yfpp6ZPVW1aSqJOiWlV0lIei54v3loj" TargetMode="External"/><Relationship Id="rId498" Type="http://schemas.openxmlformats.org/officeDocument/2006/relationships/hyperlink" Target="https://drive.google.com/open?id=1140SGyQJxuhwLboLAoNZWNUGwQS2jYKG" TargetMode="External"/><Relationship Id="rId255" Type="http://schemas.openxmlformats.org/officeDocument/2006/relationships/hyperlink" Target="https://drive.google.com/open?id=1r4EdzB92SOmDGiG1N8DJbcU86DlSF-0J" TargetMode="External"/><Relationship Id="rId497" Type="http://schemas.openxmlformats.org/officeDocument/2006/relationships/hyperlink" Target="https://drive.google.com/open?id=1oJirngd1j7FGIZp-egPtnAIXUr6wvzNd" TargetMode="External"/><Relationship Id="rId254" Type="http://schemas.openxmlformats.org/officeDocument/2006/relationships/hyperlink" Target="https://drive.google.com/open?id=1VjJm4JyEBUzPy6f5mmDEu3o_I6TsHcLe" TargetMode="External"/><Relationship Id="rId496" Type="http://schemas.openxmlformats.org/officeDocument/2006/relationships/hyperlink" Target="https://drive.google.com/open?id=1z-IySrb65D7VZKiS09qJPo5qg3jXUA-Z" TargetMode="External"/><Relationship Id="rId293" Type="http://schemas.openxmlformats.org/officeDocument/2006/relationships/hyperlink" Target="https://drive.google.com/open?id=1ioalXLlUCf_SZn136EZtEhBpiwemMA09" TargetMode="External"/><Relationship Id="rId292" Type="http://schemas.openxmlformats.org/officeDocument/2006/relationships/hyperlink" Target="https://drive.google.com/open?id=1jSnOja_Ha0wT3jfLxm0GK-T5c07zg6zY" TargetMode="External"/><Relationship Id="rId291" Type="http://schemas.openxmlformats.org/officeDocument/2006/relationships/hyperlink" Target="https://drive.google.com/open?id=1BHuqy-Hmfp06RWKS63T7zOLUQQ8K9vai" TargetMode="External"/><Relationship Id="rId290" Type="http://schemas.openxmlformats.org/officeDocument/2006/relationships/hyperlink" Target="https://drive.google.com/open?id=1C7j14mc7h5fS3PnD_rbuHWDzi9At0cMB" TargetMode="External"/><Relationship Id="rId286" Type="http://schemas.openxmlformats.org/officeDocument/2006/relationships/hyperlink" Target="https://drive.google.com/open?id=1-CbSMKcqTey_bsoFKO4os8gIWEfxaVpO" TargetMode="External"/><Relationship Id="rId285" Type="http://schemas.openxmlformats.org/officeDocument/2006/relationships/hyperlink" Target="https://drive.google.com/open?id=1SQzBfqWA_XViWaUvkAzR94WKbIGkwy0G" TargetMode="External"/><Relationship Id="rId284" Type="http://schemas.openxmlformats.org/officeDocument/2006/relationships/hyperlink" Target="https://drive.google.com/open?id=1Ima0qYWa5Nwf-MoOSLDV9HDcv0NdWyC6" TargetMode="External"/><Relationship Id="rId283" Type="http://schemas.openxmlformats.org/officeDocument/2006/relationships/hyperlink" Target="https://drive.google.com/open?id=1MmxEUU5U3mZS0ZS05ZQVR2aQyWDVHN-E" TargetMode="External"/><Relationship Id="rId289" Type="http://schemas.openxmlformats.org/officeDocument/2006/relationships/hyperlink" Target="https://drive.google.com/open?id=1xAxar2PVy0SIVL8qLoKeLVce1y-4GciO" TargetMode="External"/><Relationship Id="rId288" Type="http://schemas.openxmlformats.org/officeDocument/2006/relationships/hyperlink" Target="https://drive.google.com/open?id=1Gc-rotebsK53Dyz4WoA6W9jYfEwTN85E" TargetMode="External"/><Relationship Id="rId287" Type="http://schemas.openxmlformats.org/officeDocument/2006/relationships/hyperlink" Target="https://drive.google.com/open?id=1H20iquCXvw_kyybjkhMMEuTmDAJ0LOf9" TargetMode="External"/><Relationship Id="rId282" Type="http://schemas.openxmlformats.org/officeDocument/2006/relationships/hyperlink" Target="https://drive.google.com/open?id=1UJ-cIwnmzjqAWQBZpiFX4wUiwWkVHeZ4" TargetMode="External"/><Relationship Id="rId281" Type="http://schemas.openxmlformats.org/officeDocument/2006/relationships/hyperlink" Target="https://drive.google.com/open?id=1e2iur-bfGFSJuM2phEw0AxePdJZN2jGm" TargetMode="External"/><Relationship Id="rId280" Type="http://schemas.openxmlformats.org/officeDocument/2006/relationships/hyperlink" Target="https://drive.google.com/open?id=1ZgJHjSYoStaZ8jsGblBPYuQIrbwGxmkk" TargetMode="External"/><Relationship Id="rId275" Type="http://schemas.openxmlformats.org/officeDocument/2006/relationships/hyperlink" Target="https://drive.google.com/open?id=1V5qg9_0arD8UQzYolLGQ7b-Qer1twRp_" TargetMode="External"/><Relationship Id="rId274" Type="http://schemas.openxmlformats.org/officeDocument/2006/relationships/hyperlink" Target="https://drive.google.com/open?id=1y_Q76yYB9XMZuwLAoN4mQSu7MQ4uPVbx" TargetMode="External"/><Relationship Id="rId273" Type="http://schemas.openxmlformats.org/officeDocument/2006/relationships/hyperlink" Target="https://drive.google.com/open?id=1LHgn2oV8lpxRHsV4zvvQeS38dJ_hFRWK" TargetMode="External"/><Relationship Id="rId272" Type="http://schemas.openxmlformats.org/officeDocument/2006/relationships/hyperlink" Target="https://drive.google.com/open?id=1ivTlvs4qDTSsVKlhnEP4QVPL7ilFphpy" TargetMode="External"/><Relationship Id="rId279" Type="http://schemas.openxmlformats.org/officeDocument/2006/relationships/hyperlink" Target="https://drive.google.com/open?id=1S2vBs80TlJCuxeHHQrSVQsDSkVr8FiA9" TargetMode="External"/><Relationship Id="rId278" Type="http://schemas.openxmlformats.org/officeDocument/2006/relationships/hyperlink" Target="https://drive.google.com/open?id=1L1RtDDE-9Ukyo9MyZYdCI1ccLEZ3whRM" TargetMode="External"/><Relationship Id="rId277" Type="http://schemas.openxmlformats.org/officeDocument/2006/relationships/hyperlink" Target="https://drive.google.com/open?id=12Lf6wkEaro_VZ6Lckfdr7Xkjk4X7qjk0" TargetMode="External"/><Relationship Id="rId276" Type="http://schemas.openxmlformats.org/officeDocument/2006/relationships/hyperlink" Target="https://drive.google.com/open?id=185ffvd4V9WCmDQ19zScKtiye3GyhQNNK" TargetMode="External"/><Relationship Id="rId629" Type="http://schemas.openxmlformats.org/officeDocument/2006/relationships/hyperlink" Target="https://drive.google.com/open?id=12eq8GWAcOess4EgnDTxeDfTFlZfWIG6Y" TargetMode="External"/><Relationship Id="rId624" Type="http://schemas.openxmlformats.org/officeDocument/2006/relationships/hyperlink" Target="https://drive.google.com/open?id=1qpO0JfB5Vja90kI_OahqhwrCVFvbXfye" TargetMode="External"/><Relationship Id="rId866" Type="http://schemas.openxmlformats.org/officeDocument/2006/relationships/hyperlink" Target="https://drive.google.com/open?id=1JNqGGlq_oFgLyOktNxeKp8PaqVM-jt7A" TargetMode="External"/><Relationship Id="rId623" Type="http://schemas.openxmlformats.org/officeDocument/2006/relationships/hyperlink" Target="https://drive.google.com/open?id=1XVUhiv72vZcesPHkFCUggkqESbKcMUE0" TargetMode="External"/><Relationship Id="rId865" Type="http://schemas.openxmlformats.org/officeDocument/2006/relationships/hyperlink" Target="https://drive.google.com/open?id=1KwafmUneLra3_l7BvLU9KEesjkyS1cuT" TargetMode="External"/><Relationship Id="rId622" Type="http://schemas.openxmlformats.org/officeDocument/2006/relationships/hyperlink" Target="https://drive.google.com/open?id=1C9wtLnoOF77FBCAlL8ZOFhSWz2VeAnf5" TargetMode="External"/><Relationship Id="rId864" Type="http://schemas.openxmlformats.org/officeDocument/2006/relationships/hyperlink" Target="https://drive.google.com/open?id=1smBo_MvD0Pl2jzyib1FcfkLa1WhJLHJb" TargetMode="External"/><Relationship Id="rId621" Type="http://schemas.openxmlformats.org/officeDocument/2006/relationships/hyperlink" Target="https://drive.google.com/open?id=1RBzHbXUVNov3P6q8v2Cu2GvIyJQuSWmC" TargetMode="External"/><Relationship Id="rId863" Type="http://schemas.openxmlformats.org/officeDocument/2006/relationships/hyperlink" Target="https://drive.google.com/open?id=1KYXcBL8ab12aB4egtfZOdrtSJIk7Nc1a" TargetMode="External"/><Relationship Id="rId628" Type="http://schemas.openxmlformats.org/officeDocument/2006/relationships/hyperlink" Target="https://drive.google.com/open?id=1FUMhRbH_zORxAih2NXUU4rAkLeCe4Jzb" TargetMode="External"/><Relationship Id="rId627" Type="http://schemas.openxmlformats.org/officeDocument/2006/relationships/hyperlink" Target="https://drive.google.com/open?id=1cW1_hS8f3QAKBY4RE1UN2aFy2c9xTc1_" TargetMode="External"/><Relationship Id="rId869" Type="http://schemas.openxmlformats.org/officeDocument/2006/relationships/hyperlink" Target="https://drive.google.com/open?id=1NYZKc5_DcADx-2ULROBc-Rg9FjcWSBhQ" TargetMode="External"/><Relationship Id="rId626" Type="http://schemas.openxmlformats.org/officeDocument/2006/relationships/hyperlink" Target="https://drive.google.com/open?id=1eo1F9C7Tk1lHRRZR6ZZ-oEeHWHQ4OyTJ" TargetMode="External"/><Relationship Id="rId868" Type="http://schemas.openxmlformats.org/officeDocument/2006/relationships/hyperlink" Target="https://drive.google.com/open?id=194bBRaIPvBjnGNEc6zT-gV6_sjTdfYKg" TargetMode="External"/><Relationship Id="rId625" Type="http://schemas.openxmlformats.org/officeDocument/2006/relationships/hyperlink" Target="https://drive.google.com/open?id=1LF6T6C2skJHAloCg1vLg7ejN0iMQYPia" TargetMode="External"/><Relationship Id="rId867" Type="http://schemas.openxmlformats.org/officeDocument/2006/relationships/hyperlink" Target="https://drive.google.com/open?id=1GpjuN9xdU4ScpVkwku-2C9mVKTLUHk1y" TargetMode="External"/><Relationship Id="rId620" Type="http://schemas.openxmlformats.org/officeDocument/2006/relationships/hyperlink" Target="https://drive.google.com/open?id=1jcGrbQ8nwllzRQOIjt7HVnF1vyDAaTf_" TargetMode="External"/><Relationship Id="rId862" Type="http://schemas.openxmlformats.org/officeDocument/2006/relationships/hyperlink" Target="https://drive.google.com/open?id=1F93vDiZ30NNt8EGphXmwNwQ6kNB5gZZL" TargetMode="External"/><Relationship Id="rId861" Type="http://schemas.openxmlformats.org/officeDocument/2006/relationships/hyperlink" Target="https://drive.google.com/open?id=17pT4Ex91gJ2OWG0r644HAJdZdK1fX4Bf" TargetMode="External"/><Relationship Id="rId860" Type="http://schemas.openxmlformats.org/officeDocument/2006/relationships/hyperlink" Target="https://drive.google.com/open?id=1VhhUuN7Gq8bgQGrcgMmlPzzXkyuWGni7" TargetMode="External"/><Relationship Id="rId619" Type="http://schemas.openxmlformats.org/officeDocument/2006/relationships/hyperlink" Target="https://drive.google.com/open?id=1b6AchqthYWaevi2daXVqUrv_Tj34o6wH" TargetMode="External"/><Relationship Id="rId618" Type="http://schemas.openxmlformats.org/officeDocument/2006/relationships/hyperlink" Target="https://drive.google.com/open?id=1c6e6RMxDyX6O-7o6awqccm1jmQETmj9z" TargetMode="External"/><Relationship Id="rId613" Type="http://schemas.openxmlformats.org/officeDocument/2006/relationships/hyperlink" Target="https://drive.google.com/open?id=1V06SPXWgAxYsFBSzg_HvlUBFvClDFsw-" TargetMode="External"/><Relationship Id="rId855" Type="http://schemas.openxmlformats.org/officeDocument/2006/relationships/hyperlink" Target="https://drive.google.com/open?id=11i_7HAqZU_cG32ObR-HFYA4MKx0ix-26" TargetMode="External"/><Relationship Id="rId612" Type="http://schemas.openxmlformats.org/officeDocument/2006/relationships/hyperlink" Target="https://drive.google.com/open?id=1wq7gUhC5_oCL689dGW428Iw45E_G6IGY" TargetMode="External"/><Relationship Id="rId854" Type="http://schemas.openxmlformats.org/officeDocument/2006/relationships/hyperlink" Target="https://drive.google.com/open?id=1-cvgE5IdwkONIY72CzufYPwyrRYLUH7U" TargetMode="External"/><Relationship Id="rId611" Type="http://schemas.openxmlformats.org/officeDocument/2006/relationships/hyperlink" Target="https://drive.google.com/open?id=1D7Oud-TIMeCW2Xxk6N2uulr5NOGbHZf0" TargetMode="External"/><Relationship Id="rId853" Type="http://schemas.openxmlformats.org/officeDocument/2006/relationships/hyperlink" Target="https://drive.google.com/open?id=1CWXsNWQpkq9_2oPpa4f36Pkdj_SzleSs" TargetMode="External"/><Relationship Id="rId610" Type="http://schemas.openxmlformats.org/officeDocument/2006/relationships/hyperlink" Target="https://drive.google.com/open?id=1_JtoD2q-pasOzao4qb6iWUaVlLB70-5_" TargetMode="External"/><Relationship Id="rId852" Type="http://schemas.openxmlformats.org/officeDocument/2006/relationships/hyperlink" Target="https://drive.google.com/open?id=1Ay02XTCfczMMFsknjOwr5UbrgziyAS9K" TargetMode="External"/><Relationship Id="rId617" Type="http://schemas.openxmlformats.org/officeDocument/2006/relationships/hyperlink" Target="https://drive.google.com/open?id=1U4X8J18aiP0dolkKDitug6tIXmknGPZc" TargetMode="External"/><Relationship Id="rId859" Type="http://schemas.openxmlformats.org/officeDocument/2006/relationships/hyperlink" Target="https://drive.google.com/open?id=1xN0j461XaDJfa_aqvfmRn6HykLeqWKHs" TargetMode="External"/><Relationship Id="rId616" Type="http://schemas.openxmlformats.org/officeDocument/2006/relationships/hyperlink" Target="https://drive.google.com/open?id=1CVQv5pazoIMQiynddzDL9MJsB0CItzos" TargetMode="External"/><Relationship Id="rId858" Type="http://schemas.openxmlformats.org/officeDocument/2006/relationships/hyperlink" Target="https://drive.google.com/open?id=1qGDK3QmTtU5sNF0UjyVgxcRTyvyu0Tkn" TargetMode="External"/><Relationship Id="rId615" Type="http://schemas.openxmlformats.org/officeDocument/2006/relationships/hyperlink" Target="https://drive.google.com/open?id=1x5Cfsw42XPKcIFk95xHGhQAUcLhkEHeY" TargetMode="External"/><Relationship Id="rId857" Type="http://schemas.openxmlformats.org/officeDocument/2006/relationships/hyperlink" Target="https://drive.google.com/open?id=1jxj_fGxfc5QweKrLL1Fj0MFrZOZ43O7S" TargetMode="External"/><Relationship Id="rId614" Type="http://schemas.openxmlformats.org/officeDocument/2006/relationships/hyperlink" Target="https://drive.google.com/open?id=1CqEgjc97ZAohru4tbtRVrzdOXwALzH3U" TargetMode="External"/><Relationship Id="rId856" Type="http://schemas.openxmlformats.org/officeDocument/2006/relationships/hyperlink" Target="https://drive.google.com/open?id=1ThUhcgGi52O_bn2hVj4Gv5Uf_u_Md7gP" TargetMode="External"/><Relationship Id="rId851" Type="http://schemas.openxmlformats.org/officeDocument/2006/relationships/hyperlink" Target="https://drive.google.com/open?id=1E5tfhkr9pZBYooqUQQy8UhvymaMIEns1" TargetMode="External"/><Relationship Id="rId850" Type="http://schemas.openxmlformats.org/officeDocument/2006/relationships/hyperlink" Target="https://drive.google.com/open?id=1Rah_orGRvz5hMjt0vAaQFSTmJ3RGNyO5" TargetMode="External"/><Relationship Id="rId409" Type="http://schemas.openxmlformats.org/officeDocument/2006/relationships/hyperlink" Target="https://drive.google.com/open?id=1qJRpLQ8Mltv5fNIUloFVs6SJPwhuZTCg" TargetMode="External"/><Relationship Id="rId404" Type="http://schemas.openxmlformats.org/officeDocument/2006/relationships/hyperlink" Target="https://drive.google.com/open?id=14b1pDR-KTbXB5cZXZeEJqkFjUJcYbDWc" TargetMode="External"/><Relationship Id="rId646" Type="http://schemas.openxmlformats.org/officeDocument/2006/relationships/hyperlink" Target="https://drive.google.com/open?id=1E9NEr2Tt-GtPt07j4RCbcWw7mY2hQbhK" TargetMode="External"/><Relationship Id="rId403" Type="http://schemas.openxmlformats.org/officeDocument/2006/relationships/hyperlink" Target="https://drive.google.com/open?id=1qA6uiAjpQYxH4Wy7OikbFqZhRCx093Os" TargetMode="External"/><Relationship Id="rId645" Type="http://schemas.openxmlformats.org/officeDocument/2006/relationships/hyperlink" Target="https://drive.google.com/open?id=1C2Mav7g1fXa95nODmhdl5CPXfKi9_sAu" TargetMode="External"/><Relationship Id="rId402" Type="http://schemas.openxmlformats.org/officeDocument/2006/relationships/hyperlink" Target="https://drive.google.com/open?id=1w1fTH_uFFMjHUoKs5Fliw5GbSVDiqJo7" TargetMode="External"/><Relationship Id="rId644" Type="http://schemas.openxmlformats.org/officeDocument/2006/relationships/hyperlink" Target="https://drive.google.com/open?id=1lPmtQ4olBgE5g621fVM0pcXqHfPJQw1P" TargetMode="External"/><Relationship Id="rId401" Type="http://schemas.openxmlformats.org/officeDocument/2006/relationships/hyperlink" Target="https://drive.google.com/open?id=11gxBJFuo1djywRVQHjySlediT_BtzdFr" TargetMode="External"/><Relationship Id="rId643" Type="http://schemas.openxmlformats.org/officeDocument/2006/relationships/hyperlink" Target="https://drive.google.com/open?id=1nYzvbH4TMIlRUovTBVNwE3jW7bsRQWrZ" TargetMode="External"/><Relationship Id="rId408" Type="http://schemas.openxmlformats.org/officeDocument/2006/relationships/hyperlink" Target="https://drive.google.com/open?id=1PPUgM4dRh76PI3sR_DG0YwoLOWWat4dB" TargetMode="External"/><Relationship Id="rId407" Type="http://schemas.openxmlformats.org/officeDocument/2006/relationships/hyperlink" Target="https://drive.google.com/open?id=14O93K3fyf0M7c_5ptOQ482RsT5IxOcew" TargetMode="External"/><Relationship Id="rId649" Type="http://schemas.openxmlformats.org/officeDocument/2006/relationships/hyperlink" Target="https://drive.google.com/open?id=1R7uBc2bMRjZz7t5sVTPk1zAfBJ5d6J7A" TargetMode="External"/><Relationship Id="rId406" Type="http://schemas.openxmlformats.org/officeDocument/2006/relationships/hyperlink" Target="https://drive.google.com/open?id=1_nkRGa45zMyQpUvVzjBzet6U-NF4cASX" TargetMode="External"/><Relationship Id="rId648" Type="http://schemas.openxmlformats.org/officeDocument/2006/relationships/hyperlink" Target="https://drive.google.com/open?id=1f-_JzavGv0MxsnDQ0r2BDTEID6zm5SfX" TargetMode="External"/><Relationship Id="rId405" Type="http://schemas.openxmlformats.org/officeDocument/2006/relationships/hyperlink" Target="https://drive.google.com/open?id=1bp0kBGgz36P5zaPOGUlZ0573iPbElE-R" TargetMode="External"/><Relationship Id="rId647" Type="http://schemas.openxmlformats.org/officeDocument/2006/relationships/hyperlink" Target="https://drive.google.com/open?id=11YaugSwqTAMu-Hk25eImKnsmfBzLE_7E" TargetMode="External"/><Relationship Id="rId400" Type="http://schemas.openxmlformats.org/officeDocument/2006/relationships/hyperlink" Target="https://drive.google.com/open?id=1IOQWzjDyqKCkpRfOtF0TF7xrjviKCsrA" TargetMode="External"/><Relationship Id="rId642" Type="http://schemas.openxmlformats.org/officeDocument/2006/relationships/hyperlink" Target="https://drive.google.com/open?id=1kxr2OPmy_JM3Umn4pQBGxSbkJ0qs8arK" TargetMode="External"/><Relationship Id="rId641" Type="http://schemas.openxmlformats.org/officeDocument/2006/relationships/hyperlink" Target="https://drive.google.com/open?id=1Ag7hKgkjrMzBwOZxgnYwSgYjlnSjPIbm" TargetMode="External"/><Relationship Id="rId640" Type="http://schemas.openxmlformats.org/officeDocument/2006/relationships/hyperlink" Target="https://drive.google.com/open?id=1tYZwkPMjNTMpiLxdEAs4RdTHdn1AGJ_p" TargetMode="External"/><Relationship Id="rId635" Type="http://schemas.openxmlformats.org/officeDocument/2006/relationships/hyperlink" Target="https://drive.google.com/open?id=11KjY9IiYNOTxn0jaNY3odvWqHcaQCHwO" TargetMode="External"/><Relationship Id="rId634" Type="http://schemas.openxmlformats.org/officeDocument/2006/relationships/hyperlink" Target="https://drive.google.com/open?id=1quoEWb93jnp-cM91d_SQ6v-w5EWPEYV4" TargetMode="External"/><Relationship Id="rId633" Type="http://schemas.openxmlformats.org/officeDocument/2006/relationships/hyperlink" Target="https://drive.google.com/open?id=1EGTJ-CFXnwGshUx-sRtfCXlkWHilyF-L" TargetMode="External"/><Relationship Id="rId632" Type="http://schemas.openxmlformats.org/officeDocument/2006/relationships/hyperlink" Target="https://drive.google.com/open?id=1BnUdM_JxKApiY72AdGuqda0RM7cP-y0l" TargetMode="External"/><Relationship Id="rId639" Type="http://schemas.openxmlformats.org/officeDocument/2006/relationships/hyperlink" Target="https://drive.google.com/open?id=1DZGpQh3gQXFheX9IQLtmdmA_L0tcTO3X" TargetMode="External"/><Relationship Id="rId638" Type="http://schemas.openxmlformats.org/officeDocument/2006/relationships/hyperlink" Target="https://drive.google.com/open?id=1Hml6GHS0m8IBkpn5qlbVJXhCv-Zg3SQM" TargetMode="External"/><Relationship Id="rId637" Type="http://schemas.openxmlformats.org/officeDocument/2006/relationships/hyperlink" Target="https://drive.google.com/open?id=1tI_w6dnH-7lrOcqzSxGr-r7fyBwtJv6O" TargetMode="External"/><Relationship Id="rId636" Type="http://schemas.openxmlformats.org/officeDocument/2006/relationships/hyperlink" Target="https://drive.google.com/open?id=12jHTNxUtHgsZeQQQ3EHudES2p1ZMUNVD" TargetMode="External"/><Relationship Id="rId631" Type="http://schemas.openxmlformats.org/officeDocument/2006/relationships/hyperlink" Target="https://drive.google.com/open?id=1Rl7XP0lYfNqItY6UDKMqAw7nKUs1Pi3D" TargetMode="External"/><Relationship Id="rId630" Type="http://schemas.openxmlformats.org/officeDocument/2006/relationships/hyperlink" Target="https://drive.google.com/open?id=1OSfv8_HdLHtNrMO8raQzg6ijK2wlXLAs" TargetMode="External"/><Relationship Id="rId870" Type="http://schemas.openxmlformats.org/officeDocument/2006/relationships/drawing" Target="../drawings/drawing1.xml"/><Relationship Id="rId829" Type="http://schemas.openxmlformats.org/officeDocument/2006/relationships/hyperlink" Target="https://drive.google.com/open?id=1tvsADfTDB1tD9DK0w6Mjp5zpfi5LcIz4" TargetMode="External"/><Relationship Id="rId828" Type="http://schemas.openxmlformats.org/officeDocument/2006/relationships/hyperlink" Target="https://drive.google.com/open?id=1AnFYGFVhE0TzkcC8WzR4AZsUNnXKwVoI" TargetMode="External"/><Relationship Id="rId827" Type="http://schemas.openxmlformats.org/officeDocument/2006/relationships/hyperlink" Target="https://drive.google.com/open?id=10MpwsgTyBIs-_KaTF3endt1xNgCX1aJP" TargetMode="External"/><Relationship Id="rId822" Type="http://schemas.openxmlformats.org/officeDocument/2006/relationships/hyperlink" Target="https://drive.google.com/open?id=1u3n7xzRsaoDrUVUlBSG1CunTEfABl8dW" TargetMode="External"/><Relationship Id="rId821" Type="http://schemas.openxmlformats.org/officeDocument/2006/relationships/hyperlink" Target="https://drive.google.com/open?id=1XTjsJz0-29pBv5IfrGrHiei9nxDsCmUb" TargetMode="External"/><Relationship Id="rId820" Type="http://schemas.openxmlformats.org/officeDocument/2006/relationships/hyperlink" Target="https://drive.google.com/open?id=1FFYAdLWhKYudkG0DbF42Q7lzex9hrR-f" TargetMode="External"/><Relationship Id="rId826" Type="http://schemas.openxmlformats.org/officeDocument/2006/relationships/hyperlink" Target="https://drive.google.com/open?id=10J9FGZ1LC3O1BFOV3Ka1OaIHscf9boF_" TargetMode="External"/><Relationship Id="rId825" Type="http://schemas.openxmlformats.org/officeDocument/2006/relationships/hyperlink" Target="https://drive.google.com/open?id=1CFiTqCt2fAw8XixvuX7wSO7Y8txRcoj2" TargetMode="External"/><Relationship Id="rId824" Type="http://schemas.openxmlformats.org/officeDocument/2006/relationships/hyperlink" Target="https://drive.google.com/open?id=1J5RcQ7R_hDGGbxs5JfLFPiYxzEFcaMjm" TargetMode="External"/><Relationship Id="rId823" Type="http://schemas.openxmlformats.org/officeDocument/2006/relationships/hyperlink" Target="https://drive.google.com/open?id=1feNQPNgXyf8tXw70iKorW3wp69GrIjP_" TargetMode="External"/><Relationship Id="rId819" Type="http://schemas.openxmlformats.org/officeDocument/2006/relationships/hyperlink" Target="https://drive.google.com/open?id=1CmHzLOsl53wNDI3lEguDINJ9jHpZCnWJ" TargetMode="External"/><Relationship Id="rId818" Type="http://schemas.openxmlformats.org/officeDocument/2006/relationships/hyperlink" Target="https://drive.google.com/open?id=1sVzAqy_t-p2SiupLzW8z4lSMfJvjbBDd" TargetMode="External"/><Relationship Id="rId817" Type="http://schemas.openxmlformats.org/officeDocument/2006/relationships/hyperlink" Target="https://drive.google.com/open?id=1pvNIoh9IOMhaY9KAFfODvnHh4tGnABdi" TargetMode="External"/><Relationship Id="rId816" Type="http://schemas.openxmlformats.org/officeDocument/2006/relationships/hyperlink" Target="https://drive.google.com/open?id=1Q1Az5rKeqD6W76sla9nue5r8thXTf-dl" TargetMode="External"/><Relationship Id="rId811" Type="http://schemas.openxmlformats.org/officeDocument/2006/relationships/hyperlink" Target="https://drive.google.com/open?id=12ANrxrv_u_hxdvhPqlbm2dXjciyHQh-B" TargetMode="External"/><Relationship Id="rId810" Type="http://schemas.openxmlformats.org/officeDocument/2006/relationships/hyperlink" Target="https://drive.google.com/open?id=1qi1904Ursfa_NuAo6BmvpbNd4YYJZfiX" TargetMode="External"/><Relationship Id="rId815" Type="http://schemas.openxmlformats.org/officeDocument/2006/relationships/hyperlink" Target="https://drive.google.com/open?id=1sG8x1AocMZJ1ywDamftRsxCPDQza4hoc" TargetMode="External"/><Relationship Id="rId814" Type="http://schemas.openxmlformats.org/officeDocument/2006/relationships/hyperlink" Target="https://drive.google.com/open?id=1rY6gyzS7y0p05XFWNPEwWo1gd7V1_PyS" TargetMode="External"/><Relationship Id="rId813" Type="http://schemas.openxmlformats.org/officeDocument/2006/relationships/hyperlink" Target="https://drive.google.com/open?id=1zDThpRnqpFsxKWJQEAA_DfigNajto0Ax" TargetMode="External"/><Relationship Id="rId812" Type="http://schemas.openxmlformats.org/officeDocument/2006/relationships/hyperlink" Target="https://drive.google.com/open?id=1COGNVx8sByACQb8FjYQagajrHSFvzY7d" TargetMode="External"/><Relationship Id="rId609" Type="http://schemas.openxmlformats.org/officeDocument/2006/relationships/hyperlink" Target="https://drive.google.com/open?id=1bI3x62eB-1-CekS-9-eaE8mtH5q4w4pa" TargetMode="External"/><Relationship Id="rId608" Type="http://schemas.openxmlformats.org/officeDocument/2006/relationships/hyperlink" Target="https://drive.google.com/open?id=1R1v1ZIv0AXQOOK_yMzQPm3l4NluckjUX" TargetMode="External"/><Relationship Id="rId607" Type="http://schemas.openxmlformats.org/officeDocument/2006/relationships/hyperlink" Target="https://drive.google.com/open?id=18OQ47W0gmSaxypeaDpN8HtjzznPc8wIY" TargetMode="External"/><Relationship Id="rId849" Type="http://schemas.openxmlformats.org/officeDocument/2006/relationships/hyperlink" Target="https://drive.google.com/open?id=1d7YDjmwgwVCOgX8sAb0kbNXetpL_q3-u" TargetMode="External"/><Relationship Id="rId602" Type="http://schemas.openxmlformats.org/officeDocument/2006/relationships/hyperlink" Target="https://drive.google.com/open?id=1v8UcZLGUFhMY0IolYdqG8znYSdUNTPsr" TargetMode="External"/><Relationship Id="rId844" Type="http://schemas.openxmlformats.org/officeDocument/2006/relationships/hyperlink" Target="https://drive.google.com/open?id=1dZyJXi3fyIVtKhmJQZat2ZB8Cuo_1DeG" TargetMode="External"/><Relationship Id="rId601" Type="http://schemas.openxmlformats.org/officeDocument/2006/relationships/hyperlink" Target="https://drive.google.com/open?id=16l99kZ8OrlRealOTWa5irVyQdNFjSUet" TargetMode="External"/><Relationship Id="rId843" Type="http://schemas.openxmlformats.org/officeDocument/2006/relationships/hyperlink" Target="https://drive.google.com/open?id=1eQFgZ3X0NczH776fnfaqXIRXCNKIk4yj" TargetMode="External"/><Relationship Id="rId600" Type="http://schemas.openxmlformats.org/officeDocument/2006/relationships/hyperlink" Target="https://drive.google.com/open?id=1vrqf0KTYT73kq6pTde7gmVpLW9CjoR6K" TargetMode="External"/><Relationship Id="rId842" Type="http://schemas.openxmlformats.org/officeDocument/2006/relationships/hyperlink" Target="https://drive.google.com/open?id=1gO4VMOZUEkP0rc6GBqM5CMOcPvo1js9Q" TargetMode="External"/><Relationship Id="rId841" Type="http://schemas.openxmlformats.org/officeDocument/2006/relationships/hyperlink" Target="https://drive.google.com/open?id=17tFLMgsSvxneSUeGHTflcaeB0ctPn94S" TargetMode="External"/><Relationship Id="rId606" Type="http://schemas.openxmlformats.org/officeDocument/2006/relationships/hyperlink" Target="https://drive.google.com/open?id=1V09x5IpNvn90rmR0Oo5kIQqR0eVnRi1C" TargetMode="External"/><Relationship Id="rId848" Type="http://schemas.openxmlformats.org/officeDocument/2006/relationships/hyperlink" Target="https://drive.google.com/open?id=1vNXrtx-xluqHxISl9uFHm69wZAqKOxMV" TargetMode="External"/><Relationship Id="rId605" Type="http://schemas.openxmlformats.org/officeDocument/2006/relationships/hyperlink" Target="https://drive.google.com/open?id=1o-_3pxPEWm5LaQnT5U5y_ic_DHdBuRnb" TargetMode="External"/><Relationship Id="rId847" Type="http://schemas.openxmlformats.org/officeDocument/2006/relationships/hyperlink" Target="https://drive.google.com/open?id=1fWluReGUM6a8wZZXPaJj032BVoc7-NqV" TargetMode="External"/><Relationship Id="rId604" Type="http://schemas.openxmlformats.org/officeDocument/2006/relationships/hyperlink" Target="https://drive.google.com/open?id=1_30COL_peTtNcuoYqiP2FKQc9nDmzi7S" TargetMode="External"/><Relationship Id="rId846" Type="http://schemas.openxmlformats.org/officeDocument/2006/relationships/hyperlink" Target="https://drive.google.com/open?id=1mLIwzl9YZ6_fYyz5ZVE1D_ZyF_e03hnF" TargetMode="External"/><Relationship Id="rId603" Type="http://schemas.openxmlformats.org/officeDocument/2006/relationships/hyperlink" Target="https://drive.google.com/open?id=15nO81fDBMjFDfP2cJCVA7OxMzIQyMmsa" TargetMode="External"/><Relationship Id="rId845" Type="http://schemas.openxmlformats.org/officeDocument/2006/relationships/hyperlink" Target="https://drive.google.com/open?id=1MskHqZjXzs3XvCqk1yxnzGd_zSdIyS3d" TargetMode="External"/><Relationship Id="rId840" Type="http://schemas.openxmlformats.org/officeDocument/2006/relationships/hyperlink" Target="https://drive.google.com/open?id=1z2pULVOSAsS3xwGW4hsIy7d4knZV0FFT" TargetMode="External"/><Relationship Id="rId839" Type="http://schemas.openxmlformats.org/officeDocument/2006/relationships/hyperlink" Target="https://drive.google.com/open?id=1A2XtaRvJA-apj1qbwwfdmMETgu19Cai3" TargetMode="External"/><Relationship Id="rId838" Type="http://schemas.openxmlformats.org/officeDocument/2006/relationships/hyperlink" Target="https://drive.google.com/open?id=1PwyYqKVsCUnTC20sUtZIuU1RbJ6krZFb" TargetMode="External"/><Relationship Id="rId833" Type="http://schemas.openxmlformats.org/officeDocument/2006/relationships/hyperlink" Target="https://drive.google.com/open?id=1jCrs3UACKvA2DN5a9Ue1HCv5gEPamN-K" TargetMode="External"/><Relationship Id="rId832" Type="http://schemas.openxmlformats.org/officeDocument/2006/relationships/hyperlink" Target="https://drive.google.com/open?id=1i-SfeZFbL65_xgqCvRW-CDJoZsNa7xHC" TargetMode="External"/><Relationship Id="rId831" Type="http://schemas.openxmlformats.org/officeDocument/2006/relationships/hyperlink" Target="https://drive.google.com/open?id=1cz0FFK9BDnN2Kr_LhDrcq3x7r86rkILr" TargetMode="External"/><Relationship Id="rId830" Type="http://schemas.openxmlformats.org/officeDocument/2006/relationships/hyperlink" Target="https://drive.google.com/open?id=1iVuRiK70lasg3TaLsilTvD0UPrj8mP3H" TargetMode="External"/><Relationship Id="rId837" Type="http://schemas.openxmlformats.org/officeDocument/2006/relationships/hyperlink" Target="https://drive.google.com/open?id=13qNbEA6KlEY8mXYV4PRRCx8wUpIueNpY" TargetMode="External"/><Relationship Id="rId836" Type="http://schemas.openxmlformats.org/officeDocument/2006/relationships/hyperlink" Target="https://drive.google.com/open?id=15fb-sYo09bay-n111L7OFNwrM9vXhzm3" TargetMode="External"/><Relationship Id="rId835" Type="http://schemas.openxmlformats.org/officeDocument/2006/relationships/hyperlink" Target="https://drive.google.com/open?id=1mlNLWV4q16r0MFC-dATVDby0F4P_Xppr" TargetMode="External"/><Relationship Id="rId834" Type="http://schemas.openxmlformats.org/officeDocument/2006/relationships/hyperlink" Target="https://drive.google.com/open?id=17foWc21hs58E39KstTUwf1IzNp8uTz0A" TargetMode="External"/><Relationship Id="rId228" Type="http://schemas.openxmlformats.org/officeDocument/2006/relationships/hyperlink" Target="https://drive.google.com/open?id=1zyEHgX5SNhIHBNCFmzQPOMADPue5hlB3" TargetMode="External"/><Relationship Id="rId227" Type="http://schemas.openxmlformats.org/officeDocument/2006/relationships/hyperlink" Target="https://drive.google.com/open?id=15nYCGgczcfLoQpJSCgs_iKoGEl7wUrtl" TargetMode="External"/><Relationship Id="rId469" Type="http://schemas.openxmlformats.org/officeDocument/2006/relationships/hyperlink" Target="https://drive.google.com/open?id=1cWj8q_iGsGiTf-QtOEMhhe6cpaOOAEkL" TargetMode="External"/><Relationship Id="rId226" Type="http://schemas.openxmlformats.org/officeDocument/2006/relationships/hyperlink" Target="https://drive.google.com/open?id=1nhOZiGqdNFq_B149aSXHUUr2aIX1gR4L" TargetMode="External"/><Relationship Id="rId468" Type="http://schemas.openxmlformats.org/officeDocument/2006/relationships/hyperlink" Target="https://drive.google.com/open?id=1I8KlNjAGpc64o0qhRppi5QIvPkWQeJMV" TargetMode="External"/><Relationship Id="rId225" Type="http://schemas.openxmlformats.org/officeDocument/2006/relationships/hyperlink" Target="https://drive.google.com/open?id=1UCjSrzLMtOfqGld-0X3R3zrIHkbgQ6qj" TargetMode="External"/><Relationship Id="rId467" Type="http://schemas.openxmlformats.org/officeDocument/2006/relationships/hyperlink" Target="https://drive.google.com/open?id=1NVketHPSmDqe9XA15uxPfTt7mrdMd-CQ" TargetMode="External"/><Relationship Id="rId229" Type="http://schemas.openxmlformats.org/officeDocument/2006/relationships/hyperlink" Target="https://drive.google.com/open?id=1adaaIcER1P0rk0X63Qhp8vk3Sr1N-zns" TargetMode="External"/><Relationship Id="rId220" Type="http://schemas.openxmlformats.org/officeDocument/2006/relationships/hyperlink" Target="https://drive.google.com/open?id=1Jpjr0N5D0G06RQkJ2SavRZo93UDmq6Qw" TargetMode="External"/><Relationship Id="rId462" Type="http://schemas.openxmlformats.org/officeDocument/2006/relationships/hyperlink" Target="https://drive.google.com/open?id=15w6Yb1eW89ObUHfbMyuT4KXl_Od6Wnk0" TargetMode="External"/><Relationship Id="rId461" Type="http://schemas.openxmlformats.org/officeDocument/2006/relationships/hyperlink" Target="https://drive.google.com/open?id=1wEcpfbOe199ThdIAj4kFRD-2A2iRXK0D" TargetMode="External"/><Relationship Id="rId460" Type="http://schemas.openxmlformats.org/officeDocument/2006/relationships/hyperlink" Target="https://drive.google.com/open?id=19m7_AgqO_mL9yfDac-KBolMYF6OmqRLa" TargetMode="External"/><Relationship Id="rId224" Type="http://schemas.openxmlformats.org/officeDocument/2006/relationships/hyperlink" Target="https://drive.google.com/open?id=1wEudBrdI2W3Pz1XtS4VesXlDN0xJzpeZ" TargetMode="External"/><Relationship Id="rId466" Type="http://schemas.openxmlformats.org/officeDocument/2006/relationships/hyperlink" Target="https://drive.google.com/open?id=1D64pNL3vqNnGJeoZC1ZpQNVXzcFXV3-U" TargetMode="External"/><Relationship Id="rId223" Type="http://schemas.openxmlformats.org/officeDocument/2006/relationships/hyperlink" Target="https://drive.google.com/open?id=1MXhxaCAcFD-9gSk8xsE4MKSrjGtF3l1W" TargetMode="External"/><Relationship Id="rId465" Type="http://schemas.openxmlformats.org/officeDocument/2006/relationships/hyperlink" Target="https://drive.google.com/open?id=1_uFnooShNgJKy19-rfg-ur94WQijzbaV" TargetMode="External"/><Relationship Id="rId222" Type="http://schemas.openxmlformats.org/officeDocument/2006/relationships/hyperlink" Target="https://drive.google.com/open?id=1JrvwPsXrlAitY5AyOCsMgvL3AeYoBhfz" TargetMode="External"/><Relationship Id="rId464" Type="http://schemas.openxmlformats.org/officeDocument/2006/relationships/hyperlink" Target="https://drive.google.com/open?id=1JpiidJWmn5J2Crdw86fK5xD8Ls7kHCxt" TargetMode="External"/><Relationship Id="rId221" Type="http://schemas.openxmlformats.org/officeDocument/2006/relationships/hyperlink" Target="https://drive.google.com/open?id=1H62e5ZaRiA4A0ABRENST9Zu6U2EEa14d" TargetMode="External"/><Relationship Id="rId463" Type="http://schemas.openxmlformats.org/officeDocument/2006/relationships/hyperlink" Target="https://drive.google.com/open?id=1mp9__-glfMUrv41YKiEUy2dduff-QFDr" TargetMode="External"/><Relationship Id="rId217" Type="http://schemas.openxmlformats.org/officeDocument/2006/relationships/hyperlink" Target="https://drive.google.com/open?id=12pu42ccmfRgez8rLGIHoM-r-j1s2GV49" TargetMode="External"/><Relationship Id="rId459" Type="http://schemas.openxmlformats.org/officeDocument/2006/relationships/hyperlink" Target="https://drive.google.com/open?id=1-qoTnKCV8kEkpW3HQNQe1oHVOSuzyTyq" TargetMode="External"/><Relationship Id="rId216" Type="http://schemas.openxmlformats.org/officeDocument/2006/relationships/hyperlink" Target="https://drive.google.com/open?id=1NdB7Q2SwPBRjMA43RhiZhhMZuRf8rbSa" TargetMode="External"/><Relationship Id="rId458" Type="http://schemas.openxmlformats.org/officeDocument/2006/relationships/hyperlink" Target="https://drive.google.com/open?id=1kQIxVrSzs3pzCK4q1x-Aim1_ziGYDUhB" TargetMode="External"/><Relationship Id="rId215" Type="http://schemas.openxmlformats.org/officeDocument/2006/relationships/hyperlink" Target="https://drive.google.com/open?id=1K27LpZvZCr41G-Q0JgC5_8sv8-cS2sf6" TargetMode="External"/><Relationship Id="rId457" Type="http://schemas.openxmlformats.org/officeDocument/2006/relationships/hyperlink" Target="https://drive.google.com/open?id=14moS-ODnMbwnEjokk2C-p_XQPrACm6gV" TargetMode="External"/><Relationship Id="rId699" Type="http://schemas.openxmlformats.org/officeDocument/2006/relationships/hyperlink" Target="https://drive.google.com/open?id=1GE7wkgUlunkmrkkIIkVN_acDDoKXk99S" TargetMode="External"/><Relationship Id="rId214" Type="http://schemas.openxmlformats.org/officeDocument/2006/relationships/hyperlink" Target="https://drive.google.com/open?id=1cNKCeSDtA-FqU_AYA6rCIgp2qSJwZjag" TargetMode="External"/><Relationship Id="rId456" Type="http://schemas.openxmlformats.org/officeDocument/2006/relationships/hyperlink" Target="https://drive.google.com/open?id=16wwMWuD1Z9s4kUqoSl9xWoS9Aju-RNcV" TargetMode="External"/><Relationship Id="rId698" Type="http://schemas.openxmlformats.org/officeDocument/2006/relationships/hyperlink" Target="https://drive.google.com/open?id=1jKwZTOLv6h7pHsmtdUp6LJlRM6ILO1Eb" TargetMode="External"/><Relationship Id="rId219" Type="http://schemas.openxmlformats.org/officeDocument/2006/relationships/hyperlink" Target="https://drive.google.com/open?id=1UwY72MjIu6MqVTJ0_vBvnmAhzX010k0n" TargetMode="External"/><Relationship Id="rId218" Type="http://schemas.openxmlformats.org/officeDocument/2006/relationships/hyperlink" Target="https://drive.google.com/open?id=1yNHdSZ616FUdRgCQ4UhHJFtoj2vCNHie" TargetMode="External"/><Relationship Id="rId451" Type="http://schemas.openxmlformats.org/officeDocument/2006/relationships/hyperlink" Target="https://drive.google.com/open?id=1yvSW809_8cKFjkZ4BLgjc1CNUThZq0Kl" TargetMode="External"/><Relationship Id="rId693" Type="http://schemas.openxmlformats.org/officeDocument/2006/relationships/hyperlink" Target="https://drive.google.com/open?id=1mS9-mrWSTTaoDnr5VehdWJzAR0iYow0I" TargetMode="External"/><Relationship Id="rId450" Type="http://schemas.openxmlformats.org/officeDocument/2006/relationships/hyperlink" Target="https://drive.google.com/open?id=1do36p7w3Fj9GH469WzpHyHAbT2VDJbew" TargetMode="External"/><Relationship Id="rId692" Type="http://schemas.openxmlformats.org/officeDocument/2006/relationships/hyperlink" Target="https://drive.google.com/open?id=1wcZnQfd_eSb0l7d36lhJmbgNFW97910G" TargetMode="External"/><Relationship Id="rId691" Type="http://schemas.openxmlformats.org/officeDocument/2006/relationships/hyperlink" Target="https://drive.google.com/open?id=1N35tc77yMm-tLpDtB-bS2dPXTrBNlSLM" TargetMode="External"/><Relationship Id="rId690" Type="http://schemas.openxmlformats.org/officeDocument/2006/relationships/hyperlink" Target="https://drive.google.com/open?id=1QMo9VUlyBNC4rZABdBry1l9DtCSmbS24" TargetMode="External"/><Relationship Id="rId213" Type="http://schemas.openxmlformats.org/officeDocument/2006/relationships/hyperlink" Target="https://drive.google.com/open?id=1mGHcYSgk6FQi1_ZqS4oTCumZrN4fUEdj" TargetMode="External"/><Relationship Id="rId455" Type="http://schemas.openxmlformats.org/officeDocument/2006/relationships/hyperlink" Target="https://drive.google.com/open?id=1Ai1A3cfQBFlX9xglFZH0nJnnrZ60Jdzj" TargetMode="External"/><Relationship Id="rId697" Type="http://schemas.openxmlformats.org/officeDocument/2006/relationships/hyperlink" Target="https://drive.google.com/open?id=1-fXveZaPPMd06QuFnZMr_EmXBKN_UjCk" TargetMode="External"/><Relationship Id="rId212" Type="http://schemas.openxmlformats.org/officeDocument/2006/relationships/hyperlink" Target="https://drive.google.com/open?id=1W68evWfmMyMrQOs-p5jFAtD9KO5sgME0" TargetMode="External"/><Relationship Id="rId454" Type="http://schemas.openxmlformats.org/officeDocument/2006/relationships/hyperlink" Target="https://drive.google.com/open?id=1K_MQjJPu3ghKkP47rtw641izM2rooS1Q" TargetMode="External"/><Relationship Id="rId696" Type="http://schemas.openxmlformats.org/officeDocument/2006/relationships/hyperlink" Target="https://drive.google.com/open?id=1XfERPLZmAQngetUOd_0aRaY6ajtPmGe7" TargetMode="External"/><Relationship Id="rId211" Type="http://schemas.openxmlformats.org/officeDocument/2006/relationships/hyperlink" Target="https://drive.google.com/open?id=1QU7pz7fbtK9MLsM0XqTU-b7x8gU5AYv9" TargetMode="External"/><Relationship Id="rId453" Type="http://schemas.openxmlformats.org/officeDocument/2006/relationships/hyperlink" Target="https://drive.google.com/open?id=1-R1EGSQTRmb9cwNSs5iUuKM9yQ4nsl-o" TargetMode="External"/><Relationship Id="rId695" Type="http://schemas.openxmlformats.org/officeDocument/2006/relationships/hyperlink" Target="https://drive.google.com/open?id=1tHSkLw_tTbq1TCdjs6BO7SgnEoJEzcq7" TargetMode="External"/><Relationship Id="rId210" Type="http://schemas.openxmlformats.org/officeDocument/2006/relationships/hyperlink" Target="https://drive.google.com/open?id=16iS-yJAuvJPI44wufzSMiQ6saVM5yeA-" TargetMode="External"/><Relationship Id="rId452" Type="http://schemas.openxmlformats.org/officeDocument/2006/relationships/hyperlink" Target="https://drive.google.com/open?id=1MnifI03MlYiMgiNcmBEK0SnzXUxuMqqO" TargetMode="External"/><Relationship Id="rId694" Type="http://schemas.openxmlformats.org/officeDocument/2006/relationships/hyperlink" Target="https://drive.google.com/open?id=1YxaXw_crsDqXmaqZt0C9Z1v9YDVLZZao" TargetMode="External"/><Relationship Id="rId491" Type="http://schemas.openxmlformats.org/officeDocument/2006/relationships/hyperlink" Target="https://drive.google.com/open?id=1Du8VcrrSFRx6zAXrGhBomBQ7q5_3Zqaq" TargetMode="External"/><Relationship Id="rId490" Type="http://schemas.openxmlformats.org/officeDocument/2006/relationships/hyperlink" Target="https://drive.google.com/open?id=1gltSndOtV0pBsvH8bhb1HhVo0G4YhTg8" TargetMode="External"/><Relationship Id="rId249" Type="http://schemas.openxmlformats.org/officeDocument/2006/relationships/hyperlink" Target="https://drive.google.com/open?id=1g0PR6HJsopG1fwRtFsZbXAeOqwPQXETY" TargetMode="External"/><Relationship Id="rId248" Type="http://schemas.openxmlformats.org/officeDocument/2006/relationships/hyperlink" Target="https://drive.google.com/open?id=1r_WAuZTumqcwQPN0aSjyS8cloOlEtUpO" TargetMode="External"/><Relationship Id="rId247" Type="http://schemas.openxmlformats.org/officeDocument/2006/relationships/hyperlink" Target="https://drive.google.com/open?id=1ExUNAkT55tpHnVkKoAv9Ves7Z1yKAjaf" TargetMode="External"/><Relationship Id="rId489" Type="http://schemas.openxmlformats.org/officeDocument/2006/relationships/hyperlink" Target="https://drive.google.com/open?id=11pcVMp1bx--siT6Hw1xeTQQ0ZReaWh2F" TargetMode="External"/><Relationship Id="rId242" Type="http://schemas.openxmlformats.org/officeDocument/2006/relationships/hyperlink" Target="https://drive.google.com/open?id=1s2cxQ0uiz1bEoNFxKvrYm8y1iuEqz9p8" TargetMode="External"/><Relationship Id="rId484" Type="http://schemas.openxmlformats.org/officeDocument/2006/relationships/hyperlink" Target="https://drive.google.com/open?id=1V65nc0eMjp-wbITbCv7fcOGieAhT2JQo" TargetMode="External"/><Relationship Id="rId241" Type="http://schemas.openxmlformats.org/officeDocument/2006/relationships/hyperlink" Target="https://drive.google.com/open?id=1XTZyrVhS9i0XolKgSlThXhxNV0kpDYql" TargetMode="External"/><Relationship Id="rId483" Type="http://schemas.openxmlformats.org/officeDocument/2006/relationships/hyperlink" Target="https://drive.google.com/open?id=19vijYFCfae0ibKEMck43gGxe0oRKG_3E" TargetMode="External"/><Relationship Id="rId240" Type="http://schemas.openxmlformats.org/officeDocument/2006/relationships/hyperlink" Target="https://drive.google.com/open?id=1QVocPQUN0Vhxeli0H7l4bYZJEoZKIjX2" TargetMode="External"/><Relationship Id="rId482" Type="http://schemas.openxmlformats.org/officeDocument/2006/relationships/hyperlink" Target="https://drive.google.com/open?id=1JaSgEWmm3KnlL9GQWI0F_eBcurhTmNer" TargetMode="External"/><Relationship Id="rId481" Type="http://schemas.openxmlformats.org/officeDocument/2006/relationships/hyperlink" Target="https://drive.google.com/open?id=185NY-2nw3dvpdn6i2CUboRcIeuzoIp4n" TargetMode="External"/><Relationship Id="rId246" Type="http://schemas.openxmlformats.org/officeDocument/2006/relationships/hyperlink" Target="https://drive.google.com/open?id=1X4XnIwP-lbMjcgyduUAUjnoYumWx15wq" TargetMode="External"/><Relationship Id="rId488" Type="http://schemas.openxmlformats.org/officeDocument/2006/relationships/hyperlink" Target="https://drive.google.com/open?id=18hGzfji3r6RfpbAP_gI-XKTpHeovXPwJ" TargetMode="External"/><Relationship Id="rId245" Type="http://schemas.openxmlformats.org/officeDocument/2006/relationships/hyperlink" Target="https://drive.google.com/open?id=1xlWHQDBBm_7NnlVgaTCVWyXwAkys4d0M" TargetMode="External"/><Relationship Id="rId487" Type="http://schemas.openxmlformats.org/officeDocument/2006/relationships/hyperlink" Target="https://drive.google.com/open?id=10PzVBvKXGMe77xmdGGAa7NofqBKqYKmG" TargetMode="External"/><Relationship Id="rId244" Type="http://schemas.openxmlformats.org/officeDocument/2006/relationships/hyperlink" Target="https://drive.google.com/open?id=10RCSZZU-_TEOS9ukDRi2r_LMTur96V1u" TargetMode="External"/><Relationship Id="rId486" Type="http://schemas.openxmlformats.org/officeDocument/2006/relationships/hyperlink" Target="https://drive.google.com/open?id=1D7PjqxlKtG7uMhZNNV2fiWKtlVsmvUW5" TargetMode="External"/><Relationship Id="rId243" Type="http://schemas.openxmlformats.org/officeDocument/2006/relationships/hyperlink" Target="https://drive.google.com/open?id=1R6tmCH4Iq3YQTSSDrp3YQCGLvl1ZTkfB" TargetMode="External"/><Relationship Id="rId485" Type="http://schemas.openxmlformats.org/officeDocument/2006/relationships/hyperlink" Target="https://drive.google.com/open?id=1KhUSmP1TQL3ruQHOEb-rFeIFrdDryKtr" TargetMode="External"/><Relationship Id="rId480" Type="http://schemas.openxmlformats.org/officeDocument/2006/relationships/hyperlink" Target="https://drive.google.com/open?id=1DVl0yDfKMITXrwiyIa0Nr-fhpWj8oCjh" TargetMode="External"/><Relationship Id="rId239" Type="http://schemas.openxmlformats.org/officeDocument/2006/relationships/hyperlink" Target="https://drive.google.com/open?id=13ZPBnpirwSL6yvAxEJ9ieIZ9tmEfFQUo" TargetMode="External"/><Relationship Id="rId238" Type="http://schemas.openxmlformats.org/officeDocument/2006/relationships/hyperlink" Target="https://drive.google.com/open?id=1EXaajhnQBf0MzkrUjKB24GovwsSD0amm" TargetMode="External"/><Relationship Id="rId237" Type="http://schemas.openxmlformats.org/officeDocument/2006/relationships/hyperlink" Target="https://drive.google.com/open?id=1ctaSE-D3YpbhVyl4oXQjeJCvVq40t75M" TargetMode="External"/><Relationship Id="rId479" Type="http://schemas.openxmlformats.org/officeDocument/2006/relationships/hyperlink" Target="https://drive.google.com/open?id=14ktj-oeGtxb6Y7jXnV8brjkvaubXNtRX" TargetMode="External"/><Relationship Id="rId236" Type="http://schemas.openxmlformats.org/officeDocument/2006/relationships/hyperlink" Target="https://drive.google.com/open?id=1Nl-Pe356aPX42IuqePYO4eNliAMuyRFu" TargetMode="External"/><Relationship Id="rId478" Type="http://schemas.openxmlformats.org/officeDocument/2006/relationships/hyperlink" Target="https://drive.google.com/open?id=11MPCDHIrZQkYY2sLSIWIh2w_dt90rWNo" TargetMode="External"/><Relationship Id="rId231" Type="http://schemas.openxmlformats.org/officeDocument/2006/relationships/hyperlink" Target="https://drive.google.com/open?id=1FRer9vY6avkKjSyNH5g0hZAF1AeowCny" TargetMode="External"/><Relationship Id="rId473" Type="http://schemas.openxmlformats.org/officeDocument/2006/relationships/hyperlink" Target="https://drive.google.com/open?id=1lP57YkKPNlGRCEFEfxdAWlbCQFb5qHcN" TargetMode="External"/><Relationship Id="rId230" Type="http://schemas.openxmlformats.org/officeDocument/2006/relationships/hyperlink" Target="https://drive.google.com/open?id=1tLl3II8O_wuf5zuLMzM9Ob5dQnY7nQZT" TargetMode="External"/><Relationship Id="rId472" Type="http://schemas.openxmlformats.org/officeDocument/2006/relationships/hyperlink" Target="https://drive.google.com/open?id=16OuXU33l4Y-PIcNTQ-UFiUhx5TZZ9yb6" TargetMode="External"/><Relationship Id="rId471" Type="http://schemas.openxmlformats.org/officeDocument/2006/relationships/hyperlink" Target="https://drive.google.com/open?id=198DQVgBh797dNSKevQUXCZEwqr-MDTIq" TargetMode="External"/><Relationship Id="rId470" Type="http://schemas.openxmlformats.org/officeDocument/2006/relationships/hyperlink" Target="https://drive.google.com/open?id=16Q_2vVFDuSJPQThZ_aWiYbCnZY_73R_i" TargetMode="External"/><Relationship Id="rId235" Type="http://schemas.openxmlformats.org/officeDocument/2006/relationships/hyperlink" Target="https://drive.google.com/open?id=1CoEuDvO9T279BGeyOdMq8wznv8VY1ko5" TargetMode="External"/><Relationship Id="rId477" Type="http://schemas.openxmlformats.org/officeDocument/2006/relationships/hyperlink" Target="https://drive.google.com/open?id=1Jsh995DeeF-8q8aoI6tTbqiw7u6Pd21L" TargetMode="External"/><Relationship Id="rId234" Type="http://schemas.openxmlformats.org/officeDocument/2006/relationships/hyperlink" Target="https://drive.google.com/open?id=1-O2lORQALXaJh8-Jp1WMMvnTOjgSo8g0" TargetMode="External"/><Relationship Id="rId476" Type="http://schemas.openxmlformats.org/officeDocument/2006/relationships/hyperlink" Target="https://drive.google.com/open?id=121UMmHJdUrg5rbJtEmR_2GSAbBSev4uE" TargetMode="External"/><Relationship Id="rId233" Type="http://schemas.openxmlformats.org/officeDocument/2006/relationships/hyperlink" Target="https://drive.google.com/open?id=17f8vSx6oVLK_cSURhChiQ2lCSlRAhMs0" TargetMode="External"/><Relationship Id="rId475" Type="http://schemas.openxmlformats.org/officeDocument/2006/relationships/hyperlink" Target="https://drive.google.com/open?id=1cDwsUwMVEJlfImaQ-hsjHWxkHzh5e9ac" TargetMode="External"/><Relationship Id="rId232" Type="http://schemas.openxmlformats.org/officeDocument/2006/relationships/hyperlink" Target="https://drive.google.com/open?id=1daOr5jym1DdSXLk7DetcaIjOLbbIlksb" TargetMode="External"/><Relationship Id="rId474" Type="http://schemas.openxmlformats.org/officeDocument/2006/relationships/hyperlink" Target="https://drive.google.com/open?id=1p_NlO_MmXgAFoJCl0bzxqJoVxnQqKg0d" TargetMode="External"/><Relationship Id="rId426" Type="http://schemas.openxmlformats.org/officeDocument/2006/relationships/hyperlink" Target="https://drive.google.com/open?id=1mExuyU2VNmXHzt3FOGL0_3QKQ2IIwl7r" TargetMode="External"/><Relationship Id="rId668" Type="http://schemas.openxmlformats.org/officeDocument/2006/relationships/hyperlink" Target="https://drive.google.com/open?id=1HfOiTKxtMnYQkUUPfRnaCCRphd7AfWMx" TargetMode="External"/><Relationship Id="rId425" Type="http://schemas.openxmlformats.org/officeDocument/2006/relationships/hyperlink" Target="https://drive.google.com/open?id=1B5xegRgrAzN7cb7S2IWuOGg98pDSv13J" TargetMode="External"/><Relationship Id="rId667" Type="http://schemas.openxmlformats.org/officeDocument/2006/relationships/hyperlink" Target="https://drive.google.com/open?id=1mY6dhmyB6CtGehJI9lXk7xLVgIt0ISCX" TargetMode="External"/><Relationship Id="rId424" Type="http://schemas.openxmlformats.org/officeDocument/2006/relationships/hyperlink" Target="https://drive.google.com/open?id=1mPd0XeJNWTSkybOdlb67sB7MnhzZVz8l" TargetMode="External"/><Relationship Id="rId666" Type="http://schemas.openxmlformats.org/officeDocument/2006/relationships/hyperlink" Target="https://drive.google.com/open?id=1_Rr7zDDJ4LVgEk2PdyxVynda79FdOgCn" TargetMode="External"/><Relationship Id="rId423" Type="http://schemas.openxmlformats.org/officeDocument/2006/relationships/hyperlink" Target="https://drive.google.com/open?id=18ooYuENJ1O53LoOtTt22OI2xBzzo9a9W" TargetMode="External"/><Relationship Id="rId665" Type="http://schemas.openxmlformats.org/officeDocument/2006/relationships/hyperlink" Target="https://drive.google.com/open?id=1gAwA0U1EDEiIoW9eqG7IjVO97Cu4WQk_" TargetMode="External"/><Relationship Id="rId429" Type="http://schemas.openxmlformats.org/officeDocument/2006/relationships/hyperlink" Target="https://drive.google.com/open?id=1aKGSCCeogYq8pmTu79MwJW2FtBctQMXB" TargetMode="External"/><Relationship Id="rId428" Type="http://schemas.openxmlformats.org/officeDocument/2006/relationships/hyperlink" Target="https://drive.google.com/open?id=1jsJGH-ki4ODSRb92xjMz2RWVwFKL3NSI" TargetMode="External"/><Relationship Id="rId427" Type="http://schemas.openxmlformats.org/officeDocument/2006/relationships/hyperlink" Target="https://drive.google.com/open?id=1c-C5DNnjBSKlZC1eiHlzkZK5rpAz54g-" TargetMode="External"/><Relationship Id="rId669" Type="http://schemas.openxmlformats.org/officeDocument/2006/relationships/hyperlink" Target="https://drive.google.com/open?id=1EH_dwDTjwnFasitYbpvsg8NlL3vlh6ZD" TargetMode="External"/><Relationship Id="rId660" Type="http://schemas.openxmlformats.org/officeDocument/2006/relationships/hyperlink" Target="https://drive.google.com/open?id=10m7_HSv4bGJMgWgTWCjwqcnI3O7Sbw4_" TargetMode="External"/><Relationship Id="rId422" Type="http://schemas.openxmlformats.org/officeDocument/2006/relationships/hyperlink" Target="https://drive.google.com/open?id=1-5Dm_VRKKslX8Ci_ObO5Cg4u9N6k78aZ" TargetMode="External"/><Relationship Id="rId664" Type="http://schemas.openxmlformats.org/officeDocument/2006/relationships/hyperlink" Target="https://drive.google.com/open?id=17hUbQ9py4lo5IMbM4PPTXjHpY40F3c4S" TargetMode="External"/><Relationship Id="rId421" Type="http://schemas.openxmlformats.org/officeDocument/2006/relationships/hyperlink" Target="https://drive.google.com/open?id=1jVqztgd28O3ChPgYfjRdyXNgl-HhMdt8" TargetMode="External"/><Relationship Id="rId663" Type="http://schemas.openxmlformats.org/officeDocument/2006/relationships/hyperlink" Target="https://drive.google.com/open?id=1tXNFkGmbJG1tiFECUmSUke3zOUNqFZDK" TargetMode="External"/><Relationship Id="rId420" Type="http://schemas.openxmlformats.org/officeDocument/2006/relationships/hyperlink" Target="https://drive.google.com/open?id=1S6xh5qHy529vDJuqwNlRg-CBm2N1Cmuz" TargetMode="External"/><Relationship Id="rId662" Type="http://schemas.openxmlformats.org/officeDocument/2006/relationships/hyperlink" Target="https://drive.google.com/open?id=1uMgt-FPI9OvaF_9iE6OXEtzCeLq9Gp45" TargetMode="External"/><Relationship Id="rId661" Type="http://schemas.openxmlformats.org/officeDocument/2006/relationships/hyperlink" Target="https://drive.google.com/open?id=1sJU131v9r8nxDFH3XcOxFd0zmNJPLCKA" TargetMode="External"/><Relationship Id="rId415" Type="http://schemas.openxmlformats.org/officeDocument/2006/relationships/hyperlink" Target="https://drive.google.com/open?id=1_2KxJQ8-o9_PQDPtArQGMjPKfacqlaHa" TargetMode="External"/><Relationship Id="rId657" Type="http://schemas.openxmlformats.org/officeDocument/2006/relationships/hyperlink" Target="https://drive.google.com/open?id=1bdXgY0IShNdHgHSz046vyz66YHhVD2g0" TargetMode="External"/><Relationship Id="rId414" Type="http://schemas.openxmlformats.org/officeDocument/2006/relationships/hyperlink" Target="https://drive.google.com/open?id=1dEdS-P5cRarLpwck30iCMGcXhjuOwIRc" TargetMode="External"/><Relationship Id="rId656" Type="http://schemas.openxmlformats.org/officeDocument/2006/relationships/hyperlink" Target="https://drive.google.com/open?id=1Rp6h8Y29IcZBMobmmslQTcYOy8Ro8Ftr" TargetMode="External"/><Relationship Id="rId413" Type="http://schemas.openxmlformats.org/officeDocument/2006/relationships/hyperlink" Target="https://drive.google.com/open?id=1SK2qeOk_7SD8r4L92EccKy9xfkhKvfns" TargetMode="External"/><Relationship Id="rId655" Type="http://schemas.openxmlformats.org/officeDocument/2006/relationships/hyperlink" Target="https://drive.google.com/open?id=1gsD34hbxLoYlcJ0toaqbv9VU3LhA8u0f" TargetMode="External"/><Relationship Id="rId412" Type="http://schemas.openxmlformats.org/officeDocument/2006/relationships/hyperlink" Target="https://drive.google.com/open?id=1tDxo4G2DFSxpuovREC7GAujUrYT72zz_" TargetMode="External"/><Relationship Id="rId654" Type="http://schemas.openxmlformats.org/officeDocument/2006/relationships/hyperlink" Target="https://drive.google.com/open?id=1009oRYjHAavb6BENmti9BgF9utXoB4NX" TargetMode="External"/><Relationship Id="rId419" Type="http://schemas.openxmlformats.org/officeDocument/2006/relationships/hyperlink" Target="https://drive.google.com/open?id=1ct9Uf6tZuki3zY7pLp70dnfmuF9DQ8qV" TargetMode="External"/><Relationship Id="rId418" Type="http://schemas.openxmlformats.org/officeDocument/2006/relationships/hyperlink" Target="https://drive.google.com/open?id=1qKh946ek2Hs6OmOX5QNhibw1MrF_ZI-d" TargetMode="External"/><Relationship Id="rId417" Type="http://schemas.openxmlformats.org/officeDocument/2006/relationships/hyperlink" Target="https://drive.google.com/open?id=1OmKzYLDDmzw--7DnBQ6_7IzTY7ktAhzn" TargetMode="External"/><Relationship Id="rId659" Type="http://schemas.openxmlformats.org/officeDocument/2006/relationships/hyperlink" Target="https://drive.google.com/open?id=1eBSmPsj_WSe5-P0xnl7QVQvTdgxUdbLS" TargetMode="External"/><Relationship Id="rId416" Type="http://schemas.openxmlformats.org/officeDocument/2006/relationships/hyperlink" Target="https://drive.google.com/open?id=1uJsu2VM1oFIic-LQGUNt4mGcA0koSMoa" TargetMode="External"/><Relationship Id="rId658" Type="http://schemas.openxmlformats.org/officeDocument/2006/relationships/hyperlink" Target="https://drive.google.com/open?id=1e6yxMtEf3eyuvVVrvnY-PTRU50tNgWhF" TargetMode="External"/><Relationship Id="rId411" Type="http://schemas.openxmlformats.org/officeDocument/2006/relationships/hyperlink" Target="https://drive.google.com/open?id=1q2SXjkL2eW5Q5Qiyjc_gCh7z9FyE2Mva" TargetMode="External"/><Relationship Id="rId653" Type="http://schemas.openxmlformats.org/officeDocument/2006/relationships/hyperlink" Target="https://drive.google.com/open?id=1qtCKE5YEzkPrVqHzhsXAG1ib5kAdAfyA" TargetMode="External"/><Relationship Id="rId410" Type="http://schemas.openxmlformats.org/officeDocument/2006/relationships/hyperlink" Target="https://drive.google.com/open?id=1WGaLn5uYFx7plDjcV93eGVOpzl-tJ5JH" TargetMode="External"/><Relationship Id="rId652" Type="http://schemas.openxmlformats.org/officeDocument/2006/relationships/hyperlink" Target="https://drive.google.com/open?id=1BW-3beBHeg26oBcwC4I_LWkWxLzpj9cv" TargetMode="External"/><Relationship Id="rId651" Type="http://schemas.openxmlformats.org/officeDocument/2006/relationships/hyperlink" Target="https://drive.google.com/open?id=1Nj3UyMtg4HbePvV_9BJjtX0l0yjYPyQe" TargetMode="External"/><Relationship Id="rId650" Type="http://schemas.openxmlformats.org/officeDocument/2006/relationships/hyperlink" Target="https://drive.google.com/open?id=1lB829plrKP7tH8MzDN6THr4fpjosUeXC" TargetMode="External"/><Relationship Id="rId206" Type="http://schemas.openxmlformats.org/officeDocument/2006/relationships/hyperlink" Target="https://drive.google.com/open?id=1osyM_8ew1CJeVQvdQ8tttH2Czd6igiHO" TargetMode="External"/><Relationship Id="rId448" Type="http://schemas.openxmlformats.org/officeDocument/2006/relationships/hyperlink" Target="https://drive.google.com/open?id=1BKOtvBRTkQWva7CzdEOH5iy2baIcVhJx" TargetMode="External"/><Relationship Id="rId205" Type="http://schemas.openxmlformats.org/officeDocument/2006/relationships/hyperlink" Target="https://drive.google.com/open?id=12qPbnPqu-e4PcqrpsJ3Rb4EFDvfRWcIa" TargetMode="External"/><Relationship Id="rId447" Type="http://schemas.openxmlformats.org/officeDocument/2006/relationships/hyperlink" Target="https://drive.google.com/open?id=1scQ8uW-80HKhh-jxx_jW3r_XXvs4xZfi" TargetMode="External"/><Relationship Id="rId689" Type="http://schemas.openxmlformats.org/officeDocument/2006/relationships/hyperlink" Target="https://drive.google.com/open?id=1qAW2yUdrldUPqC1U72cDuHbFwzr9E1tr" TargetMode="External"/><Relationship Id="rId204" Type="http://schemas.openxmlformats.org/officeDocument/2006/relationships/hyperlink" Target="https://drive.google.com/open?id=161Kc4zDfkxPbVtsSAXgiMQ23rKS2QdKc" TargetMode="External"/><Relationship Id="rId446" Type="http://schemas.openxmlformats.org/officeDocument/2006/relationships/hyperlink" Target="https://drive.google.com/open?id=1j2srC8LfUccLVTFScJLIThXpI05IWj6w" TargetMode="External"/><Relationship Id="rId688" Type="http://schemas.openxmlformats.org/officeDocument/2006/relationships/hyperlink" Target="https://drive.google.com/open?id=1kRKXTKATfleRUu-5WGG_sycPfnEy0cs2" TargetMode="External"/><Relationship Id="rId203" Type="http://schemas.openxmlformats.org/officeDocument/2006/relationships/hyperlink" Target="https://drive.google.com/open?id=1RmiAzvY0nuBzWZSKxZNQ8sm3S_iKAn9z" TargetMode="External"/><Relationship Id="rId445" Type="http://schemas.openxmlformats.org/officeDocument/2006/relationships/hyperlink" Target="https://drive.google.com/open?id=1shDrGK5eJ9l78zTUQJlK-bTJoPNhvCkd" TargetMode="External"/><Relationship Id="rId687" Type="http://schemas.openxmlformats.org/officeDocument/2006/relationships/hyperlink" Target="https://drive.google.com/open?id=1rryzlApMI4J_f1_s4j5487HRHhLqSNEQ" TargetMode="External"/><Relationship Id="rId209" Type="http://schemas.openxmlformats.org/officeDocument/2006/relationships/hyperlink" Target="https://drive.google.com/open?id=1ZKCQjEWBr98weTSP8tPVpgOXYJodekSi" TargetMode="External"/><Relationship Id="rId208" Type="http://schemas.openxmlformats.org/officeDocument/2006/relationships/hyperlink" Target="https://drive.google.com/open?id=1ddBy10CrwbRN3spKp3qd7seNyVZRr1-o" TargetMode="External"/><Relationship Id="rId207" Type="http://schemas.openxmlformats.org/officeDocument/2006/relationships/hyperlink" Target="https://drive.google.com/open?id=1LhibvHtvmil5kX7_QIBt9XTKJQmNynsn" TargetMode="External"/><Relationship Id="rId449" Type="http://schemas.openxmlformats.org/officeDocument/2006/relationships/hyperlink" Target="https://drive.google.com/open?id=1oXiXEra_Pq3AsUbqrLduC0_jYsY3DYT4" TargetMode="External"/><Relationship Id="rId440" Type="http://schemas.openxmlformats.org/officeDocument/2006/relationships/hyperlink" Target="https://drive.google.com/open?id=1aTWZIxPhkv5VvQNGZEmDOklFR-Nr5Uzg" TargetMode="External"/><Relationship Id="rId682" Type="http://schemas.openxmlformats.org/officeDocument/2006/relationships/hyperlink" Target="https://drive.google.com/open?id=1buuTMU7SuvIIT90APB63Zovd_o8acJWs" TargetMode="External"/><Relationship Id="rId681" Type="http://schemas.openxmlformats.org/officeDocument/2006/relationships/hyperlink" Target="https://drive.google.com/open?id=1dRrTuC2t_ge1GvGLV38S6ify2JjYavTf" TargetMode="External"/><Relationship Id="rId680" Type="http://schemas.openxmlformats.org/officeDocument/2006/relationships/hyperlink" Target="https://drive.google.com/open?id=1j0beTwMUyY6HJCpH4IGwoCb1u6ogQfEH" TargetMode="External"/><Relationship Id="rId202" Type="http://schemas.openxmlformats.org/officeDocument/2006/relationships/hyperlink" Target="https://drive.google.com/open?id=1x1YrV4PApHc8r9pSqRA2hbn9at3iHs-V" TargetMode="External"/><Relationship Id="rId444" Type="http://schemas.openxmlformats.org/officeDocument/2006/relationships/hyperlink" Target="https://drive.google.com/open?id=1rnotVbE_r8ec8iPN6uXX_PuWw5OwFmYT" TargetMode="External"/><Relationship Id="rId686" Type="http://schemas.openxmlformats.org/officeDocument/2006/relationships/hyperlink" Target="https://drive.google.com/open?id=1_xzo3bu2GZk0m47eXBYBeQ2jRazNxB62" TargetMode="External"/><Relationship Id="rId201" Type="http://schemas.openxmlformats.org/officeDocument/2006/relationships/hyperlink" Target="https://drive.google.com/open?id=1gV2RFYOLXoIZ1BOnsl4EadAeBCMs96kh" TargetMode="External"/><Relationship Id="rId443" Type="http://schemas.openxmlformats.org/officeDocument/2006/relationships/hyperlink" Target="https://drive.google.com/open?id=1er5sNljouQo71bScvQXzOaIgnVdFSDjl" TargetMode="External"/><Relationship Id="rId685" Type="http://schemas.openxmlformats.org/officeDocument/2006/relationships/hyperlink" Target="https://drive.google.com/open?id=1qwLF3wKabSPcdQoCqCbmqS27v15aAw18" TargetMode="External"/><Relationship Id="rId200" Type="http://schemas.openxmlformats.org/officeDocument/2006/relationships/hyperlink" Target="https://drive.google.com/open?id=13dH0OWYDnPoUHTgMnLkleWbbEl3Y1_tu" TargetMode="External"/><Relationship Id="rId442" Type="http://schemas.openxmlformats.org/officeDocument/2006/relationships/hyperlink" Target="https://drive.google.com/open?id=1KOsYvSQg7llZrpZv89cQZY2QhO6eEf8e" TargetMode="External"/><Relationship Id="rId684" Type="http://schemas.openxmlformats.org/officeDocument/2006/relationships/hyperlink" Target="https://drive.google.com/open?id=1uT3N0tj1hRQgci_8hQtYRhrhedsHnYrd" TargetMode="External"/><Relationship Id="rId441" Type="http://schemas.openxmlformats.org/officeDocument/2006/relationships/hyperlink" Target="https://drive.google.com/open?id=1H1BQz775luh1uQDnWN_qF8Pc5JW9YdVR" TargetMode="External"/><Relationship Id="rId683" Type="http://schemas.openxmlformats.org/officeDocument/2006/relationships/hyperlink" Target="https://drive.google.com/open?id=1NPYPFwrAcles0rz89vmpTBkgXyJ3xAgr" TargetMode="External"/><Relationship Id="rId437" Type="http://schemas.openxmlformats.org/officeDocument/2006/relationships/hyperlink" Target="https://drive.google.com/open?id=1bHAr0CNMx4O_vKkG6Nr1kqjBYdirJ55m" TargetMode="External"/><Relationship Id="rId679" Type="http://schemas.openxmlformats.org/officeDocument/2006/relationships/hyperlink" Target="https://drive.google.com/open?id=1VSb-CVmrSoOga4crjh4FCOGqnXjPepxu" TargetMode="External"/><Relationship Id="rId436" Type="http://schemas.openxmlformats.org/officeDocument/2006/relationships/hyperlink" Target="https://drive.google.com/open?id=1I0VJZVYoZ9fJmdQgjXbFvcAtEo-xBjfZ" TargetMode="External"/><Relationship Id="rId678" Type="http://schemas.openxmlformats.org/officeDocument/2006/relationships/hyperlink" Target="https://drive.google.com/open?id=1XcAybnZyxoyWZn9GJS4jZqXn7qOOeNuM" TargetMode="External"/><Relationship Id="rId435" Type="http://schemas.openxmlformats.org/officeDocument/2006/relationships/hyperlink" Target="https://drive.google.com/open?id=1AzCWCDz3ArghW9Cs_bb7XCXlth4TjK2g" TargetMode="External"/><Relationship Id="rId677" Type="http://schemas.openxmlformats.org/officeDocument/2006/relationships/hyperlink" Target="https://drive.google.com/open?id=1ucUnVbVXxzJLMz1DnWiuO4Zi7SK3GyP1" TargetMode="External"/><Relationship Id="rId434" Type="http://schemas.openxmlformats.org/officeDocument/2006/relationships/hyperlink" Target="https://drive.google.com/open?id=1k8C9GlEPjJe4FnbCCU2NQuFtnseWj2_n" TargetMode="External"/><Relationship Id="rId676" Type="http://schemas.openxmlformats.org/officeDocument/2006/relationships/hyperlink" Target="https://drive.google.com/open?id=1kG-gXY8UhOOenwIvVoa_OoNg5R06Ybp5" TargetMode="External"/><Relationship Id="rId439" Type="http://schemas.openxmlformats.org/officeDocument/2006/relationships/hyperlink" Target="https://drive.google.com/open?id=1dNdte3VTmh_bqMni7t0EtxXByauGIUri" TargetMode="External"/><Relationship Id="rId438" Type="http://schemas.openxmlformats.org/officeDocument/2006/relationships/hyperlink" Target="https://drive.google.com/open?id=1Hb_egPKv7nzAx7eFb4xTdxM3eyndNnm5" TargetMode="External"/><Relationship Id="rId671" Type="http://schemas.openxmlformats.org/officeDocument/2006/relationships/hyperlink" Target="https://drive.google.com/open?id=1K3ket7rc6QQyJj0_8_u6Frt_w5DlDD6F" TargetMode="External"/><Relationship Id="rId670" Type="http://schemas.openxmlformats.org/officeDocument/2006/relationships/hyperlink" Target="https://drive.google.com/open?id=1F5K42Fej67yQOidm0pfDfVSkaPNsCadj" TargetMode="External"/><Relationship Id="rId433" Type="http://schemas.openxmlformats.org/officeDocument/2006/relationships/hyperlink" Target="https://drive.google.com/open?id=1p8Ynpb_t5IMTRIxEQtFwvI1M2RdCPCYC" TargetMode="External"/><Relationship Id="rId675" Type="http://schemas.openxmlformats.org/officeDocument/2006/relationships/hyperlink" Target="https://drive.google.com/open?id=1bLl76j5shtNhp-VRWMOpur7iPKMbDQXl" TargetMode="External"/><Relationship Id="rId432" Type="http://schemas.openxmlformats.org/officeDocument/2006/relationships/hyperlink" Target="https://drive.google.com/open?id=1o4QEv2bfTHiNn3kWTglY-kwNsFo-OS-P" TargetMode="External"/><Relationship Id="rId674" Type="http://schemas.openxmlformats.org/officeDocument/2006/relationships/hyperlink" Target="https://drive.google.com/open?id=15yKnn7jF4Su26GwUvPATAoefrf0ZVWRK" TargetMode="External"/><Relationship Id="rId431" Type="http://schemas.openxmlformats.org/officeDocument/2006/relationships/hyperlink" Target="https://drive.google.com/open?id=10pruhDBUfEkFmBhx4I8peD_nGi_A-UVC" TargetMode="External"/><Relationship Id="rId673" Type="http://schemas.openxmlformats.org/officeDocument/2006/relationships/hyperlink" Target="https://drive.google.com/open?id=1pQ0GzbIs791qv53_26DyE08j4opGzLmW" TargetMode="External"/><Relationship Id="rId430" Type="http://schemas.openxmlformats.org/officeDocument/2006/relationships/hyperlink" Target="https://drive.google.com/open?id=1p53d7MFVDUT_k3dHdUTh2obkpUoN3bvL" TargetMode="External"/><Relationship Id="rId672" Type="http://schemas.openxmlformats.org/officeDocument/2006/relationships/hyperlink" Target="https://drive.google.com/open?id=1dGtUMEQM5bufKqEmZT9JXWoQbz19Iee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2.75"/>
    <col customWidth="1" min="3" max="3" width="20.5"/>
    <col customWidth="1" min="4" max="4" width="14.63"/>
    <col customWidth="1" min="5" max="5" width="33.38"/>
    <col customWidth="1" min="6" max="6" width="27.25"/>
    <col customWidth="1" min="7" max="7" width="30.13"/>
    <col customWidth="1" min="8" max="8" width="23.63"/>
    <col customWidth="1" min="9" max="9" width="27.13"/>
    <col customWidth="1" min="10" max="10" width="25.88"/>
    <col customWidth="1" min="11" max="11" width="29.5"/>
    <col customWidth="1" min="12" max="12" width="28.0"/>
    <col customWidth="1" min="13" max="13" width="36.5"/>
    <col customWidth="1" min="14" max="14" width="28.13"/>
    <col customWidth="1" min="15" max="15" width="25.0"/>
    <col customWidth="1" min="16" max="16" width="30.5"/>
    <col customWidth="1" min="17" max="17" width="35.25"/>
    <col customWidth="1" min="18" max="18" width="24.0"/>
    <col customWidth="1" min="19" max="19" width="28.88"/>
    <col customWidth="1" min="20" max="20" width="20.38"/>
    <col customWidth="1" min="21" max="21" width="30.0"/>
    <col customWidth="1" min="22" max="22" width="23.63"/>
    <col customWidth="1" min="23" max="23" width="29.25"/>
    <col customWidth="1" min="24" max="24" width="22.88"/>
    <col customWidth="1" min="25" max="26" width="29.63"/>
    <col customWidth="1" min="27" max="27" width="24.0"/>
    <col customWidth="1" min="28" max="28" width="15.38"/>
    <col customWidth="1" min="29" max="30" width="10.75"/>
    <col customWidth="1" min="31" max="31" width="62.13"/>
    <col customWidth="1" min="32" max="32" width="58.5"/>
    <col customWidth="1" min="33" max="33" width="23.63"/>
    <col customWidth="1" min="34" max="34" width="25.38"/>
    <col customWidth="1" min="38" max="38" width="8.63"/>
    <col customWidth="1" min="39" max="39" width="44.0"/>
  </cols>
  <sheetData>
    <row r="2">
      <c r="A2" s="1" t="str">
        <f>IFERROR(__xludf.DUMMYFUNCTION("IMPORTRANGE(""https://docs.google.com/spreadsheets/d/14_tdLuCUkS8IW5tkUjYOcI-d6vhosq5hI0AlNYfNQqA/edit?gid=824519232#gid=824519232"", ""Form Responses 1!A1:Ai5000"")"),"Timestamp")</f>
        <v>Timestamp</v>
      </c>
      <c r="B2" s="1" t="str">
        <f>IFERROR(__xludf.DUMMYFUNCTION("""COMPUTED_VALUE"""),"Email Address")</f>
        <v>Email Address</v>
      </c>
      <c r="C2" s="1" t="str">
        <f>IFERROR(__xludf.DUMMYFUNCTION("""COMPUTED_VALUE"""),"Please Select Your Team")</f>
        <v>Please Select Your Team</v>
      </c>
      <c r="D2" s="1" t="str">
        <f>IFERROR(__xludf.DUMMYFUNCTION("""COMPUTED_VALUE"""),"Cluster Selection")</f>
        <v>Cluster Selection</v>
      </c>
      <c r="E2" s="1" t="str">
        <f>IFERROR(__xludf.DUMMYFUNCTION("""COMPUTED_VALUE"""),"Streets in Cluster 3")</f>
        <v>Streets in Cluster 3</v>
      </c>
      <c r="F2" s="1" t="str">
        <f>IFERROR(__xludf.DUMMYFUNCTION("""COMPUTED_VALUE"""),"Streets in Cluster 4")</f>
        <v>Streets in Cluster 4</v>
      </c>
      <c r="G2" s="1" t="str">
        <f>IFERROR(__xludf.DUMMYFUNCTION("""COMPUTED_VALUE"""),"Streets in Cluster 8")</f>
        <v>Streets in Cluster 8</v>
      </c>
      <c r="H2" s="1" t="str">
        <f>IFERROR(__xludf.DUMMYFUNCTION("""COMPUTED_VALUE"""),"Streets in Cluster 11")</f>
        <v>Streets in Cluster 11</v>
      </c>
      <c r="I2" s="1" t="str">
        <f>IFERROR(__xludf.DUMMYFUNCTION("""COMPUTED_VALUE"""),"Streets in Cluster 17")</f>
        <v>Streets in Cluster 17</v>
      </c>
      <c r="J2" s="1" t="str">
        <f>IFERROR(__xludf.DUMMYFUNCTION("""COMPUTED_VALUE"""),"Umar Dalhatu Cluster Selection")</f>
        <v>Umar Dalhatu Cluster Selection</v>
      </c>
      <c r="K2" s="1" t="str">
        <f>IFERROR(__xludf.DUMMYFUNCTION("""COMPUTED_VALUE"""),"Streets in Cluster 1")</f>
        <v>Streets in Cluster 1</v>
      </c>
      <c r="L2" s="1" t="str">
        <f>IFERROR(__xludf.DUMMYFUNCTION("""COMPUTED_VALUE"""),"Streets in Cluster 7")</f>
        <v>Streets in Cluster 7</v>
      </c>
      <c r="M2" s="1" t="str">
        <f>IFERROR(__xludf.DUMMYFUNCTION("""COMPUTED_VALUE"""),"Streets in Cluster 10")</f>
        <v>Streets in Cluster 10</v>
      </c>
      <c r="N2" s="1" t="str">
        <f>IFERROR(__xludf.DUMMYFUNCTION("""COMPUTED_VALUE"""),"Streets in Cluster 14")</f>
        <v>Streets in Cluster 14</v>
      </c>
      <c r="O2" s="1" t="str">
        <f>IFERROR(__xludf.DUMMYFUNCTION("""COMPUTED_VALUE"""),"Streets in Cluster 20")</f>
        <v>Streets in Cluster 20</v>
      </c>
      <c r="P2" s="1" t="str">
        <f>IFERROR(__xludf.DUMMYFUNCTION("""COMPUTED_VALUE"""),"Abdullahi Elhabeeb Cluster Selection")</f>
        <v>Abdullahi Elhabeeb Cluster Selection</v>
      </c>
      <c r="Q2" s="1" t="str">
        <f>IFERROR(__xludf.DUMMYFUNCTION("""COMPUTED_VALUE"""),"Streets in Cluster 6")</f>
        <v>Streets in Cluster 6</v>
      </c>
      <c r="R2" s="1" t="str">
        <f>IFERROR(__xludf.DUMMYFUNCTION("""COMPUTED_VALUE"""),"Streets in Cluster 2")</f>
        <v>Streets in Cluster 2</v>
      </c>
      <c r="S2" s="1" t="str">
        <f>IFERROR(__xludf.DUMMYFUNCTION("""COMPUTED_VALUE"""),"Streets in Cluster 16")</f>
        <v>Streets in Cluster 16</v>
      </c>
      <c r="T2" s="1" t="str">
        <f>IFERROR(__xludf.DUMMYFUNCTION("""COMPUTED_VALUE"""),"Streets in Cluster 13")</f>
        <v>Streets in Cluster 13</v>
      </c>
      <c r="U2" s="1" t="str">
        <f>IFERROR(__xludf.DUMMYFUNCTION("""COMPUTED_VALUE"""),"Streets in Cluster 18")</f>
        <v>Streets in Cluster 18</v>
      </c>
      <c r="V2" s="1" t="str">
        <f>IFERROR(__xludf.DUMMYFUNCTION("""COMPUTED_VALUE"""),"Sadiq Dala Cluster Selection")</f>
        <v>Sadiq Dala Cluster Selection</v>
      </c>
      <c r="W2" s="1" t="str">
        <f>IFERROR(__xludf.DUMMYFUNCTION("""COMPUTED_VALUE"""),"Streets in Cluster 5")</f>
        <v>Streets in Cluster 5</v>
      </c>
      <c r="X2" s="1" t="str">
        <f>IFERROR(__xludf.DUMMYFUNCTION("""COMPUTED_VALUE"""),"Streets in Cluster 9")</f>
        <v>Streets in Cluster 9</v>
      </c>
      <c r="Y2" s="1" t="str">
        <f>IFERROR(__xludf.DUMMYFUNCTION("""COMPUTED_VALUE"""),"Streets in Cluster 15")</f>
        <v>Streets in Cluster 15</v>
      </c>
      <c r="Z2" s="1" t="str">
        <f>IFERROR(__xludf.DUMMYFUNCTION("""COMPUTED_VALUE"""),"Streets in Cluster 12")</f>
        <v>Streets in Cluster 12</v>
      </c>
      <c r="AA2" s="1" t="str">
        <f>IFERROR(__xludf.DUMMYFUNCTION("""COMPUTED_VALUE"""),"Streets in Cluster 19")</f>
        <v>Streets in Cluster 19</v>
      </c>
      <c r="AB2" s="1" t="str">
        <f>IFERROR(__xludf.DUMMYFUNCTION("""COMPUTED_VALUE"""),"Installation Points")</f>
        <v>Installation Points</v>
      </c>
      <c r="AC2" s="1" t="str">
        <f>IFERROR(__xludf.DUMMYFUNCTION("""COMPUTED_VALUE"""),"LATITUDE")</f>
        <v>LATITUDE</v>
      </c>
      <c r="AD2" s="1" t="str">
        <f>IFERROR(__xludf.DUMMYFUNCTION("""COMPUTED_VALUE"""),"LONGITUDE")</f>
        <v>LONGITUDE</v>
      </c>
      <c r="AE2" s="1" t="str">
        <f>IFERROR(__xludf.DUMMYFUNCTION("""COMPUTED_VALUE"""),"PICTURE UPLOAD")</f>
        <v>PICTURE UPLOAD</v>
      </c>
      <c r="AF2" s="1" t="str">
        <f>IFERROR(__xludf.DUMMYFUNCTION("""COMPUTED_VALUE"""),"ANY FURTHER COMMENT")</f>
        <v>ANY FURTHER COMMENT</v>
      </c>
      <c r="AG2" s="1" t="str">
        <f>IFERROR(__xludf.DUMMYFUNCTION("""COMPUTED_VALUE"""),"Streets in Cluster 21")</f>
        <v>Streets in Cluster 21</v>
      </c>
      <c r="AH2" s="1" t="str">
        <f>IFERROR(__xludf.DUMMYFUNCTION("""COMPUTED_VALUE"""),"Umar Farouk Cluster Selection")</f>
        <v>Umar Farouk Cluster Selection</v>
      </c>
      <c r="AI2" s="1" t="s">
        <v>0</v>
      </c>
      <c r="AJ2" s="1" t="s">
        <v>0</v>
      </c>
      <c r="AK2" s="1" t="s">
        <v>0</v>
      </c>
      <c r="AL2" s="2" t="s">
        <v>1</v>
      </c>
      <c r="AM2" s="2" t="s">
        <v>2</v>
      </c>
      <c r="AN2" s="1"/>
      <c r="AO2" s="1"/>
      <c r="AP2" s="1"/>
    </row>
    <row r="3">
      <c r="A3" s="3">
        <f>IFERROR(__xludf.DUMMYFUNCTION("""COMPUTED_VALUE"""),45886.96467430556)</f>
        <v>45886.96467</v>
      </c>
      <c r="B3" s="4" t="str">
        <f>IFERROR(__xludf.DUMMYFUNCTION("""COMPUTED_VALUE"""),"ajisadiqdala@gmail.com")</f>
        <v>ajisadiqdala@gmail.com</v>
      </c>
      <c r="C3" s="4" t="str">
        <f>IFERROR(__xludf.DUMMYFUNCTION("""COMPUTED_VALUE"""),"Sadiq Dala")</f>
        <v>Sadiq Dala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 t="str">
        <f>IFERROR(__xludf.DUMMYFUNCTION("""COMPUTED_VALUE"""),"Cluster 19")</f>
        <v>Cluster 19</v>
      </c>
      <c r="W3" s="4"/>
      <c r="X3" s="4"/>
      <c r="Y3" s="4"/>
      <c r="Z3" s="4"/>
      <c r="AA3" s="4" t="str">
        <f>IFERROR(__xludf.DUMMYFUNCTION("""COMPUTED_VALUE"""),"UMARU BABURA LINK")</f>
        <v>UMARU BABURA LINK</v>
      </c>
      <c r="AB3" s="4" t="str">
        <f>IFERROR(__xludf.DUMMYFUNCTION("""COMPUTED_VALUE"""),"Point 2")</f>
        <v>Point 2</v>
      </c>
      <c r="AC3" s="4">
        <f>IFERROR(__xludf.DUMMYFUNCTION("""COMPUTED_VALUE"""),11.988879)</f>
        <v>11.988879</v>
      </c>
      <c r="AD3" s="4">
        <f>IFERROR(__xludf.DUMMYFUNCTION("""COMPUTED_VALUE"""),8.571841)</f>
        <v>8.571841</v>
      </c>
      <c r="AE3" s="5" t="str">
        <f>IFERROR(__xludf.DUMMYFUNCTION("""COMPUTED_VALUE"""),"https://drive.google.com/open?id=1vA5UnIJiApycNAA0bGIiyPhpZo7tULEK")</f>
        <v>https://drive.google.com/open?id=1vA5UnIJiApycNAA0bGIiyPhpZo7tULEK</v>
      </c>
      <c r="AF3" s="4"/>
      <c r="AG3" s="4"/>
      <c r="AH3" s="4"/>
      <c r="AI3" s="4"/>
      <c r="AL3" s="4" t="str">
        <f t="shared" ref="AL3:AL2000" si="1">D3&amp;J3&amp;P3&amp;V3&amp;AH3</f>
        <v>Cluster 19</v>
      </c>
      <c r="AM3" s="4" t="str">
        <f t="shared" ref="AM3:AM2000" si="2">E3&amp;F3&amp;G3&amp;H3&amp;I3&amp;K3&amp;L3&amp;M3&amp;N3&amp;O3&amp;Q3&amp;R3&amp;S3&amp;T3&amp;U3&amp;W3&amp;X3&amp;Y3&amp;Z3&amp;AA27&amp;AA3&amp;AG3</f>
        <v>UMARU BABURA LINK</v>
      </c>
    </row>
    <row r="4">
      <c r="A4" s="3">
        <f>IFERROR(__xludf.DUMMYFUNCTION("""COMPUTED_VALUE"""),45886.96077710648)</f>
        <v>45886.96078</v>
      </c>
      <c r="B4" s="4" t="str">
        <f>IFERROR(__xludf.DUMMYFUNCTION("""COMPUTED_VALUE"""),"ajisadiqdala@gmail.com")</f>
        <v>ajisadiqdala@gmail.com</v>
      </c>
      <c r="C4" s="4" t="str">
        <f>IFERROR(__xludf.DUMMYFUNCTION("""COMPUTED_VALUE"""),"Sadiq Dala")</f>
        <v>Sadiq Dala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 t="str">
        <f>IFERROR(__xludf.DUMMYFUNCTION("""COMPUTED_VALUE"""),"Cluster 19")</f>
        <v>Cluster 19</v>
      </c>
      <c r="W4" s="4"/>
      <c r="X4" s="4"/>
      <c r="Y4" s="4"/>
      <c r="Z4" s="4"/>
      <c r="AA4" s="4" t="str">
        <f>IFERROR(__xludf.DUMMYFUNCTION("""COMPUTED_VALUE"""),"GARBA YAKASAI LINK")</f>
        <v>GARBA YAKASAI LINK</v>
      </c>
      <c r="AB4" s="4" t="str">
        <f>IFERROR(__xludf.DUMMYFUNCTION("""COMPUTED_VALUE"""),"Point 2")</f>
        <v>Point 2</v>
      </c>
      <c r="AC4" s="4">
        <f>IFERROR(__xludf.DUMMYFUNCTION("""COMPUTED_VALUE"""),11.993546)</f>
        <v>11.993546</v>
      </c>
      <c r="AD4" s="4">
        <f>IFERROR(__xludf.DUMMYFUNCTION("""COMPUTED_VALUE"""),8.569171)</f>
        <v>8.569171</v>
      </c>
      <c r="AE4" s="5" t="str">
        <f>IFERROR(__xludf.DUMMYFUNCTION("""COMPUTED_VALUE"""),"https://drive.google.com/open?id=17qJx6Nd-rRv357zyjD7bR5y6p6XvxOwD")</f>
        <v>https://drive.google.com/open?id=17qJx6Nd-rRv357zyjD7bR5y6p6XvxOwD</v>
      </c>
      <c r="AF4" s="4"/>
      <c r="AG4" s="4"/>
      <c r="AH4" s="4"/>
      <c r="AI4" s="4"/>
      <c r="AL4" s="4" t="str">
        <f t="shared" si="1"/>
        <v>Cluster 19</v>
      </c>
      <c r="AM4" s="4" t="str">
        <f t="shared" si="2"/>
        <v>GARBA YAKASAI LINK</v>
      </c>
    </row>
    <row r="5">
      <c r="A5" s="3">
        <f>IFERROR(__xludf.DUMMYFUNCTION("""COMPUTED_VALUE"""),45886.95727997685)</f>
        <v>45886.95728</v>
      </c>
      <c r="B5" s="4" t="str">
        <f>IFERROR(__xludf.DUMMYFUNCTION("""COMPUTED_VALUE"""),"ajisadiqdala@gmail.com")</f>
        <v>ajisadiqdala@gmail.com</v>
      </c>
      <c r="C5" s="4" t="str">
        <f>IFERROR(__xludf.DUMMYFUNCTION("""COMPUTED_VALUE"""),"Sadiq Dala")</f>
        <v>Sadiq Dala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 t="str">
        <f>IFERROR(__xludf.DUMMYFUNCTION("""COMPUTED_VALUE"""),"Cluster 19")</f>
        <v>Cluster 19</v>
      </c>
      <c r="W5" s="4"/>
      <c r="X5" s="4"/>
      <c r="Y5" s="4"/>
      <c r="Z5" s="4"/>
      <c r="AA5" s="4" t="str">
        <f>IFERROR(__xludf.DUMMYFUNCTION("""COMPUTED_VALUE"""),"LARABA ROAD")</f>
        <v>LARABA ROAD</v>
      </c>
      <c r="AB5" s="4" t="str">
        <f>IFERROR(__xludf.DUMMYFUNCTION("""COMPUTED_VALUE"""),"Point 2")</f>
        <v>Point 2</v>
      </c>
      <c r="AC5" s="4">
        <f>IFERROR(__xludf.DUMMYFUNCTION("""COMPUTED_VALUE"""),11.988553)</f>
        <v>11.988553</v>
      </c>
      <c r="AD5" s="4">
        <f>IFERROR(__xludf.DUMMYFUNCTION("""COMPUTED_VALUE"""),8.568056)</f>
        <v>8.568056</v>
      </c>
      <c r="AE5" s="5" t="str">
        <f>IFERROR(__xludf.DUMMYFUNCTION("""COMPUTED_VALUE"""),"https://drive.google.com/open?id=1kL56YqoUSa0lqyJqI_uJ7L8jBFaD8oOW")</f>
        <v>https://drive.google.com/open?id=1kL56YqoUSa0lqyJqI_uJ7L8jBFaD8oOW</v>
      </c>
      <c r="AF5" s="4"/>
      <c r="AG5" s="4"/>
      <c r="AH5" s="4"/>
      <c r="AI5" s="4"/>
      <c r="AL5" s="4" t="str">
        <f t="shared" si="1"/>
        <v>Cluster 19</v>
      </c>
      <c r="AM5" s="4" t="str">
        <f t="shared" si="2"/>
        <v>LARABA ROAD</v>
      </c>
    </row>
    <row r="6">
      <c r="A6" s="3">
        <f>IFERROR(__xludf.DUMMYFUNCTION("""COMPUTED_VALUE"""),45886.95476828703)</f>
        <v>45886.95477</v>
      </c>
      <c r="B6" s="4" t="str">
        <f>IFERROR(__xludf.DUMMYFUNCTION("""COMPUTED_VALUE"""),"ajisadiqdala@gmail.com")</f>
        <v>ajisadiqdala@gmail.com</v>
      </c>
      <c r="C6" s="4" t="str">
        <f>IFERROR(__xludf.DUMMYFUNCTION("""COMPUTED_VALUE"""),"Sadiq Dala")</f>
        <v>Sadiq Dala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 t="str">
        <f>IFERROR(__xludf.DUMMYFUNCTION("""COMPUTED_VALUE"""),"Cluster 12")</f>
        <v>Cluster 12</v>
      </c>
      <c r="W6" s="4"/>
      <c r="X6" s="4"/>
      <c r="Y6" s="4"/>
      <c r="Z6" s="4" t="str">
        <f>IFERROR(__xludf.DUMMYFUNCTION("""COMPUTED_VALUE"""),"JIGAWA ROAD")</f>
        <v>JIGAWA ROAD</v>
      </c>
      <c r="AA6" s="4"/>
      <c r="AB6" s="4" t="str">
        <f>IFERROR(__xludf.DUMMYFUNCTION("""COMPUTED_VALUE"""),"Point 2")</f>
        <v>Point 2</v>
      </c>
      <c r="AC6" s="4">
        <f>IFERROR(__xludf.DUMMYFUNCTION("""COMPUTED_VALUE"""),11.990016)</f>
        <v>11.990016</v>
      </c>
      <c r="AD6" s="4">
        <f>IFERROR(__xludf.DUMMYFUNCTION("""COMPUTED_VALUE"""),8.544262)</f>
        <v>8.544262</v>
      </c>
      <c r="AE6" s="5" t="str">
        <f>IFERROR(__xludf.DUMMYFUNCTION("""COMPUTED_VALUE"""),"https://drive.google.com/open?id=1S1FSnxs6VPwa4uFlGHgss9GvJs6-kWec")</f>
        <v>https://drive.google.com/open?id=1S1FSnxs6VPwa4uFlGHgss9GvJs6-kWec</v>
      </c>
      <c r="AF6" s="4"/>
      <c r="AG6" s="4"/>
      <c r="AH6" s="4"/>
      <c r="AI6" s="4"/>
      <c r="AL6" s="4" t="str">
        <f t="shared" si="1"/>
        <v>Cluster 12</v>
      </c>
      <c r="AM6" s="4" t="str">
        <f t="shared" si="2"/>
        <v>JIGAWA ROAD</v>
      </c>
    </row>
    <row r="7">
      <c r="A7" s="3">
        <f>IFERROR(__xludf.DUMMYFUNCTION("""COMPUTED_VALUE"""),45886.95168831019)</f>
        <v>45886.95169</v>
      </c>
      <c r="B7" s="4" t="str">
        <f>IFERROR(__xludf.DUMMYFUNCTION("""COMPUTED_VALUE"""),"ajisadiqdala@gmail.com")</f>
        <v>ajisadiqdala@gmail.com</v>
      </c>
      <c r="C7" s="4" t="str">
        <f>IFERROR(__xludf.DUMMYFUNCTION("""COMPUTED_VALUE"""),"Sadiq Dala")</f>
        <v>Sadiq Dala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tr">
        <f>IFERROR(__xludf.DUMMYFUNCTION("""COMPUTED_VALUE"""),"Cluster 19")</f>
        <v>Cluster 19</v>
      </c>
      <c r="W7" s="4"/>
      <c r="X7" s="4"/>
      <c r="Y7" s="4"/>
      <c r="Z7" s="4"/>
      <c r="AA7" s="4" t="str">
        <f>IFERROR(__xludf.DUMMYFUNCTION("""COMPUTED_VALUE"""),"DARMA LINK")</f>
        <v>DARMA LINK</v>
      </c>
      <c r="AB7" s="4" t="str">
        <f>IFERROR(__xludf.DUMMYFUNCTION("""COMPUTED_VALUE"""),"Point 2")</f>
        <v>Point 2</v>
      </c>
      <c r="AC7" s="4">
        <f>IFERROR(__xludf.DUMMYFUNCTION("""COMPUTED_VALUE"""),11.992911)</f>
        <v>11.992911</v>
      </c>
      <c r="AD7" s="4">
        <f>IFERROR(__xludf.DUMMYFUNCTION("""COMPUTED_VALUE"""),8.569572)</f>
        <v>8.569572</v>
      </c>
      <c r="AE7" s="5" t="str">
        <f>IFERROR(__xludf.DUMMYFUNCTION("""COMPUTED_VALUE"""),"https://drive.google.com/open?id=1kf54DxWA8xSEwkPvsBw6YsLT9gsTB2De")</f>
        <v>https://drive.google.com/open?id=1kf54DxWA8xSEwkPvsBw6YsLT9gsTB2De</v>
      </c>
      <c r="AF7" s="4"/>
      <c r="AG7" s="4"/>
      <c r="AH7" s="4"/>
      <c r="AI7" s="4"/>
      <c r="AL7" s="4" t="str">
        <f t="shared" si="1"/>
        <v>Cluster 19</v>
      </c>
      <c r="AM7" s="4" t="str">
        <f t="shared" si="2"/>
        <v>DARMA LINK</v>
      </c>
    </row>
    <row r="8">
      <c r="A8" s="3">
        <f>IFERROR(__xludf.DUMMYFUNCTION("""COMPUTED_VALUE"""),45886.9498772338)</f>
        <v>45886.94988</v>
      </c>
      <c r="B8" s="4" t="str">
        <f>IFERROR(__xludf.DUMMYFUNCTION("""COMPUTED_VALUE"""),"ajisadiqdala@gmail.com")</f>
        <v>ajisadiqdala@gmail.com</v>
      </c>
      <c r="C8" s="4" t="str">
        <f>IFERROR(__xludf.DUMMYFUNCTION("""COMPUTED_VALUE"""),"Sadiq Dala")</f>
        <v>Sadiq Dala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 t="str">
        <f>IFERROR(__xludf.DUMMYFUNCTION("""COMPUTED_VALUE"""),"Cluster 19")</f>
        <v>Cluster 19</v>
      </c>
      <c r="W8" s="4"/>
      <c r="X8" s="4"/>
      <c r="Y8" s="4"/>
      <c r="Z8" s="4"/>
      <c r="AA8" s="4" t="str">
        <f>IFERROR(__xludf.DUMMYFUNCTION("""COMPUTED_VALUE"""),"DARMA LINK")</f>
        <v>DARMA LINK</v>
      </c>
      <c r="AB8" s="4" t="str">
        <f>IFERROR(__xludf.DUMMYFUNCTION("""COMPUTED_VALUE"""),"Point 1")</f>
        <v>Point 1</v>
      </c>
      <c r="AC8" s="4">
        <f>IFERROR(__xludf.DUMMYFUNCTION("""COMPUTED_VALUE"""),11.992416)</f>
        <v>11.992416</v>
      </c>
      <c r="AD8" s="4">
        <f>IFERROR(__xludf.DUMMYFUNCTION("""COMPUTED_VALUE"""),8.569545)</f>
        <v>8.569545</v>
      </c>
      <c r="AE8" s="5" t="str">
        <f>IFERROR(__xludf.DUMMYFUNCTION("""COMPUTED_VALUE"""),"https://drive.google.com/open?id=1e12Dx-97pKHAY8MsfNiLSGgSy63w-hI4")</f>
        <v>https://drive.google.com/open?id=1e12Dx-97pKHAY8MsfNiLSGgSy63w-hI4</v>
      </c>
      <c r="AF8" s="4"/>
      <c r="AG8" s="4"/>
      <c r="AH8" s="4"/>
      <c r="AI8" s="4"/>
      <c r="AL8" s="4" t="str">
        <f t="shared" si="1"/>
        <v>Cluster 19</v>
      </c>
      <c r="AM8" s="4" t="str">
        <f t="shared" si="2"/>
        <v>DARMA LINK</v>
      </c>
    </row>
    <row r="9">
      <c r="A9" s="3">
        <f>IFERROR(__xludf.DUMMYFUNCTION("""COMPUTED_VALUE"""),45886.94683273148)</f>
        <v>45886.94683</v>
      </c>
      <c r="B9" s="4" t="str">
        <f>IFERROR(__xludf.DUMMYFUNCTION("""COMPUTED_VALUE"""),"ajisadiqdala@gmail.com")</f>
        <v>ajisadiqdala@gmail.com</v>
      </c>
      <c r="C9" s="4" t="str">
        <f>IFERROR(__xludf.DUMMYFUNCTION("""COMPUTED_VALUE"""),"Sadiq Dala")</f>
        <v>Sadiq Dala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 t="str">
        <f>IFERROR(__xludf.DUMMYFUNCTION("""COMPUTED_VALUE"""),"Cluster 19")</f>
        <v>Cluster 19</v>
      </c>
      <c r="W9" s="4"/>
      <c r="X9" s="4"/>
      <c r="Y9" s="4"/>
      <c r="Z9" s="4"/>
      <c r="AA9" s="4" t="str">
        <f>IFERROR(__xludf.DUMMYFUNCTION("""COMPUTED_VALUE"""),"ABUBAKAR TSAV STREET")</f>
        <v>ABUBAKAR TSAV STREET</v>
      </c>
      <c r="AB9" s="4" t="str">
        <f>IFERROR(__xludf.DUMMYFUNCTION("""COMPUTED_VALUE"""),"Point 2")</f>
        <v>Point 2</v>
      </c>
      <c r="AC9" s="4">
        <f>IFERROR(__xludf.DUMMYFUNCTION("""COMPUTED_VALUE"""),11.993591)</f>
        <v>11.993591</v>
      </c>
      <c r="AD9" s="4">
        <f>IFERROR(__xludf.DUMMYFUNCTION("""COMPUTED_VALUE"""),8.568826)</f>
        <v>8.568826</v>
      </c>
      <c r="AE9" s="5" t="str">
        <f>IFERROR(__xludf.DUMMYFUNCTION("""COMPUTED_VALUE"""),"https://drive.google.com/open?id=1Uksnk2v2UHx7srmqyvaJJczH7d2xKLPc")</f>
        <v>https://drive.google.com/open?id=1Uksnk2v2UHx7srmqyvaJJczH7d2xKLPc</v>
      </c>
      <c r="AF9" s="4"/>
      <c r="AG9" s="4"/>
      <c r="AH9" s="4"/>
      <c r="AI9" s="4"/>
      <c r="AL9" s="4" t="str">
        <f t="shared" si="1"/>
        <v>Cluster 19</v>
      </c>
      <c r="AM9" s="4" t="str">
        <f t="shared" si="2"/>
        <v>ABUBAKAR TSAV STREET</v>
      </c>
    </row>
    <row r="10">
      <c r="A10" s="3">
        <f>IFERROR(__xludf.DUMMYFUNCTION("""COMPUTED_VALUE"""),45886.94387693287)</f>
        <v>45886.94388</v>
      </c>
      <c r="B10" s="4" t="str">
        <f>IFERROR(__xludf.DUMMYFUNCTION("""COMPUTED_VALUE"""),"ajisadiqdala@gmail.com")</f>
        <v>ajisadiqdala@gmail.com</v>
      </c>
      <c r="C10" s="4" t="str">
        <f>IFERROR(__xludf.DUMMYFUNCTION("""COMPUTED_VALUE"""),"Sadiq Dala")</f>
        <v>Sadiq Dala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 t="str">
        <f>IFERROR(__xludf.DUMMYFUNCTION("""COMPUTED_VALUE"""),"Cluster 12")</f>
        <v>Cluster 12</v>
      </c>
      <c r="W10" s="4"/>
      <c r="X10" s="4"/>
      <c r="Y10" s="4"/>
      <c r="Z10" s="4" t="str">
        <f>IFERROR(__xludf.DUMMYFUNCTION("""COMPUTED_VALUE"""),"BUNA ROAD")</f>
        <v>BUNA ROAD</v>
      </c>
      <c r="AA10" s="4"/>
      <c r="AB10" s="4" t="str">
        <f>IFERROR(__xludf.DUMMYFUNCTION("""COMPUTED_VALUE"""),"Point 1")</f>
        <v>Point 1</v>
      </c>
      <c r="AC10" s="4">
        <f>IFERROR(__xludf.DUMMYFUNCTION("""COMPUTED_VALUE"""),12.012237)</f>
        <v>12.012237</v>
      </c>
      <c r="AD10" s="4">
        <f>IFERROR(__xludf.DUMMYFUNCTION("""COMPUTED_VALUE"""),8.52487)</f>
        <v>8.52487</v>
      </c>
      <c r="AE10" s="5" t="str">
        <f>IFERROR(__xludf.DUMMYFUNCTION("""COMPUTED_VALUE"""),"https://drive.google.com/open?id=1yvIqE4FpHOElrRQlVGuNijIjBtGVWyX3")</f>
        <v>https://drive.google.com/open?id=1yvIqE4FpHOElrRQlVGuNijIjBtGVWyX3</v>
      </c>
      <c r="AF10" s="4"/>
      <c r="AG10" s="4"/>
      <c r="AH10" s="4"/>
      <c r="AI10" s="4"/>
      <c r="AL10" s="4" t="str">
        <f t="shared" si="1"/>
        <v>Cluster 12</v>
      </c>
      <c r="AM10" s="4" t="str">
        <f t="shared" si="2"/>
        <v>BUNA ROAD</v>
      </c>
    </row>
    <row r="11">
      <c r="A11" s="3">
        <f>IFERROR(__xludf.DUMMYFUNCTION("""COMPUTED_VALUE"""),45886.87543894676)</f>
        <v>45886.87544</v>
      </c>
      <c r="B11" s="4" t="str">
        <f>IFERROR(__xludf.DUMMYFUNCTION("""COMPUTED_VALUE"""),"ajisadiqdala@gmail.com")</f>
        <v>ajisadiqdala@gmail.com</v>
      </c>
      <c r="C11" s="4" t="str">
        <f>IFERROR(__xludf.DUMMYFUNCTION("""COMPUTED_VALUE"""),"Sadiq Dala")</f>
        <v>Sadiq Dala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 t="str">
        <f>IFERROR(__xludf.DUMMYFUNCTION("""COMPUTED_VALUE"""),"Cluster 5")</f>
        <v>Cluster 5</v>
      </c>
      <c r="W11" s="4" t="str">
        <f>IFERROR(__xludf.DUMMYFUNCTION("""COMPUTED_VALUE"""),"BAYAN GANDU ROAD")</f>
        <v>BAYAN GANDU ROAD</v>
      </c>
      <c r="X11" s="4"/>
      <c r="Y11" s="4"/>
      <c r="Z11" s="4"/>
      <c r="AA11" s="4"/>
      <c r="AB11" s="4" t="str">
        <f>IFERROR(__xludf.DUMMYFUNCTION("""COMPUTED_VALUE"""),"Point 2")</f>
        <v>Point 2</v>
      </c>
      <c r="AC11" s="4">
        <f>IFERROR(__xludf.DUMMYFUNCTION("""COMPUTED_VALUE"""),11.949135)</f>
        <v>11.949135</v>
      </c>
      <c r="AD11" s="4">
        <f>IFERROR(__xludf.DUMMYFUNCTION("""COMPUTED_VALUE"""),8.550088)</f>
        <v>8.550088</v>
      </c>
      <c r="AE11" s="5" t="str">
        <f>IFERROR(__xludf.DUMMYFUNCTION("""COMPUTED_VALUE"""),"https://drive.google.com/open?id=1elQq3jockCpJFe-mGpRIdukWHnJ69MLD")</f>
        <v>https://drive.google.com/open?id=1elQq3jockCpJFe-mGpRIdukWHnJ69MLD</v>
      </c>
      <c r="AF11" s="4"/>
      <c r="AG11" s="4"/>
      <c r="AH11" s="4"/>
      <c r="AI11" s="4"/>
      <c r="AL11" s="4" t="str">
        <f t="shared" si="1"/>
        <v>Cluster 5</v>
      </c>
      <c r="AM11" s="4" t="str">
        <f t="shared" si="2"/>
        <v>BAYAN GANDU ROAD</v>
      </c>
    </row>
    <row r="12">
      <c r="A12" s="3">
        <f>IFERROR(__xludf.DUMMYFUNCTION("""COMPUTED_VALUE"""),45886.86883222222)</f>
        <v>45886.86883</v>
      </c>
      <c r="B12" s="4" t="str">
        <f>IFERROR(__xludf.DUMMYFUNCTION("""COMPUTED_VALUE"""),"ajisadiqdala@gmail.com")</f>
        <v>ajisadiqdala@gmail.com</v>
      </c>
      <c r="C12" s="4" t="str">
        <f>IFERROR(__xludf.DUMMYFUNCTION("""COMPUTED_VALUE"""),"Sadiq Dala")</f>
        <v>Sadiq Dala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 t="str">
        <f>IFERROR(__xludf.DUMMYFUNCTION("""COMPUTED_VALUE"""),"Cluster 9")</f>
        <v>Cluster 9</v>
      </c>
      <c r="W12" s="4"/>
      <c r="X12" s="4" t="str">
        <f>IFERROR(__xludf.DUMMYFUNCTION("""COMPUTED_VALUE"""),"COURT ROAD")</f>
        <v>COURT ROAD</v>
      </c>
      <c r="Y12" s="4"/>
      <c r="Z12" s="4"/>
      <c r="AA12" s="4"/>
      <c r="AB12" s="4" t="str">
        <f>IFERROR(__xludf.DUMMYFUNCTION("""COMPUTED_VALUE"""),"Point 2")</f>
        <v>Point 2</v>
      </c>
      <c r="AC12" s="4">
        <f>IFERROR(__xludf.DUMMYFUNCTION("""COMPUTED_VALUE"""),12.014483)</f>
        <v>12.014483</v>
      </c>
      <c r="AD12" s="4">
        <f>IFERROR(__xludf.DUMMYFUNCTION("""COMPUTED_VALUE"""),8.534677)</f>
        <v>8.534677</v>
      </c>
      <c r="AE12" s="5" t="str">
        <f>IFERROR(__xludf.DUMMYFUNCTION("""COMPUTED_VALUE"""),"https://drive.google.com/open?id=1YY-7WBGgeypG5iIYh61c9PfMdkHWn34S")</f>
        <v>https://drive.google.com/open?id=1YY-7WBGgeypG5iIYh61c9PfMdkHWn34S</v>
      </c>
      <c r="AF12" s="4"/>
      <c r="AG12" s="4"/>
      <c r="AH12" s="4"/>
      <c r="AI12" s="4"/>
      <c r="AL12" s="4" t="str">
        <f t="shared" si="1"/>
        <v>Cluster 9</v>
      </c>
      <c r="AM12" s="4" t="str">
        <f t="shared" si="2"/>
        <v>COURT ROAD</v>
      </c>
    </row>
    <row r="13">
      <c r="A13" s="3">
        <f>IFERROR(__xludf.DUMMYFUNCTION("""COMPUTED_VALUE"""),45886.86400652778)</f>
        <v>45886.86401</v>
      </c>
      <c r="B13" s="4" t="str">
        <f>IFERROR(__xludf.DUMMYFUNCTION("""COMPUTED_VALUE"""),"ajisadiqdala@gmail.com")</f>
        <v>ajisadiqdala@gmail.com</v>
      </c>
      <c r="C13" s="4" t="str">
        <f>IFERROR(__xludf.DUMMYFUNCTION("""COMPUTED_VALUE"""),"Sadiq Dala")</f>
        <v>Sadiq Dala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 t="str">
        <f>IFERROR(__xludf.DUMMYFUNCTION("""COMPUTED_VALUE"""),"Cluster 12")</f>
        <v>Cluster 12</v>
      </c>
      <c r="W13" s="4"/>
      <c r="X13" s="4"/>
      <c r="Y13" s="4"/>
      <c r="Z13" s="4" t="str">
        <f>IFERROR(__xludf.DUMMYFUNCTION("""COMPUTED_VALUE"""),"JUSTICE DAHIRU MUSTAPHA ROAD")</f>
        <v>JUSTICE DAHIRU MUSTAPHA ROAD</v>
      </c>
      <c r="AA13" s="4"/>
      <c r="AB13" s="4" t="str">
        <f>IFERROR(__xludf.DUMMYFUNCTION("""COMPUTED_VALUE"""),"Point 2")</f>
        <v>Point 2</v>
      </c>
      <c r="AC13" s="4">
        <f>IFERROR(__xludf.DUMMYFUNCTION("""COMPUTED_VALUE"""),11.96822)</f>
        <v>11.96822</v>
      </c>
      <c r="AD13" s="4">
        <f>IFERROR(__xludf.DUMMYFUNCTION("""COMPUTED_VALUE"""),8.553611)</f>
        <v>8.553611</v>
      </c>
      <c r="AE13" s="5" t="str">
        <f>IFERROR(__xludf.DUMMYFUNCTION("""COMPUTED_VALUE"""),"https://drive.google.com/open?id=1teHMq-ZjIEcnMHPp1gbJnewcLrkWdQYk")</f>
        <v>https://drive.google.com/open?id=1teHMq-ZjIEcnMHPp1gbJnewcLrkWdQYk</v>
      </c>
      <c r="AF13" s="4"/>
      <c r="AG13" s="4"/>
      <c r="AH13" s="4"/>
      <c r="AI13" s="4"/>
      <c r="AL13" s="4" t="str">
        <f t="shared" si="1"/>
        <v>Cluster 12</v>
      </c>
      <c r="AM13" s="4" t="str">
        <f t="shared" si="2"/>
        <v>JUSTICE DAHIRU MUSTAPHA ROAD</v>
      </c>
    </row>
    <row r="14">
      <c r="A14" s="3">
        <f>IFERROR(__xludf.DUMMYFUNCTION("""COMPUTED_VALUE"""),45886.8561012037)</f>
        <v>45886.8561</v>
      </c>
      <c r="B14" s="4" t="str">
        <f>IFERROR(__xludf.DUMMYFUNCTION("""COMPUTED_VALUE"""),"ajisadiqdala@gmail.com")</f>
        <v>ajisadiqdala@gmail.com</v>
      </c>
      <c r="C14" s="4" t="str">
        <f>IFERROR(__xludf.DUMMYFUNCTION("""COMPUTED_VALUE"""),"Sadiq Dala")</f>
        <v>Sadiq Dala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 t="str">
        <f>IFERROR(__xludf.DUMMYFUNCTION("""COMPUTED_VALUE"""),"Cluster 9")</f>
        <v>Cluster 9</v>
      </c>
      <c r="W14" s="4"/>
      <c r="X14" s="4" t="str">
        <f>IFERROR(__xludf.DUMMYFUNCTION("""COMPUTED_VALUE"""),"GALADIMA STREET")</f>
        <v>GALADIMA STREET</v>
      </c>
      <c r="Y14" s="4"/>
      <c r="Z14" s="4"/>
      <c r="AA14" s="4"/>
      <c r="AB14" s="4" t="str">
        <f>IFERROR(__xludf.DUMMYFUNCTION("""COMPUTED_VALUE"""),"Point 2")</f>
        <v>Point 2</v>
      </c>
      <c r="AC14" s="4">
        <f>IFERROR(__xludf.DUMMYFUNCTION("""COMPUTED_VALUE"""),12.010775)</f>
        <v>12.010775</v>
      </c>
      <c r="AD14" s="4">
        <f>IFERROR(__xludf.DUMMYFUNCTION("""COMPUTED_VALUE"""),8.534677)</f>
        <v>8.534677</v>
      </c>
      <c r="AE14" s="5" t="str">
        <f>IFERROR(__xludf.DUMMYFUNCTION("""COMPUTED_VALUE"""),"https://drive.google.com/open?id=1i1hIGkflyeEf3q19iIsvB6uHJIUkuphD")</f>
        <v>https://drive.google.com/open?id=1i1hIGkflyeEf3q19iIsvB6uHJIUkuphD</v>
      </c>
      <c r="AF14" s="4"/>
      <c r="AG14" s="4"/>
      <c r="AH14" s="4"/>
      <c r="AI14" s="4"/>
      <c r="AL14" s="4" t="str">
        <f t="shared" si="1"/>
        <v>Cluster 9</v>
      </c>
      <c r="AM14" s="4" t="str">
        <f t="shared" si="2"/>
        <v>GALADIMA STREET</v>
      </c>
    </row>
    <row r="15">
      <c r="A15" s="3">
        <f>IFERROR(__xludf.DUMMYFUNCTION("""COMPUTED_VALUE"""),45886.853807141204)</f>
        <v>45886.85381</v>
      </c>
      <c r="B15" s="4" t="str">
        <f>IFERROR(__xludf.DUMMYFUNCTION("""COMPUTED_VALUE"""),"ajisadiqdala@gmail.com")</f>
        <v>ajisadiqdala@gmail.com</v>
      </c>
      <c r="C15" s="4" t="str">
        <f>IFERROR(__xludf.DUMMYFUNCTION("""COMPUTED_VALUE"""),"Sadiq Dala")</f>
        <v>Sadiq Dala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 t="str">
        <f>IFERROR(__xludf.DUMMYFUNCTION("""COMPUTED_VALUE"""),"Cluster 5")</f>
        <v>Cluster 5</v>
      </c>
      <c r="W15" s="4" t="str">
        <f>IFERROR(__xludf.DUMMYFUNCTION("""COMPUTED_VALUE"""),"SERVICE STREET")</f>
        <v>SERVICE STREET</v>
      </c>
      <c r="X15" s="4"/>
      <c r="Y15" s="4"/>
      <c r="Z15" s="4"/>
      <c r="AA15" s="4"/>
      <c r="AB15" s="4" t="str">
        <f>IFERROR(__xludf.DUMMYFUNCTION("""COMPUTED_VALUE"""),"Point 2")</f>
        <v>Point 2</v>
      </c>
      <c r="AC15" s="4">
        <f>IFERROR(__xludf.DUMMYFUNCTION("""COMPUTED_VALUE"""),11.941463)</f>
        <v>11.941463</v>
      </c>
      <c r="AD15" s="4">
        <f>IFERROR(__xludf.DUMMYFUNCTION("""COMPUTED_VALUE"""),8.556532)</f>
        <v>8.556532</v>
      </c>
      <c r="AE15" s="5" t="str">
        <f>IFERROR(__xludf.DUMMYFUNCTION("""COMPUTED_VALUE"""),"https://drive.google.com/open?id=1WHwSqwLNdIo25Wgx8QmwgQ86TWF-TgUq")</f>
        <v>https://drive.google.com/open?id=1WHwSqwLNdIo25Wgx8QmwgQ86TWF-TgUq</v>
      </c>
      <c r="AF15" s="4"/>
      <c r="AG15" s="4"/>
      <c r="AH15" s="4"/>
      <c r="AI15" s="4"/>
      <c r="AL15" s="4" t="str">
        <f t="shared" si="1"/>
        <v>Cluster 5</v>
      </c>
      <c r="AM15" s="4" t="str">
        <f t="shared" si="2"/>
        <v>SERVICE STREET</v>
      </c>
    </row>
    <row r="16">
      <c r="A16" s="3">
        <f>IFERROR(__xludf.DUMMYFUNCTION("""COMPUTED_VALUE"""),45886.85099103009)</f>
        <v>45886.85099</v>
      </c>
      <c r="B16" s="4" t="str">
        <f>IFERROR(__xludf.DUMMYFUNCTION("""COMPUTED_VALUE"""),"ajisadiqdala@gmail.com")</f>
        <v>ajisadiqdala@gmail.com</v>
      </c>
      <c r="C16" s="4" t="str">
        <f>IFERROR(__xludf.DUMMYFUNCTION("""COMPUTED_VALUE"""),"Sadiq Dala")</f>
        <v>Sadiq Dala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str">
        <f>IFERROR(__xludf.DUMMYFUNCTION("""COMPUTED_VALUE"""),"Cluster 5")</f>
        <v>Cluster 5</v>
      </c>
      <c r="W16" s="4" t="str">
        <f>IFERROR(__xludf.DUMMYFUNCTION("""COMPUTED_VALUE"""),"SAGIR W.MAI IYALI STREET")</f>
        <v>SAGIR W.MAI IYALI STREET</v>
      </c>
      <c r="X16" s="4"/>
      <c r="Y16" s="4"/>
      <c r="Z16" s="4"/>
      <c r="AA16" s="4"/>
      <c r="AB16" s="4" t="str">
        <f>IFERROR(__xludf.DUMMYFUNCTION("""COMPUTED_VALUE"""),"Point 2")</f>
        <v>Point 2</v>
      </c>
      <c r="AC16" s="4">
        <f>IFERROR(__xludf.DUMMYFUNCTION("""COMPUTED_VALUE"""),11.944812)</f>
        <v>11.944812</v>
      </c>
      <c r="AD16" s="4">
        <f>IFERROR(__xludf.DUMMYFUNCTION("""COMPUTED_VALUE"""),8.552836)</f>
        <v>8.552836</v>
      </c>
      <c r="AE16" s="5" t="str">
        <f>IFERROR(__xludf.DUMMYFUNCTION("""COMPUTED_VALUE"""),"https://drive.google.com/open?id=1GrtAhpoPffhoQd1VBFiu_TlQpqyHWtiv")</f>
        <v>https://drive.google.com/open?id=1GrtAhpoPffhoQd1VBFiu_TlQpqyHWtiv</v>
      </c>
      <c r="AF16" s="4"/>
      <c r="AG16" s="4"/>
      <c r="AH16" s="4"/>
      <c r="AI16" s="4"/>
      <c r="AL16" s="4" t="str">
        <f t="shared" si="1"/>
        <v>Cluster 5</v>
      </c>
      <c r="AM16" s="4" t="str">
        <f t="shared" si="2"/>
        <v>SAGIR W.MAI IYALI STREET</v>
      </c>
    </row>
    <row r="17">
      <c r="A17" s="3">
        <f>IFERROR(__xludf.DUMMYFUNCTION("""COMPUTED_VALUE"""),45886.5349078588)</f>
        <v>45886.53491</v>
      </c>
      <c r="B17" s="4" t="str">
        <f>IFERROR(__xludf.DUMMYFUNCTION("""COMPUTED_VALUE"""),"umrdalhatu@gmail.com")</f>
        <v>umrdalhatu@gmail.com</v>
      </c>
      <c r="C17" s="4" t="str">
        <f>IFERROR(__xludf.DUMMYFUNCTION("""COMPUTED_VALUE"""),"Umar Dalhatu")</f>
        <v>Umar Dalhatu</v>
      </c>
      <c r="D17" s="4"/>
      <c r="E17" s="4"/>
      <c r="F17" s="4"/>
      <c r="G17" s="4"/>
      <c r="H17" s="4"/>
      <c r="I17" s="4"/>
      <c r="J17" s="4" t="str">
        <f>IFERROR(__xludf.DUMMYFUNCTION("""COMPUTED_VALUE"""),"Cluster 10")</f>
        <v>Cluster 10</v>
      </c>
      <c r="K17" s="4"/>
      <c r="L17" s="4"/>
      <c r="M17" s="4" t="str">
        <f>IFERROR(__xludf.DUMMYFUNCTION("""COMPUTED_VALUE"""),"HAUSAWA MODEL PRIMARY SCHOOL ROAD")</f>
        <v>HAUSAWA MODEL PRIMARY SCHOOL ROAD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 t="str">
        <f>IFERROR(__xludf.DUMMYFUNCTION("""COMPUTED_VALUE"""),"Point 2")</f>
        <v>Point 2</v>
      </c>
      <c r="AC17" s="4">
        <f>IFERROR(__xludf.DUMMYFUNCTION("""COMPUTED_VALUE"""),11.96705682)</f>
        <v>11.96705682</v>
      </c>
      <c r="AD17" s="4">
        <f>IFERROR(__xludf.DUMMYFUNCTION("""COMPUTED_VALUE"""),8.536942153)</f>
        <v>8.536942153</v>
      </c>
      <c r="AE17" s="5" t="str">
        <f>IFERROR(__xludf.DUMMYFUNCTION("""COMPUTED_VALUE"""),"https://drive.google.com/open?id=16aqy14pbwZRgLTAQxJ7aRoecDXLlMBmP")</f>
        <v>https://drive.google.com/open?id=16aqy14pbwZRgLTAQxJ7aRoecDXLlMBmP</v>
      </c>
      <c r="AF17" s="4"/>
      <c r="AG17" s="4"/>
      <c r="AH17" s="4"/>
      <c r="AI17" s="4"/>
      <c r="AL17" s="4" t="str">
        <f t="shared" si="1"/>
        <v>Cluster 10</v>
      </c>
      <c r="AM17" s="4" t="str">
        <f t="shared" si="2"/>
        <v>HAUSAWA MODEL PRIMARY SCHOOL ROAD</v>
      </c>
    </row>
    <row r="18">
      <c r="A18" s="3">
        <f>IFERROR(__xludf.DUMMYFUNCTION("""COMPUTED_VALUE"""),45886.53281146991)</f>
        <v>45886.53281</v>
      </c>
      <c r="B18" s="4" t="str">
        <f>IFERROR(__xludf.DUMMYFUNCTION("""COMPUTED_VALUE"""),"umrdalhatu@gmail.com")</f>
        <v>umrdalhatu@gmail.com</v>
      </c>
      <c r="C18" s="4" t="str">
        <f>IFERROR(__xludf.DUMMYFUNCTION("""COMPUTED_VALUE"""),"Umar Dalhatu")</f>
        <v>Umar Dalhatu</v>
      </c>
      <c r="D18" s="4"/>
      <c r="E18" s="4"/>
      <c r="F18" s="4"/>
      <c r="G18" s="4"/>
      <c r="H18" s="4"/>
      <c r="I18" s="4"/>
      <c r="J18" s="4" t="str">
        <f>IFERROR(__xludf.DUMMYFUNCTION("""COMPUTED_VALUE"""),"Cluster 10")</f>
        <v>Cluster 10</v>
      </c>
      <c r="K18" s="4"/>
      <c r="L18" s="4"/>
      <c r="M18" s="4" t="str">
        <f>IFERROR(__xludf.DUMMYFUNCTION("""COMPUTED_VALUE"""),"HAUSAWA MODEL PRIMARY SCHOOL ROAD")</f>
        <v>HAUSAWA MODEL PRIMARY SCHOOL ROAD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tr">
        <f>IFERROR(__xludf.DUMMYFUNCTION("""COMPUTED_VALUE"""),"Point 1")</f>
        <v>Point 1</v>
      </c>
      <c r="AC18" s="4">
        <f>IFERROR(__xludf.DUMMYFUNCTION("""COMPUTED_VALUE"""),11.966964)</f>
        <v>11.966964</v>
      </c>
      <c r="AD18" s="4">
        <f>IFERROR(__xludf.DUMMYFUNCTION("""COMPUTED_VALUE"""),8.539032)</f>
        <v>8.539032</v>
      </c>
      <c r="AE18" s="5" t="str">
        <f>IFERROR(__xludf.DUMMYFUNCTION("""COMPUTED_VALUE"""),"https://drive.google.com/open?id=1dIgMN8z03RRN3o_0cVqH4VOasDhxP9Gq")</f>
        <v>https://drive.google.com/open?id=1dIgMN8z03RRN3o_0cVqH4VOasDhxP9Gq</v>
      </c>
      <c r="AF18" s="4"/>
      <c r="AG18" s="4"/>
      <c r="AH18" s="4"/>
      <c r="AI18" s="4"/>
      <c r="AL18" s="4" t="str">
        <f t="shared" si="1"/>
        <v>Cluster 10</v>
      </c>
      <c r="AM18" s="4" t="str">
        <f t="shared" si="2"/>
        <v>HAUSAWA MODEL PRIMARY SCHOOL ROAD</v>
      </c>
    </row>
    <row r="19">
      <c r="A19" s="3">
        <f>IFERROR(__xludf.DUMMYFUNCTION("""COMPUTED_VALUE"""),45885.73538982639)</f>
        <v>45885.73539</v>
      </c>
      <c r="B19" s="4" t="str">
        <f>IFERROR(__xludf.DUMMYFUNCTION("""COMPUTED_VALUE"""),"ajisadiqdala@gmail.com")</f>
        <v>ajisadiqdala@gmail.com</v>
      </c>
      <c r="C19" s="4" t="str">
        <f>IFERROR(__xludf.DUMMYFUNCTION("""COMPUTED_VALUE"""),"Sadiq Dala")</f>
        <v>Sadiq Dala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str">
        <f>IFERROR(__xludf.DUMMYFUNCTION("""COMPUTED_VALUE"""),"Cluster 9")</f>
        <v>Cluster 9</v>
      </c>
      <c r="W19" s="4"/>
      <c r="X19" s="4" t="str">
        <f>IFERROR(__xludf.DUMMYFUNCTION("""COMPUTED_VALUE"""),"NEW ROAD")</f>
        <v>NEW ROAD</v>
      </c>
      <c r="Y19" s="4"/>
      <c r="Z19" s="4"/>
      <c r="AA19" s="4"/>
      <c r="AB19" s="4" t="str">
        <f>IFERROR(__xludf.DUMMYFUNCTION("""COMPUTED_VALUE"""),"Point 1")</f>
        <v>Point 1</v>
      </c>
      <c r="AC19" s="4">
        <f>IFERROR(__xludf.DUMMYFUNCTION("""COMPUTED_VALUE"""),12.018467)</f>
        <v>12.018467</v>
      </c>
      <c r="AD19" s="4">
        <f>IFERROR(__xludf.DUMMYFUNCTION("""COMPUTED_VALUE"""),8.529527)</f>
        <v>8.529527</v>
      </c>
      <c r="AE19" s="5" t="str">
        <f>IFERROR(__xludf.DUMMYFUNCTION("""COMPUTED_VALUE"""),"https://drive.google.com/open?id=1QKQZqWD7vi6HNQwEKeu33yT-InBvns4U")</f>
        <v>https://drive.google.com/open?id=1QKQZqWD7vi6HNQwEKeu33yT-InBvns4U</v>
      </c>
      <c r="AF19" s="4"/>
      <c r="AG19" s="4"/>
      <c r="AH19" s="4"/>
      <c r="AI19" s="4"/>
      <c r="AL19" s="4" t="str">
        <f t="shared" si="1"/>
        <v>Cluster 9</v>
      </c>
      <c r="AM19" s="4" t="str">
        <f t="shared" si="2"/>
        <v>NEW ROAD</v>
      </c>
    </row>
    <row r="20">
      <c r="A20" s="3">
        <f>IFERROR(__xludf.DUMMYFUNCTION("""COMPUTED_VALUE"""),45885.53363762732)</f>
        <v>45885.53364</v>
      </c>
      <c r="B20" s="4" t="str">
        <f>IFERROR(__xludf.DUMMYFUNCTION("""COMPUTED_VALUE"""),"elhabs256@gmail.com")</f>
        <v>elhabs256@gmail.com</v>
      </c>
      <c r="C20" s="4" t="str">
        <f>IFERROR(__xludf.DUMMYFUNCTION("""COMPUTED_VALUE"""),"Abdullahi Elhabeeb")</f>
        <v>Abdullahi Elhabeeb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tr">
        <f>IFERROR(__xludf.DUMMYFUNCTION("""COMPUTED_VALUE"""),"Cluster 13")</f>
        <v>Cluster 13</v>
      </c>
      <c r="Q20" s="4"/>
      <c r="R20" s="4"/>
      <c r="S20" s="4"/>
      <c r="T20" s="4" t="str">
        <f>IFERROR(__xludf.DUMMYFUNCTION("""COMPUTED_VALUE"""),"10TH STREET")</f>
        <v>10TH STREET</v>
      </c>
      <c r="U20" s="4"/>
      <c r="V20" s="4"/>
      <c r="W20" s="4"/>
      <c r="X20" s="4"/>
      <c r="Y20" s="4"/>
      <c r="Z20" s="4"/>
      <c r="AA20" s="4"/>
      <c r="AB20" s="4" t="str">
        <f>IFERROR(__xludf.DUMMYFUNCTION("""COMPUTED_VALUE"""),"Point 1")</f>
        <v>Point 1</v>
      </c>
      <c r="AC20" s="4">
        <f>IFERROR(__xludf.DUMMYFUNCTION("""COMPUTED_VALUE"""),11.95351)</f>
        <v>11.95351</v>
      </c>
      <c r="AD20" s="4">
        <f>IFERROR(__xludf.DUMMYFUNCTION("""COMPUTED_VALUE"""),8.523716)</f>
        <v>8.523716</v>
      </c>
      <c r="AE20" s="5" t="str">
        <f>IFERROR(__xludf.DUMMYFUNCTION("""COMPUTED_VALUE"""),"https://drive.google.com/open?id=1z68jt9o9SglVe7gPVVyLTCRqZyuZ1h9R")</f>
        <v>https://drive.google.com/open?id=1z68jt9o9SglVe7gPVVyLTCRqZyuZ1h9R</v>
      </c>
      <c r="AF20" s="4"/>
      <c r="AG20" s="4"/>
      <c r="AH20" s="4"/>
      <c r="AI20" s="4"/>
      <c r="AL20" s="4" t="str">
        <f t="shared" si="1"/>
        <v>Cluster 13</v>
      </c>
      <c r="AM20" s="4" t="str">
        <f t="shared" si="2"/>
        <v>10TH STREET</v>
      </c>
    </row>
    <row r="21">
      <c r="A21" s="3">
        <f>IFERROR(__xludf.DUMMYFUNCTION("""COMPUTED_VALUE"""),45885.53018915509)</f>
        <v>45885.53019</v>
      </c>
      <c r="B21" s="4" t="str">
        <f>IFERROR(__xludf.DUMMYFUNCTION("""COMPUTED_VALUE"""),"elhabs256@gmail.com")</f>
        <v>elhabs256@gmail.com</v>
      </c>
      <c r="C21" s="4" t="str">
        <f>IFERROR(__xludf.DUMMYFUNCTION("""COMPUTED_VALUE"""),"Abdullahi Elhabeeb")</f>
        <v>Abdullahi Elhabeeb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tr">
        <f>IFERROR(__xludf.DUMMYFUNCTION("""COMPUTED_VALUE"""),"Cluster 13")</f>
        <v>Cluster 13</v>
      </c>
      <c r="Q21" s="4"/>
      <c r="R21" s="4"/>
      <c r="S21" s="4"/>
      <c r="T21" s="4" t="str">
        <f>IFERROR(__xludf.DUMMYFUNCTION("""COMPUTED_VALUE"""),"12TH STREET")</f>
        <v>12TH STREET</v>
      </c>
      <c r="U21" s="4"/>
      <c r="V21" s="4"/>
      <c r="W21" s="4"/>
      <c r="X21" s="4"/>
      <c r="Y21" s="4"/>
      <c r="Z21" s="4"/>
      <c r="AA21" s="4"/>
      <c r="AB21" s="4" t="str">
        <f>IFERROR(__xludf.DUMMYFUNCTION("""COMPUTED_VALUE"""),"Point 2")</f>
        <v>Point 2</v>
      </c>
      <c r="AC21" s="4">
        <f>IFERROR(__xludf.DUMMYFUNCTION("""COMPUTED_VALUE"""),11.95367235)</f>
        <v>11.95367235</v>
      </c>
      <c r="AD21" s="4">
        <f>IFERROR(__xludf.DUMMYFUNCTION("""COMPUTED_VALUE"""),8.522900968)</f>
        <v>8.522900968</v>
      </c>
      <c r="AE21" s="5" t="str">
        <f>IFERROR(__xludf.DUMMYFUNCTION("""COMPUTED_VALUE"""),"https://drive.google.com/open?id=1_w59FI7Mx2cNFtJvsSNrTN6ssf5lH4Ow")</f>
        <v>https://drive.google.com/open?id=1_w59FI7Mx2cNFtJvsSNrTN6ssf5lH4Ow</v>
      </c>
      <c r="AF21" s="4"/>
      <c r="AG21" s="4"/>
      <c r="AH21" s="4"/>
      <c r="AI21" s="4"/>
      <c r="AL21" s="4" t="str">
        <f t="shared" si="1"/>
        <v>Cluster 13</v>
      </c>
      <c r="AM21" s="4" t="str">
        <f t="shared" si="2"/>
        <v>12TH STREET</v>
      </c>
    </row>
    <row r="22">
      <c r="A22" s="3">
        <f>IFERROR(__xludf.DUMMYFUNCTION("""COMPUTED_VALUE"""),45885.52833497685)</f>
        <v>45885.52833</v>
      </c>
      <c r="B22" s="4" t="str">
        <f>IFERROR(__xludf.DUMMYFUNCTION("""COMPUTED_VALUE"""),"elhabs256@gmail.com")</f>
        <v>elhabs256@gmail.com</v>
      </c>
      <c r="C22" s="4" t="str">
        <f>IFERROR(__xludf.DUMMYFUNCTION("""COMPUTED_VALUE"""),"Abdullahi Elhabeeb")</f>
        <v>Abdullahi Elhabeeb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tr">
        <f>IFERROR(__xludf.DUMMYFUNCTION("""COMPUTED_VALUE"""),"Cluster 13")</f>
        <v>Cluster 13</v>
      </c>
      <c r="Q22" s="4"/>
      <c r="R22" s="4"/>
      <c r="S22" s="4"/>
      <c r="T22" s="4" t="str">
        <f>IFERROR(__xludf.DUMMYFUNCTION("""COMPUTED_VALUE"""),"12TH STREET")</f>
        <v>12TH STREET</v>
      </c>
      <c r="U22" s="4"/>
      <c r="V22" s="4"/>
      <c r="W22" s="4"/>
      <c r="X22" s="4"/>
      <c r="Y22" s="4"/>
      <c r="Z22" s="4"/>
      <c r="AA22" s="4"/>
      <c r="AB22" s="4" t="str">
        <f>IFERROR(__xludf.DUMMYFUNCTION("""COMPUTED_VALUE"""),"Point 1")</f>
        <v>Point 1</v>
      </c>
      <c r="AC22" s="4">
        <f>IFERROR(__xludf.DUMMYFUNCTION("""COMPUTED_VALUE"""),11.953658)</f>
        <v>11.953658</v>
      </c>
      <c r="AD22" s="4">
        <f>IFERROR(__xludf.DUMMYFUNCTION("""COMPUTED_VALUE"""),8.522832)</f>
        <v>8.522832</v>
      </c>
      <c r="AE22" s="5" t="str">
        <f>IFERROR(__xludf.DUMMYFUNCTION("""COMPUTED_VALUE"""),"https://drive.google.com/open?id=1ezR7FhQZv92k23OkmPntrwBr4lKKsfuo")</f>
        <v>https://drive.google.com/open?id=1ezR7FhQZv92k23OkmPntrwBr4lKKsfuo</v>
      </c>
      <c r="AF22" s="4"/>
      <c r="AG22" s="4"/>
      <c r="AH22" s="4"/>
      <c r="AI22" s="4"/>
      <c r="AL22" s="4" t="str">
        <f t="shared" si="1"/>
        <v>Cluster 13</v>
      </c>
      <c r="AM22" s="4" t="str">
        <f t="shared" si="2"/>
        <v>12TH STREET</v>
      </c>
    </row>
    <row r="23">
      <c r="A23" s="3">
        <f>IFERROR(__xludf.DUMMYFUNCTION("""COMPUTED_VALUE"""),45885.52712251157)</f>
        <v>45885.52712</v>
      </c>
      <c r="B23" s="4" t="str">
        <f>IFERROR(__xludf.DUMMYFUNCTION("""COMPUTED_VALUE"""),"elhabs256@gmail.com")</f>
        <v>elhabs256@gmail.com</v>
      </c>
      <c r="C23" s="4" t="str">
        <f>IFERROR(__xludf.DUMMYFUNCTION("""COMPUTED_VALUE"""),"Abdullahi Elhabeeb")</f>
        <v>Abdullahi Elhabeeb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tr">
        <f>IFERROR(__xludf.DUMMYFUNCTION("""COMPUTED_VALUE"""),"Cluster 13")</f>
        <v>Cluster 13</v>
      </c>
      <c r="Q23" s="4"/>
      <c r="R23" s="4"/>
      <c r="S23" s="4"/>
      <c r="T23" s="4" t="str">
        <f>IFERROR(__xludf.DUMMYFUNCTION("""COMPUTED_VALUE"""),"10TH STREET")</f>
        <v>10TH STREET</v>
      </c>
      <c r="U23" s="4"/>
      <c r="V23" s="4"/>
      <c r="W23" s="4"/>
      <c r="X23" s="4"/>
      <c r="Y23" s="4"/>
      <c r="Z23" s="4"/>
      <c r="AA23" s="4"/>
      <c r="AB23" s="4" t="str">
        <f>IFERROR(__xludf.DUMMYFUNCTION("""COMPUTED_VALUE"""),"Point 2")</f>
        <v>Point 2</v>
      </c>
      <c r="AC23" s="4">
        <f>IFERROR(__xludf.DUMMYFUNCTION("""COMPUTED_VALUE"""),11.95404936)</f>
        <v>11.95404936</v>
      </c>
      <c r="AD23" s="4">
        <f>IFERROR(__xludf.DUMMYFUNCTION("""COMPUTED_VALUE"""),8.5233627)</f>
        <v>8.5233627</v>
      </c>
      <c r="AE23" s="5" t="str">
        <f>IFERROR(__xludf.DUMMYFUNCTION("""COMPUTED_VALUE"""),"https://drive.google.com/open?id=1PhWVjxrEVjjYsfNuRvSesEnhL5Y8AUxB")</f>
        <v>https://drive.google.com/open?id=1PhWVjxrEVjjYsfNuRvSesEnhL5Y8AUxB</v>
      </c>
      <c r="AF23" s="4"/>
      <c r="AG23" s="4"/>
      <c r="AH23" s="4"/>
      <c r="AI23" s="4"/>
      <c r="AL23" s="4" t="str">
        <f t="shared" si="1"/>
        <v>Cluster 13</v>
      </c>
      <c r="AM23" s="4" t="str">
        <f t="shared" si="2"/>
        <v>10TH STREET</v>
      </c>
    </row>
    <row r="24">
      <c r="A24" s="3">
        <f>IFERROR(__xludf.DUMMYFUNCTION("""COMPUTED_VALUE"""),45885.524640358795)</f>
        <v>45885.52464</v>
      </c>
      <c r="B24" s="4" t="str">
        <f>IFERROR(__xludf.DUMMYFUNCTION("""COMPUTED_VALUE"""),"elhabs256@gmail.com")</f>
        <v>elhabs256@gmail.com</v>
      </c>
      <c r="C24" s="4" t="str">
        <f>IFERROR(__xludf.DUMMYFUNCTION("""COMPUTED_VALUE"""),"Abdullahi Elhabeeb")</f>
        <v>Abdullahi Elhabeeb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tr">
        <f>IFERROR(__xludf.DUMMYFUNCTION("""COMPUTED_VALUE"""),"Cluster 13")</f>
        <v>Cluster 13</v>
      </c>
      <c r="Q24" s="4"/>
      <c r="R24" s="4"/>
      <c r="S24" s="4"/>
      <c r="T24" s="4" t="str">
        <f>IFERROR(__xludf.DUMMYFUNCTION("""COMPUTED_VALUE"""),"12TH STREET")</f>
        <v>12TH STREET</v>
      </c>
      <c r="U24" s="4"/>
      <c r="V24" s="4"/>
      <c r="W24" s="4"/>
      <c r="X24" s="4"/>
      <c r="Y24" s="4"/>
      <c r="Z24" s="4"/>
      <c r="AA24" s="4"/>
      <c r="AB24" s="4" t="str">
        <f>IFERROR(__xludf.DUMMYFUNCTION("""COMPUTED_VALUE"""),"Point 1")</f>
        <v>Point 1</v>
      </c>
      <c r="AC24" s="4">
        <f>IFERROR(__xludf.DUMMYFUNCTION("""COMPUTED_VALUE"""),11.95351)</f>
        <v>11.95351</v>
      </c>
      <c r="AD24" s="4">
        <f>IFERROR(__xludf.DUMMYFUNCTION("""COMPUTED_VALUE"""),8.523716)</f>
        <v>8.523716</v>
      </c>
      <c r="AE24" s="5" t="str">
        <f>IFERROR(__xludf.DUMMYFUNCTION("""COMPUTED_VALUE"""),"https://drive.google.com/open?id=1Ol1Av6H3odwL3wiWWjFP9kyPAImLPfCG")</f>
        <v>https://drive.google.com/open?id=1Ol1Av6H3odwL3wiWWjFP9kyPAImLPfCG</v>
      </c>
      <c r="AF24" s="4"/>
      <c r="AG24" s="4"/>
      <c r="AH24" s="4"/>
      <c r="AI24" s="4"/>
      <c r="AL24" s="4" t="str">
        <f t="shared" si="1"/>
        <v>Cluster 13</v>
      </c>
      <c r="AM24" s="4" t="str">
        <f t="shared" si="2"/>
        <v>12TH STREET</v>
      </c>
    </row>
    <row r="25">
      <c r="A25" s="3">
        <f>IFERROR(__xludf.DUMMYFUNCTION("""COMPUTED_VALUE"""),45882.3989590625)</f>
        <v>45882.39896</v>
      </c>
      <c r="B25" s="4" t="str">
        <f>IFERROR(__xludf.DUMMYFUNCTION("""COMPUTED_VALUE"""),"elhabs256@gmail.com")</f>
        <v>elhabs256@gmail.com</v>
      </c>
      <c r="C25" s="4" t="str">
        <f>IFERROR(__xludf.DUMMYFUNCTION("""COMPUTED_VALUE"""),"Abdullahi Elhabeeb")</f>
        <v>Abdullahi Elhabeeb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tr">
        <f>IFERROR(__xludf.DUMMYFUNCTION("""COMPUTED_VALUE"""),"Cluster 18")</f>
        <v>Cluster 18</v>
      </c>
      <c r="Q25" s="4"/>
      <c r="R25" s="4"/>
      <c r="S25" s="4"/>
      <c r="T25" s="4"/>
      <c r="U25" s="4" t="str">
        <f>IFERROR(__xludf.DUMMYFUNCTION("""COMPUTED_VALUE"""),"TUKUR LINK")</f>
        <v>TUKUR LINK</v>
      </c>
      <c r="V25" s="4"/>
      <c r="W25" s="4"/>
      <c r="X25" s="4"/>
      <c r="Y25" s="4"/>
      <c r="Z25" s="4"/>
      <c r="AA25" s="4"/>
      <c r="AB25" s="4" t="str">
        <f>IFERROR(__xludf.DUMMYFUNCTION("""COMPUTED_VALUE"""),"Point 2")</f>
        <v>Point 2</v>
      </c>
      <c r="AC25" s="4">
        <f>IFERROR(__xludf.DUMMYFUNCTION("""COMPUTED_VALUE"""),12.000671)</f>
        <v>12.000671</v>
      </c>
      <c r="AD25" s="4">
        <f>IFERROR(__xludf.DUMMYFUNCTION("""COMPUTED_VALUE"""),8.558725)</f>
        <v>8.558725</v>
      </c>
      <c r="AE25" s="5" t="str">
        <f>IFERROR(__xludf.DUMMYFUNCTION("""COMPUTED_VALUE"""),"https://drive.google.com/open?id=1i6Js6HTzOz1dBT6YlTO43ssl5QQyGaox")</f>
        <v>https://drive.google.com/open?id=1i6Js6HTzOz1dBT6YlTO43ssl5QQyGaox</v>
      </c>
      <c r="AF25" s="4"/>
      <c r="AG25" s="4"/>
      <c r="AH25" s="4"/>
      <c r="AI25" s="4"/>
      <c r="AL25" s="4" t="str">
        <f t="shared" si="1"/>
        <v>Cluster 18</v>
      </c>
      <c r="AM25" s="4" t="str">
        <f t="shared" si="2"/>
        <v>TUKUR LINK</v>
      </c>
    </row>
    <row r="26">
      <c r="A26" s="3">
        <f>IFERROR(__xludf.DUMMYFUNCTION("""COMPUTED_VALUE"""),45882.39756493055)</f>
        <v>45882.39756</v>
      </c>
      <c r="B26" s="4" t="str">
        <f>IFERROR(__xludf.DUMMYFUNCTION("""COMPUTED_VALUE"""),"elhabs256@gmail.com")</f>
        <v>elhabs256@gmail.com</v>
      </c>
      <c r="C26" s="4" t="str">
        <f>IFERROR(__xludf.DUMMYFUNCTION("""COMPUTED_VALUE"""),"Abdullahi Elhabeeb")</f>
        <v>Abdullahi Elhabeeb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tr">
        <f>IFERROR(__xludf.DUMMYFUNCTION("""COMPUTED_VALUE"""),"Cluster 18")</f>
        <v>Cluster 18</v>
      </c>
      <c r="Q26" s="4"/>
      <c r="R26" s="4"/>
      <c r="S26" s="4"/>
      <c r="T26" s="4"/>
      <c r="U26" s="4" t="str">
        <f>IFERROR(__xludf.DUMMYFUNCTION("""COMPUTED_VALUE"""),"TUKUR LINK")</f>
        <v>TUKUR LINK</v>
      </c>
      <c r="V26" s="4"/>
      <c r="W26" s="4"/>
      <c r="X26" s="4"/>
      <c r="Y26" s="4"/>
      <c r="Z26" s="4"/>
      <c r="AA26" s="4"/>
      <c r="AB26" s="4" t="str">
        <f>IFERROR(__xludf.DUMMYFUNCTION("""COMPUTED_VALUE"""),"Point 1")</f>
        <v>Point 1</v>
      </c>
      <c r="AC26" s="4">
        <f>IFERROR(__xludf.DUMMYFUNCTION("""COMPUTED_VALUE"""),12.00014)</f>
        <v>12.00014</v>
      </c>
      <c r="AD26" s="4">
        <f>IFERROR(__xludf.DUMMYFUNCTION("""COMPUTED_VALUE"""),8.558667)</f>
        <v>8.558667</v>
      </c>
      <c r="AE26" s="5" t="str">
        <f>IFERROR(__xludf.DUMMYFUNCTION("""COMPUTED_VALUE"""),"https://drive.google.com/open?id=1Of8IfjoXFrVM70ZBDEUvwRHlg5E72xa1")</f>
        <v>https://drive.google.com/open?id=1Of8IfjoXFrVM70ZBDEUvwRHlg5E72xa1</v>
      </c>
      <c r="AF26" s="4"/>
      <c r="AG26" s="4"/>
      <c r="AH26" s="4"/>
      <c r="AI26" s="4"/>
      <c r="AL26" s="4" t="str">
        <f t="shared" si="1"/>
        <v>Cluster 18</v>
      </c>
      <c r="AM26" s="4" t="str">
        <f t="shared" si="2"/>
        <v>TUKUR LINK</v>
      </c>
    </row>
    <row r="27">
      <c r="A27" s="3">
        <f>IFERROR(__xludf.DUMMYFUNCTION("""COMPUTED_VALUE"""),45882.39619726852)</f>
        <v>45882.3962</v>
      </c>
      <c r="B27" s="4" t="str">
        <f>IFERROR(__xludf.DUMMYFUNCTION("""COMPUTED_VALUE"""),"elhabs256@gmail.com")</f>
        <v>elhabs256@gmail.com</v>
      </c>
      <c r="C27" s="4" t="str">
        <f>IFERROR(__xludf.DUMMYFUNCTION("""COMPUTED_VALUE"""),"Abdullahi Elhabeeb")</f>
        <v>Abdullahi Elhabeeb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tr">
        <f>IFERROR(__xludf.DUMMYFUNCTION("""COMPUTED_VALUE"""),"Cluster 18")</f>
        <v>Cluster 18</v>
      </c>
      <c r="Q27" s="4"/>
      <c r="R27" s="4"/>
      <c r="S27" s="4"/>
      <c r="T27" s="4"/>
      <c r="U27" s="4" t="str">
        <f>IFERROR(__xludf.DUMMYFUNCTION("""COMPUTED_VALUE"""),"DUTSE ROAD")</f>
        <v>DUTSE ROAD</v>
      </c>
      <c r="V27" s="4"/>
      <c r="W27" s="4"/>
      <c r="X27" s="4"/>
      <c r="Y27" s="4"/>
      <c r="Z27" s="4"/>
      <c r="AA27" s="4"/>
      <c r="AB27" s="4" t="str">
        <f>IFERROR(__xludf.DUMMYFUNCTION("""COMPUTED_VALUE"""),"Point 2")</f>
        <v>Point 2</v>
      </c>
      <c r="AC27" s="4">
        <f>IFERROR(__xludf.DUMMYFUNCTION("""COMPUTED_VALUE"""),12.01048788)</f>
        <v>12.01048788</v>
      </c>
      <c r="AD27" s="4">
        <f>IFERROR(__xludf.DUMMYFUNCTION("""COMPUTED_VALUE"""),8.569714329)</f>
        <v>8.569714329</v>
      </c>
      <c r="AE27" s="5" t="str">
        <f>IFERROR(__xludf.DUMMYFUNCTION("""COMPUTED_VALUE"""),"https://drive.google.com/open?id=1LoZVfF9dHGeVkKQmCTflnDhuTjl5CEN5")</f>
        <v>https://drive.google.com/open?id=1LoZVfF9dHGeVkKQmCTflnDhuTjl5CEN5</v>
      </c>
      <c r="AF27" s="4"/>
      <c r="AG27" s="4"/>
      <c r="AH27" s="4"/>
      <c r="AI27" s="4"/>
      <c r="AL27" s="4" t="str">
        <f t="shared" si="1"/>
        <v>Cluster 18</v>
      </c>
      <c r="AM27" s="4" t="str">
        <f t="shared" si="2"/>
        <v>DUTSE ROAD</v>
      </c>
    </row>
    <row r="28">
      <c r="A28" s="3">
        <f>IFERROR(__xludf.DUMMYFUNCTION("""COMPUTED_VALUE"""),45882.39487570601)</f>
        <v>45882.39488</v>
      </c>
      <c r="B28" s="4" t="str">
        <f>IFERROR(__xludf.DUMMYFUNCTION("""COMPUTED_VALUE"""),"elhabs256@gmail.com")</f>
        <v>elhabs256@gmail.com</v>
      </c>
      <c r="C28" s="4" t="str">
        <f>IFERROR(__xludf.DUMMYFUNCTION("""COMPUTED_VALUE"""),"Abdullahi Elhabeeb")</f>
        <v>Abdullahi Elhabeeb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tr">
        <f>IFERROR(__xludf.DUMMYFUNCTION("""COMPUTED_VALUE"""),"Cluster 18")</f>
        <v>Cluster 18</v>
      </c>
      <c r="Q28" s="4"/>
      <c r="R28" s="4"/>
      <c r="S28" s="4"/>
      <c r="T28" s="4"/>
      <c r="U28" s="4" t="str">
        <f>IFERROR(__xludf.DUMMYFUNCTION("""COMPUTED_VALUE"""),"DUTSE ROAD")</f>
        <v>DUTSE ROAD</v>
      </c>
      <c r="V28" s="4"/>
      <c r="W28" s="4"/>
      <c r="X28" s="4"/>
      <c r="Y28" s="4"/>
      <c r="Z28" s="4"/>
      <c r="AA28" s="4"/>
      <c r="AB28" s="4" t="str">
        <f>IFERROR(__xludf.DUMMYFUNCTION("""COMPUTED_VALUE"""),"Point 1")</f>
        <v>Point 1</v>
      </c>
      <c r="AC28" s="4">
        <f>IFERROR(__xludf.DUMMYFUNCTION("""COMPUTED_VALUE"""),12.011946)</f>
        <v>12.011946</v>
      </c>
      <c r="AD28" s="4">
        <f>IFERROR(__xludf.DUMMYFUNCTION("""COMPUTED_VALUE"""),8.576555)</f>
        <v>8.576555</v>
      </c>
      <c r="AE28" s="5" t="str">
        <f>IFERROR(__xludf.DUMMYFUNCTION("""COMPUTED_VALUE"""),"https://drive.google.com/open?id=1nBYVPSS_EZ_kK1onbCI61Q7RQMTg6LX9")</f>
        <v>https://drive.google.com/open?id=1nBYVPSS_EZ_kK1onbCI61Q7RQMTg6LX9</v>
      </c>
      <c r="AF28" s="4"/>
      <c r="AG28" s="4"/>
      <c r="AH28" s="4"/>
      <c r="AI28" s="4"/>
      <c r="AL28" s="4" t="str">
        <f t="shared" si="1"/>
        <v>Cluster 18</v>
      </c>
      <c r="AM28" s="4" t="str">
        <f t="shared" si="2"/>
        <v>DUTSE ROAD</v>
      </c>
    </row>
    <row r="29">
      <c r="A29" s="3">
        <f>IFERROR(__xludf.DUMMYFUNCTION("""COMPUTED_VALUE"""),45882.39182505787)</f>
        <v>45882.39183</v>
      </c>
      <c r="B29" s="4" t="str">
        <f>IFERROR(__xludf.DUMMYFUNCTION("""COMPUTED_VALUE"""),"elhabs256@gmail.com")</f>
        <v>elhabs256@gmail.com</v>
      </c>
      <c r="C29" s="4" t="str">
        <f>IFERROR(__xludf.DUMMYFUNCTION("""COMPUTED_VALUE"""),"Abdullahi Elhabeeb")</f>
        <v>Abdullahi Elhabeeb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tr">
        <f>IFERROR(__xludf.DUMMYFUNCTION("""COMPUTED_VALUE"""),"Cluster 16")</f>
        <v>Cluster 16</v>
      </c>
      <c r="Q29" s="4"/>
      <c r="R29" s="4"/>
      <c r="S29" s="4" t="str">
        <f>IFERROR(__xludf.DUMMYFUNCTION("""COMPUTED_VALUE"""),"RESEARCH LANE")</f>
        <v>RESEARCH LANE</v>
      </c>
      <c r="T29" s="4"/>
      <c r="U29" s="4"/>
      <c r="V29" s="4"/>
      <c r="W29" s="4"/>
      <c r="X29" s="4"/>
      <c r="Y29" s="4"/>
      <c r="Z29" s="4"/>
      <c r="AA29" s="4"/>
      <c r="AB29" s="4" t="str">
        <f>IFERROR(__xludf.DUMMYFUNCTION("""COMPUTED_VALUE"""),"Point 1")</f>
        <v>Point 1</v>
      </c>
      <c r="AC29" s="4">
        <f>IFERROR(__xludf.DUMMYFUNCTION("""COMPUTED_VALUE"""),11.979373)</f>
        <v>11.979373</v>
      </c>
      <c r="AD29" s="4">
        <f>IFERROR(__xludf.DUMMYFUNCTION("""COMPUTED_VALUE"""),8.558701)</f>
        <v>8.558701</v>
      </c>
      <c r="AE29" s="5" t="str">
        <f>IFERROR(__xludf.DUMMYFUNCTION("""COMPUTED_VALUE"""),"https://drive.google.com/open?id=1wzZOrA-mBM0UxSMEHlvfAg9T3JF0Oljz")</f>
        <v>https://drive.google.com/open?id=1wzZOrA-mBM0UxSMEHlvfAg9T3JF0Oljz</v>
      </c>
      <c r="AF29" s="4"/>
      <c r="AG29" s="4"/>
      <c r="AH29" s="4"/>
      <c r="AI29" s="4"/>
      <c r="AL29" s="4" t="str">
        <f t="shared" si="1"/>
        <v>Cluster 16</v>
      </c>
      <c r="AM29" s="4" t="str">
        <f t="shared" si="2"/>
        <v>RESEARCH LANE</v>
      </c>
    </row>
    <row r="30">
      <c r="A30" s="3">
        <f>IFERROR(__xludf.DUMMYFUNCTION("""COMPUTED_VALUE"""),45882.389927083335)</f>
        <v>45882.38993</v>
      </c>
      <c r="B30" s="4" t="str">
        <f>IFERROR(__xludf.DUMMYFUNCTION("""COMPUTED_VALUE"""),"elhabs256@gmail.com")</f>
        <v>elhabs256@gmail.com</v>
      </c>
      <c r="C30" s="4" t="str">
        <f>IFERROR(__xludf.DUMMYFUNCTION("""COMPUTED_VALUE"""),"Abdullahi Elhabeeb")</f>
        <v>Abdullahi Elhabeeb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tr">
        <f>IFERROR(__xludf.DUMMYFUNCTION("""COMPUTED_VALUE"""),"Cluster 16")</f>
        <v>Cluster 16</v>
      </c>
      <c r="Q30" s="4"/>
      <c r="R30" s="4"/>
      <c r="S30" s="4" t="str">
        <f>IFERROR(__xludf.DUMMYFUNCTION("""COMPUTED_VALUE"""),"RESEARCH LANE")</f>
        <v>RESEARCH LANE</v>
      </c>
      <c r="T30" s="4"/>
      <c r="U30" s="4"/>
      <c r="V30" s="4"/>
      <c r="W30" s="4"/>
      <c r="X30" s="4"/>
      <c r="Y30" s="4"/>
      <c r="Z30" s="4"/>
      <c r="AA30" s="4"/>
      <c r="AB30" s="4" t="str">
        <f>IFERROR(__xludf.DUMMYFUNCTION("""COMPUTED_VALUE"""),"Point 1")</f>
        <v>Point 1</v>
      </c>
      <c r="AC30" s="4">
        <f>IFERROR(__xludf.DUMMYFUNCTION("""COMPUTED_VALUE"""),11.978409)</f>
        <v>11.978409</v>
      </c>
      <c r="AD30" s="4">
        <f>IFERROR(__xludf.DUMMYFUNCTION("""COMPUTED_VALUE"""),8.576555)</f>
        <v>8.576555</v>
      </c>
      <c r="AE30" s="5" t="str">
        <f>IFERROR(__xludf.DUMMYFUNCTION("""COMPUTED_VALUE"""),"https://drive.google.com/open?id=1JwETgHIgrbviJsKU4fpV6PPdXVUhntkB")</f>
        <v>https://drive.google.com/open?id=1JwETgHIgrbviJsKU4fpV6PPdXVUhntkB</v>
      </c>
      <c r="AF30" s="4"/>
      <c r="AG30" s="4"/>
      <c r="AH30" s="4"/>
      <c r="AI30" s="4"/>
      <c r="AL30" s="4" t="str">
        <f t="shared" si="1"/>
        <v>Cluster 16</v>
      </c>
      <c r="AM30" s="4" t="str">
        <f t="shared" si="2"/>
        <v>RESEARCH LANE</v>
      </c>
    </row>
    <row r="31">
      <c r="A31" s="3">
        <f>IFERROR(__xludf.DUMMYFUNCTION("""COMPUTED_VALUE"""),45882.38779155092)</f>
        <v>45882.38779</v>
      </c>
      <c r="B31" s="4" t="str">
        <f>IFERROR(__xludf.DUMMYFUNCTION("""COMPUTED_VALUE"""),"elhabs256@gmail.com")</f>
        <v>elhabs256@gmail.com</v>
      </c>
      <c r="C31" s="4" t="str">
        <f>IFERROR(__xludf.DUMMYFUNCTION("""COMPUTED_VALUE"""),"Abdullahi Elhabeeb")</f>
        <v>Abdullahi Elhabeeb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tr">
        <f>IFERROR(__xludf.DUMMYFUNCTION("""COMPUTED_VALUE"""),"Cluster 6")</f>
        <v>Cluster 6</v>
      </c>
      <c r="Q31" s="4" t="str">
        <f>IFERROR(__xludf.DUMMYFUNCTION("""COMPUTED_VALUE"""),"NORTHWEST UNIVERSITY ROAD")</f>
        <v>NORTHWEST UNIVERSITY ROAD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 t="str">
        <f>IFERROR(__xludf.DUMMYFUNCTION("""COMPUTED_VALUE"""),"Point 2")</f>
        <v>Point 2</v>
      </c>
      <c r="AC31" s="4">
        <f>IFERROR(__xludf.DUMMYFUNCTION("""COMPUTED_VALUE"""),12.03179698)</f>
        <v>12.03179698</v>
      </c>
      <c r="AD31" s="4">
        <f>IFERROR(__xludf.DUMMYFUNCTION("""COMPUTED_VALUE"""),8.496173624)</f>
        <v>8.496173624</v>
      </c>
      <c r="AE31" s="5" t="str">
        <f>IFERROR(__xludf.DUMMYFUNCTION("""COMPUTED_VALUE"""),"https://drive.google.com/open?id=1VRgIn_qhfCIRRLuzHXs8QRHeLdWuDpE3")</f>
        <v>https://drive.google.com/open?id=1VRgIn_qhfCIRRLuzHXs8QRHeLdWuDpE3</v>
      </c>
      <c r="AF31" s="4"/>
      <c r="AG31" s="4"/>
      <c r="AH31" s="4"/>
      <c r="AI31" s="4"/>
      <c r="AL31" s="4" t="str">
        <f t="shared" si="1"/>
        <v>Cluster 6</v>
      </c>
      <c r="AM31" s="4" t="str">
        <f t="shared" si="2"/>
        <v>NORTHWEST UNIVERSITY ROAD</v>
      </c>
    </row>
    <row r="32">
      <c r="A32" s="3">
        <f>IFERROR(__xludf.DUMMYFUNCTION("""COMPUTED_VALUE"""),45882.3860122801)</f>
        <v>45882.38601</v>
      </c>
      <c r="B32" s="4" t="str">
        <f>IFERROR(__xludf.DUMMYFUNCTION("""COMPUTED_VALUE"""),"elhabs256@gmail.com")</f>
        <v>elhabs256@gmail.com</v>
      </c>
      <c r="C32" s="4" t="str">
        <f>IFERROR(__xludf.DUMMYFUNCTION("""COMPUTED_VALUE"""),"Abdullahi Elhabeeb")</f>
        <v>Abdullahi Elhabeeb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tr">
        <f>IFERROR(__xludf.DUMMYFUNCTION("""COMPUTED_VALUE"""),"Cluster 6")</f>
        <v>Cluster 6</v>
      </c>
      <c r="Q32" s="4" t="str">
        <f>IFERROR(__xludf.DUMMYFUNCTION("""COMPUTED_VALUE"""),"NORTHWEST UNIVERSITY ROAD")</f>
        <v>NORTHWEST UNIVERSITY ROAD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 t="str">
        <f>IFERROR(__xludf.DUMMYFUNCTION("""COMPUTED_VALUE"""),"Point 1")</f>
        <v>Point 1</v>
      </c>
      <c r="AC32" s="4">
        <f>IFERROR(__xludf.DUMMYFUNCTION("""COMPUTED_VALUE"""),12.032754)</f>
        <v>12.032754</v>
      </c>
      <c r="AD32" s="4">
        <f>IFERROR(__xludf.DUMMYFUNCTION("""COMPUTED_VALUE"""),8.495102)</f>
        <v>8.495102</v>
      </c>
      <c r="AE32" s="5" t="str">
        <f>IFERROR(__xludf.DUMMYFUNCTION("""COMPUTED_VALUE"""),"https://drive.google.com/open?id=12F3rYRnbwniA48gSgBGA2KsCTgU6bgVZ")</f>
        <v>https://drive.google.com/open?id=12F3rYRnbwniA48gSgBGA2KsCTgU6bgVZ</v>
      </c>
      <c r="AF32" s="4"/>
      <c r="AG32" s="4"/>
      <c r="AH32" s="4"/>
      <c r="AI32" s="4"/>
      <c r="AL32" s="4" t="str">
        <f t="shared" si="1"/>
        <v>Cluster 6</v>
      </c>
      <c r="AM32" s="4" t="str">
        <f t="shared" si="2"/>
        <v>NORTHWEST UNIVERSITY ROAD</v>
      </c>
    </row>
    <row r="33">
      <c r="A33" s="3">
        <f>IFERROR(__xludf.DUMMYFUNCTION("""COMPUTED_VALUE"""),45882.38412311343)</f>
        <v>45882.38412</v>
      </c>
      <c r="B33" s="4" t="str">
        <f>IFERROR(__xludf.DUMMYFUNCTION("""COMPUTED_VALUE"""),"elhabs256@gmail.com")</f>
        <v>elhabs256@gmail.com</v>
      </c>
      <c r="C33" s="4" t="str">
        <f>IFERROR(__xludf.DUMMYFUNCTION("""COMPUTED_VALUE"""),"Abdullahi Elhabeeb")</f>
        <v>Abdullahi Elhabeeb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tr">
        <f>IFERROR(__xludf.DUMMYFUNCTION("""COMPUTED_VALUE"""),"Cluster 6")</f>
        <v>Cluster 6</v>
      </c>
      <c r="Q33" s="4" t="str">
        <f>IFERROR(__xludf.DUMMYFUNCTION("""COMPUTED_VALUE"""),"SALEH RIMIN GADO STREET")</f>
        <v>SALEH RIMIN GADO STREET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 t="str">
        <f>IFERROR(__xludf.DUMMYFUNCTION("""COMPUTED_VALUE"""),"Point 2")</f>
        <v>Point 2</v>
      </c>
      <c r="AC33" s="4">
        <f>IFERROR(__xludf.DUMMYFUNCTION("""COMPUTED_VALUE"""),11.974459)</f>
        <v>11.974459</v>
      </c>
      <c r="AD33" s="4">
        <f>IFERROR(__xludf.DUMMYFUNCTION("""COMPUTED_VALUE"""),8.56136)</f>
        <v>8.56136</v>
      </c>
      <c r="AE33" s="5" t="str">
        <f>IFERROR(__xludf.DUMMYFUNCTION("""COMPUTED_VALUE"""),"https://drive.google.com/open?id=1ff3gAYOswXJD0TQNHSu_aCg7QH2eohdM")</f>
        <v>https://drive.google.com/open?id=1ff3gAYOswXJD0TQNHSu_aCg7QH2eohdM</v>
      </c>
      <c r="AF33" s="4"/>
      <c r="AG33" s="4"/>
      <c r="AH33" s="4"/>
      <c r="AI33" s="4"/>
      <c r="AL33" s="4" t="str">
        <f t="shared" si="1"/>
        <v>Cluster 6</v>
      </c>
      <c r="AM33" s="4" t="str">
        <f t="shared" si="2"/>
        <v>SALEH RIMIN GADO STREET</v>
      </c>
    </row>
    <row r="34">
      <c r="A34" s="3">
        <f>IFERROR(__xludf.DUMMYFUNCTION("""COMPUTED_VALUE"""),45882.382650370375)</f>
        <v>45882.38265</v>
      </c>
      <c r="B34" s="4" t="str">
        <f>IFERROR(__xludf.DUMMYFUNCTION("""COMPUTED_VALUE"""),"elhabs256@gmail.com")</f>
        <v>elhabs256@gmail.com</v>
      </c>
      <c r="C34" s="4" t="str">
        <f>IFERROR(__xludf.DUMMYFUNCTION("""COMPUTED_VALUE"""),"Abdullahi Elhabeeb")</f>
        <v>Abdullahi Elhabeeb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tr">
        <f>IFERROR(__xludf.DUMMYFUNCTION("""COMPUTED_VALUE"""),"Cluster 6")</f>
        <v>Cluster 6</v>
      </c>
      <c r="Q34" s="4" t="str">
        <f>IFERROR(__xludf.DUMMYFUNCTION("""COMPUTED_VALUE"""),"SALEH RIMIN GADO STREET")</f>
        <v>SALEH RIMIN GADO STREET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 t="str">
        <f>IFERROR(__xludf.DUMMYFUNCTION("""COMPUTED_VALUE"""),"Point 1")</f>
        <v>Point 1</v>
      </c>
      <c r="AC34" s="4">
        <f>IFERROR(__xludf.DUMMYFUNCTION("""COMPUTED_VALUE"""),11.976583)</f>
        <v>11.976583</v>
      </c>
      <c r="AD34" s="4">
        <f>IFERROR(__xludf.DUMMYFUNCTION("""COMPUTED_VALUE"""),8.560618)</f>
        <v>8.560618</v>
      </c>
      <c r="AE34" s="5" t="str">
        <f>IFERROR(__xludf.DUMMYFUNCTION("""COMPUTED_VALUE"""),"https://drive.google.com/open?id=1UDzQfbVzEJHkGOS6FswO61wcGKO6CquP")</f>
        <v>https://drive.google.com/open?id=1UDzQfbVzEJHkGOS6FswO61wcGKO6CquP</v>
      </c>
      <c r="AF34" s="4"/>
      <c r="AG34" s="4"/>
      <c r="AH34" s="4"/>
      <c r="AI34" s="4"/>
      <c r="AL34" s="4" t="str">
        <f t="shared" si="1"/>
        <v>Cluster 6</v>
      </c>
      <c r="AM34" s="4" t="str">
        <f t="shared" si="2"/>
        <v>SALEH RIMIN GADO STREET</v>
      </c>
    </row>
    <row r="35">
      <c r="A35" s="3">
        <f>IFERROR(__xludf.DUMMYFUNCTION("""COMPUTED_VALUE"""),45882.381000520836)</f>
        <v>45882.381</v>
      </c>
      <c r="B35" s="4" t="str">
        <f>IFERROR(__xludf.DUMMYFUNCTION("""COMPUTED_VALUE"""),"elhabs256@gmail.com")</f>
        <v>elhabs256@gmail.com</v>
      </c>
      <c r="C35" s="4" t="str">
        <f>IFERROR(__xludf.DUMMYFUNCTION("""COMPUTED_VALUE"""),"Abdullahi Elhabeeb")</f>
        <v>Abdullahi Elhabeeb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tr">
        <f>IFERROR(__xludf.DUMMYFUNCTION("""COMPUTED_VALUE"""),"Cluster 2")</f>
        <v>Cluster 2</v>
      </c>
      <c r="Q35" s="4"/>
      <c r="R35" s="4" t="str">
        <f>IFERROR(__xludf.DUMMYFUNCTION("""COMPUTED_VALUE"""),"BUK ROAD")</f>
        <v>BUK ROAD</v>
      </c>
      <c r="S35" s="4"/>
      <c r="T35" s="4"/>
      <c r="U35" s="4"/>
      <c r="V35" s="4"/>
      <c r="W35" s="4"/>
      <c r="X35" s="4"/>
      <c r="Y35" s="4"/>
      <c r="Z35" s="4"/>
      <c r="AA35" s="4"/>
      <c r="AB35" s="4" t="str">
        <f>IFERROR(__xludf.DUMMYFUNCTION("""COMPUTED_VALUE"""),"Point 2")</f>
        <v>Point 2</v>
      </c>
      <c r="AC35" s="4">
        <f>IFERROR(__xludf.DUMMYFUNCTION("""COMPUTED_VALUE"""),11.986771)</f>
        <v>11.986771</v>
      </c>
      <c r="AD35" s="4">
        <f>IFERROR(__xludf.DUMMYFUNCTION("""COMPUTED_VALUE"""),8.481079)</f>
        <v>8.481079</v>
      </c>
      <c r="AE35" s="5" t="str">
        <f>IFERROR(__xludf.DUMMYFUNCTION("""COMPUTED_VALUE"""),"https://drive.google.com/open?id=1-akPQol7Uj3nUybrC78VEDwC39WRdmUL")</f>
        <v>https://drive.google.com/open?id=1-akPQol7Uj3nUybrC78VEDwC39WRdmUL</v>
      </c>
      <c r="AF35" s="4"/>
      <c r="AG35" s="4"/>
      <c r="AH35" s="4"/>
      <c r="AI35" s="4"/>
      <c r="AL35" s="4" t="str">
        <f t="shared" si="1"/>
        <v>Cluster 2</v>
      </c>
      <c r="AM35" s="4" t="str">
        <f t="shared" si="2"/>
        <v>BUK ROAD</v>
      </c>
    </row>
    <row r="36">
      <c r="A36" s="3">
        <f>IFERROR(__xludf.DUMMYFUNCTION("""COMPUTED_VALUE"""),45881.33903461805)</f>
        <v>45881.33903</v>
      </c>
      <c r="B36" s="4" t="str">
        <f>IFERROR(__xludf.DUMMYFUNCTION("""COMPUTED_VALUE"""),"umarturaki65@gmail.com")</f>
        <v>umarturaki65@gmail.com</v>
      </c>
      <c r="C36" s="4" t="str">
        <f>IFERROR(__xludf.DUMMYFUNCTION("""COMPUTED_VALUE"""),"Umar Farouk")</f>
        <v>Umar Farouk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 t="str">
        <f>IFERROR(__xludf.DUMMYFUNCTION("""COMPUTED_VALUE"""),"Point 1")</f>
        <v>Point 1</v>
      </c>
      <c r="AC36" s="4">
        <f>IFERROR(__xludf.DUMMYFUNCTION("""COMPUTED_VALUE"""),11.99993972)</f>
        <v>11.99993972</v>
      </c>
      <c r="AD36" s="4">
        <f>IFERROR(__xludf.DUMMYFUNCTION("""COMPUTED_VALUE"""),8.555373708)</f>
        <v>8.555373708</v>
      </c>
      <c r="AE36" s="5" t="str">
        <f>IFERROR(__xludf.DUMMYFUNCTION("""COMPUTED_VALUE"""),"https://drive.google.com/open?id=1Hn4ys-0RvlZ33vrEs1Ss_BgIGb-yJfMX")</f>
        <v>https://drive.google.com/open?id=1Hn4ys-0RvlZ33vrEs1Ss_BgIGb-yJfMX</v>
      </c>
      <c r="AF36" s="4" t="str">
        <f>IFERROR(__xludf.DUMMYFUNCTION("""COMPUTED_VALUE"""),"RACE COURSE ROAD")</f>
        <v>RACE COURSE ROAD</v>
      </c>
      <c r="AG36" s="4" t="str">
        <f>IFERROR(__xludf.DUMMYFUNCTION("""COMPUTED_VALUE"""),"RACE COURSE ROAD")</f>
        <v>RACE COURSE ROAD</v>
      </c>
      <c r="AH36" s="4" t="str">
        <f>IFERROR(__xludf.DUMMYFUNCTION("""COMPUTED_VALUE"""),"Cluster 21")</f>
        <v>Cluster 21</v>
      </c>
      <c r="AI36" s="4"/>
      <c r="AL36" s="4" t="str">
        <f t="shared" si="1"/>
        <v>Cluster 21</v>
      </c>
      <c r="AM36" s="4" t="str">
        <f t="shared" si="2"/>
        <v>RACE COURSE ROAD</v>
      </c>
    </row>
    <row r="37">
      <c r="A37" s="3">
        <f>IFERROR(__xludf.DUMMYFUNCTION("""COMPUTED_VALUE"""),45880.988451956015)</f>
        <v>45880.98845</v>
      </c>
      <c r="B37" s="4" t="str">
        <f>IFERROR(__xludf.DUMMYFUNCTION("""COMPUTED_VALUE"""),"umarturaki65@gmail.com")</f>
        <v>umarturaki65@gmail.com</v>
      </c>
      <c r="C37" s="4" t="str">
        <f>IFERROR(__xludf.DUMMYFUNCTION("""COMPUTED_VALUE"""),"Umar Farouk")</f>
        <v>Umar Farouk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 t="str">
        <f>IFERROR(__xludf.DUMMYFUNCTION("""COMPUTED_VALUE"""),"Point 2")</f>
        <v>Point 2</v>
      </c>
      <c r="AC37" s="4">
        <f>IFERROR(__xludf.DUMMYFUNCTION("""COMPUTED_VALUE"""),11.96830455)</f>
        <v>11.96830455</v>
      </c>
      <c r="AD37" s="4">
        <f>IFERROR(__xludf.DUMMYFUNCTION("""COMPUTED_VALUE"""),8.566742167)</f>
        <v>8.566742167</v>
      </c>
      <c r="AE37" s="5" t="str">
        <f>IFERROR(__xludf.DUMMYFUNCTION("""COMPUTED_VALUE"""),"https://drive.google.com/open?id=1_ttWa8oim-sxDEYaSiXOCjGOOw-eJ7f7")</f>
        <v>https://drive.google.com/open?id=1_ttWa8oim-sxDEYaSiXOCjGOOw-eJ7f7</v>
      </c>
      <c r="AF37" s="4"/>
      <c r="AG37" s="4" t="str">
        <f>IFERROR(__xludf.DUMMYFUNCTION("""COMPUTED_VALUE"""),"GEN T. Y. DANJUMA")</f>
        <v>GEN T. Y. DANJUMA</v>
      </c>
      <c r="AH37" s="4" t="str">
        <f>IFERROR(__xludf.DUMMYFUNCTION("""COMPUTED_VALUE"""),"Cluster 21")</f>
        <v>Cluster 21</v>
      </c>
      <c r="AI37" s="4"/>
      <c r="AL37" s="4" t="str">
        <f t="shared" si="1"/>
        <v>Cluster 21</v>
      </c>
      <c r="AM37" s="4" t="str">
        <f t="shared" si="2"/>
        <v>GEN T. Y. DANJUMA</v>
      </c>
    </row>
    <row r="38">
      <c r="A38" s="3">
        <f>IFERROR(__xludf.DUMMYFUNCTION("""COMPUTED_VALUE"""),45880.987271817125)</f>
        <v>45880.98727</v>
      </c>
      <c r="B38" s="4" t="str">
        <f>IFERROR(__xludf.DUMMYFUNCTION("""COMPUTED_VALUE"""),"umarturaki65@gmail.com")</f>
        <v>umarturaki65@gmail.com</v>
      </c>
      <c r="C38" s="4" t="str">
        <f>IFERROR(__xludf.DUMMYFUNCTION("""COMPUTED_VALUE"""),"Umar Farouk")</f>
        <v>Umar Farouk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 t="str">
        <f>IFERROR(__xludf.DUMMYFUNCTION("""COMPUTED_VALUE"""),"Point 1")</f>
        <v>Point 1</v>
      </c>
      <c r="AC38" s="4">
        <f>IFERROR(__xludf.DUMMYFUNCTION("""COMPUTED_VALUE"""),11.96830455)</f>
        <v>11.96830455</v>
      </c>
      <c r="AD38" s="4">
        <f>IFERROR(__xludf.DUMMYFUNCTION("""COMPUTED_VALUE"""),8.566742167)</f>
        <v>8.566742167</v>
      </c>
      <c r="AE38" s="5" t="str">
        <f>IFERROR(__xludf.DUMMYFUNCTION("""COMPUTED_VALUE"""),"https://drive.google.com/open?id=1KdDZVixXNk6GvS8gvj8Z9sOIz0htiKlQ")</f>
        <v>https://drive.google.com/open?id=1KdDZVixXNk6GvS8gvj8Z9sOIz0htiKlQ</v>
      </c>
      <c r="AF38" s="4"/>
      <c r="AG38" s="4" t="str">
        <f>IFERROR(__xludf.DUMMYFUNCTION("""COMPUTED_VALUE"""),"GEN T. Y. DANJUMA")</f>
        <v>GEN T. Y. DANJUMA</v>
      </c>
      <c r="AH38" s="4" t="str">
        <f>IFERROR(__xludf.DUMMYFUNCTION("""COMPUTED_VALUE"""),"Cluster 21")</f>
        <v>Cluster 21</v>
      </c>
      <c r="AI38" s="4"/>
      <c r="AL38" s="4" t="str">
        <f t="shared" si="1"/>
        <v>Cluster 21</v>
      </c>
      <c r="AM38" s="4" t="str">
        <f t="shared" si="2"/>
        <v>GEN T. Y. DANJUMA</v>
      </c>
    </row>
    <row r="39">
      <c r="A39" s="3">
        <f>IFERROR(__xludf.DUMMYFUNCTION("""COMPUTED_VALUE"""),45880.97637391204)</f>
        <v>45880.97637</v>
      </c>
      <c r="B39" s="4" t="str">
        <f>IFERROR(__xludf.DUMMYFUNCTION("""COMPUTED_VALUE"""),"umarturaki65@gmail.com")</f>
        <v>umarturaki65@gmail.com</v>
      </c>
      <c r="C39" s="4" t="str">
        <f>IFERROR(__xludf.DUMMYFUNCTION("""COMPUTED_VALUE"""),"Umar Farouk")</f>
        <v>Umar Farouk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 t="str">
        <f>IFERROR(__xludf.DUMMYFUNCTION("""COMPUTED_VALUE"""),"Point 1")</f>
        <v>Point 1</v>
      </c>
      <c r="AC39" s="4">
        <f>IFERROR(__xludf.DUMMYFUNCTION("""COMPUTED_VALUE"""),11.99993972)</f>
        <v>11.99993972</v>
      </c>
      <c r="AD39" s="4">
        <f>IFERROR(__xludf.DUMMYFUNCTION("""COMPUTED_VALUE"""),8.555373708)</f>
        <v>8.555373708</v>
      </c>
      <c r="AE39" s="5" t="str">
        <f>IFERROR(__xludf.DUMMYFUNCTION("""COMPUTED_VALUE"""),"https://drive.google.com/open?id=1IDb9OK7_oWhNTHfjXGb-Lf2eJkVcGwnD")</f>
        <v>https://drive.google.com/open?id=1IDb9OK7_oWhNTHfjXGb-Lf2eJkVcGwnD</v>
      </c>
      <c r="AF39" s="4"/>
      <c r="AG39" s="4" t="str">
        <f>IFERROR(__xludf.DUMMYFUNCTION("""COMPUTED_VALUE"""),"RACE COURSE ROAD")</f>
        <v>RACE COURSE ROAD</v>
      </c>
      <c r="AH39" s="4" t="str">
        <f>IFERROR(__xludf.DUMMYFUNCTION("""COMPUTED_VALUE"""),"Cluster 21")</f>
        <v>Cluster 21</v>
      </c>
      <c r="AI39" s="4"/>
      <c r="AL39" s="4" t="str">
        <f t="shared" si="1"/>
        <v>Cluster 21</v>
      </c>
      <c r="AM39" s="4" t="str">
        <f t="shared" si="2"/>
        <v>RACE COURSE ROAD</v>
      </c>
    </row>
    <row r="40">
      <c r="A40" s="3">
        <f>IFERROR(__xludf.DUMMYFUNCTION("""COMPUTED_VALUE"""),45880.97349991898)</f>
        <v>45880.9735</v>
      </c>
      <c r="B40" s="4" t="str">
        <f>IFERROR(__xludf.DUMMYFUNCTION("""COMPUTED_VALUE"""),"umarturaki65@gmail.com")</f>
        <v>umarturaki65@gmail.com</v>
      </c>
      <c r="C40" s="4" t="str">
        <f>IFERROR(__xludf.DUMMYFUNCTION("""COMPUTED_VALUE"""),"Umar Farouk")</f>
        <v>Umar Farouk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 t="str">
        <f>IFERROR(__xludf.DUMMYFUNCTION("""COMPUTED_VALUE"""),"Point 2")</f>
        <v>Point 2</v>
      </c>
      <c r="AC40" s="4">
        <f>IFERROR(__xludf.DUMMYFUNCTION("""COMPUTED_VALUE"""),11.98472698)</f>
        <v>11.98472698</v>
      </c>
      <c r="AD40" s="4">
        <f>IFERROR(__xludf.DUMMYFUNCTION("""COMPUTED_VALUE"""),8.586025012)</f>
        <v>8.586025012</v>
      </c>
      <c r="AE40" s="5" t="str">
        <f>IFERROR(__xludf.DUMMYFUNCTION("""COMPUTED_VALUE"""),"https://drive.google.com/open?id=1P-Y7suPYWUjWpois3Vp2Ymh4XqRJLqPV")</f>
        <v>https://drive.google.com/open?id=1P-Y7suPYWUjWpois3Vp2Ymh4XqRJLqPV</v>
      </c>
      <c r="AF40" s="4"/>
      <c r="AG40" s="4" t="str">
        <f>IFERROR(__xludf.DUMMYFUNCTION("""COMPUTED_VALUE"""),"LARABA ABASAWA ROAD")</f>
        <v>LARABA ABASAWA ROAD</v>
      </c>
      <c r="AH40" s="4" t="str">
        <f>IFERROR(__xludf.DUMMYFUNCTION("""COMPUTED_VALUE"""),"Cluster 21")</f>
        <v>Cluster 21</v>
      </c>
      <c r="AI40" s="4"/>
      <c r="AL40" s="4" t="str">
        <f t="shared" si="1"/>
        <v>Cluster 21</v>
      </c>
      <c r="AM40" s="4" t="str">
        <f t="shared" si="2"/>
        <v>LARABA ABASAWA ROAD</v>
      </c>
    </row>
    <row r="41">
      <c r="A41" s="3">
        <f>IFERROR(__xludf.DUMMYFUNCTION("""COMPUTED_VALUE"""),45880.97219609954)</f>
        <v>45880.9722</v>
      </c>
      <c r="B41" s="4" t="str">
        <f>IFERROR(__xludf.DUMMYFUNCTION("""COMPUTED_VALUE"""),"umarturaki65@gmail.com")</f>
        <v>umarturaki65@gmail.com</v>
      </c>
      <c r="C41" s="4" t="str">
        <f>IFERROR(__xludf.DUMMYFUNCTION("""COMPUTED_VALUE"""),"Umar Farouk")</f>
        <v>Umar Farouk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 t="str">
        <f>IFERROR(__xludf.DUMMYFUNCTION("""COMPUTED_VALUE"""),"Point 1")</f>
        <v>Point 1</v>
      </c>
      <c r="AC41" s="4">
        <f>IFERROR(__xludf.DUMMYFUNCTION("""COMPUTED_VALUE"""),11.98472698)</f>
        <v>11.98472698</v>
      </c>
      <c r="AD41" s="4">
        <f>IFERROR(__xludf.DUMMYFUNCTION("""COMPUTED_VALUE"""),8.586025012)</f>
        <v>8.586025012</v>
      </c>
      <c r="AE41" s="5" t="str">
        <f>IFERROR(__xludf.DUMMYFUNCTION("""COMPUTED_VALUE"""),"https://drive.google.com/open?id=1_Lv1HHJPW4SZ_7_DUtgKLBIOAp-KjlGD")</f>
        <v>https://drive.google.com/open?id=1_Lv1HHJPW4SZ_7_DUtgKLBIOAp-KjlGD</v>
      </c>
      <c r="AF41" s="4"/>
      <c r="AG41" s="4" t="str">
        <f>IFERROR(__xludf.DUMMYFUNCTION("""COMPUTED_VALUE"""),"LARABA ABASAWA ROAD")</f>
        <v>LARABA ABASAWA ROAD</v>
      </c>
      <c r="AH41" s="4" t="str">
        <f>IFERROR(__xludf.DUMMYFUNCTION("""COMPUTED_VALUE"""),"Cluster 21")</f>
        <v>Cluster 21</v>
      </c>
      <c r="AI41" s="4"/>
      <c r="AL41" s="4" t="str">
        <f t="shared" si="1"/>
        <v>Cluster 21</v>
      </c>
      <c r="AM41" s="4" t="str">
        <f t="shared" si="2"/>
        <v>LARABA ABASAWA ROAD</v>
      </c>
    </row>
    <row r="42">
      <c r="A42" s="3">
        <f>IFERROR(__xludf.DUMMYFUNCTION("""COMPUTED_VALUE"""),45880.97059025463)</f>
        <v>45880.97059</v>
      </c>
      <c r="B42" s="4" t="str">
        <f>IFERROR(__xludf.DUMMYFUNCTION("""COMPUTED_VALUE"""),"umarturaki65@gmail.com")</f>
        <v>umarturaki65@gmail.com</v>
      </c>
      <c r="C42" s="4" t="str">
        <f>IFERROR(__xludf.DUMMYFUNCTION("""COMPUTED_VALUE"""),"Umar Farouk")</f>
        <v>Umar Farouk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 t="str">
        <f>IFERROR(__xludf.DUMMYFUNCTION("""COMPUTED_VALUE"""),"Point 2")</f>
        <v>Point 2</v>
      </c>
      <c r="AC42" s="4">
        <f>IFERROR(__xludf.DUMMYFUNCTION("""COMPUTED_VALUE"""),11.98687202)</f>
        <v>11.98687202</v>
      </c>
      <c r="AD42" s="4">
        <f>IFERROR(__xludf.DUMMYFUNCTION("""COMPUTED_VALUE"""),8.5331379)</f>
        <v>8.5331379</v>
      </c>
      <c r="AE42" s="5" t="str">
        <f>IFERROR(__xludf.DUMMYFUNCTION("""COMPUTED_VALUE"""),"https://drive.google.com/open?id=1g29qqpFEJHkpNHnz07kd7cF4NPOKxZ6F")</f>
        <v>https://drive.google.com/open?id=1g29qqpFEJHkpNHnz07kd7cF4NPOKxZ6F</v>
      </c>
      <c r="AF42" s="4"/>
      <c r="AG42" s="4" t="str">
        <f>IFERROR(__xludf.DUMMYFUNCTION("""COMPUTED_VALUE"""),"ZARIA ROAD")</f>
        <v>ZARIA ROAD</v>
      </c>
      <c r="AH42" s="4" t="str">
        <f>IFERROR(__xludf.DUMMYFUNCTION("""COMPUTED_VALUE"""),"Cluster 21")</f>
        <v>Cluster 21</v>
      </c>
      <c r="AI42" s="4"/>
      <c r="AL42" s="4" t="str">
        <f t="shared" si="1"/>
        <v>Cluster 21</v>
      </c>
      <c r="AM42" s="4" t="str">
        <f t="shared" si="2"/>
        <v>ZARIA ROAD</v>
      </c>
    </row>
    <row r="43">
      <c r="A43" s="3">
        <f>IFERROR(__xludf.DUMMYFUNCTION("""COMPUTED_VALUE"""),45880.96933328704)</f>
        <v>45880.96933</v>
      </c>
      <c r="B43" s="4" t="str">
        <f>IFERROR(__xludf.DUMMYFUNCTION("""COMPUTED_VALUE"""),"umarturaki65@gmail.com")</f>
        <v>umarturaki65@gmail.com</v>
      </c>
      <c r="C43" s="4" t="str">
        <f>IFERROR(__xludf.DUMMYFUNCTION("""COMPUTED_VALUE"""),"Umar Farouk")</f>
        <v>Umar Farouk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 t="str">
        <f>IFERROR(__xludf.DUMMYFUNCTION("""COMPUTED_VALUE"""),"Point 1")</f>
        <v>Point 1</v>
      </c>
      <c r="AC43" s="4">
        <f>IFERROR(__xludf.DUMMYFUNCTION("""COMPUTED_VALUE"""),11.98687202)</f>
        <v>11.98687202</v>
      </c>
      <c r="AD43" s="4">
        <f>IFERROR(__xludf.DUMMYFUNCTION("""COMPUTED_VALUE"""),8.5331379)</f>
        <v>8.5331379</v>
      </c>
      <c r="AE43" s="5" t="str">
        <f>IFERROR(__xludf.DUMMYFUNCTION("""COMPUTED_VALUE"""),"https://drive.google.com/open?id=1jO79BQemhpoVs-9bAmDoWD_d5PciyRyh")</f>
        <v>https://drive.google.com/open?id=1jO79BQemhpoVs-9bAmDoWD_d5PciyRyh</v>
      </c>
      <c r="AF43" s="4"/>
      <c r="AG43" s="4" t="str">
        <f>IFERROR(__xludf.DUMMYFUNCTION("""COMPUTED_VALUE"""),"ZARIA ROAD")</f>
        <v>ZARIA ROAD</v>
      </c>
      <c r="AH43" s="4" t="str">
        <f>IFERROR(__xludf.DUMMYFUNCTION("""COMPUTED_VALUE"""),"Cluster 21")</f>
        <v>Cluster 21</v>
      </c>
      <c r="AI43" s="4"/>
      <c r="AL43" s="4" t="str">
        <f t="shared" si="1"/>
        <v>Cluster 21</v>
      </c>
      <c r="AM43" s="4" t="str">
        <f t="shared" si="2"/>
        <v>ZARIA ROAD</v>
      </c>
    </row>
    <row r="44">
      <c r="A44" s="3">
        <f>IFERROR(__xludf.DUMMYFUNCTION("""COMPUTED_VALUE"""),45880.96760898148)</f>
        <v>45880.96761</v>
      </c>
      <c r="B44" s="4" t="str">
        <f>IFERROR(__xludf.DUMMYFUNCTION("""COMPUTED_VALUE"""),"umarturaki65@gmail.com")</f>
        <v>umarturaki65@gmail.com</v>
      </c>
      <c r="C44" s="4" t="str">
        <f>IFERROR(__xludf.DUMMYFUNCTION("""COMPUTED_VALUE"""),"Umar Farouk")</f>
        <v>Umar Farouk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 t="str">
        <f>IFERROR(__xludf.DUMMYFUNCTION("""COMPUTED_VALUE"""),"Point 2")</f>
        <v>Point 2</v>
      </c>
      <c r="AC44" s="4">
        <f>IFERROR(__xludf.DUMMYFUNCTION("""COMPUTED_VALUE"""),12.00166356)</f>
        <v>12.00166356</v>
      </c>
      <c r="AD44" s="4">
        <f>IFERROR(__xludf.DUMMYFUNCTION("""COMPUTED_VALUE"""),8.544258638)</f>
        <v>8.544258638</v>
      </c>
      <c r="AE44" s="5" t="str">
        <f>IFERROR(__xludf.DUMMYFUNCTION("""COMPUTED_VALUE"""),"https://drive.google.com/open?id=1QImAx-89lKOGUlkzA8jr8LND9yXsj_cm")</f>
        <v>https://drive.google.com/open?id=1QImAx-89lKOGUlkzA8jr8LND9yXsj_cm</v>
      </c>
      <c r="AF44" s="4"/>
      <c r="AG44" s="4" t="str">
        <f>IFERROR(__xludf.DUMMYFUNCTION("""COMPUTED_VALUE"""),"HOSPITAL LINK")</f>
        <v>HOSPITAL LINK</v>
      </c>
      <c r="AH44" s="4" t="str">
        <f>IFERROR(__xludf.DUMMYFUNCTION("""COMPUTED_VALUE"""),"Cluster 21")</f>
        <v>Cluster 21</v>
      </c>
      <c r="AI44" s="4"/>
      <c r="AL44" s="4" t="str">
        <f t="shared" si="1"/>
        <v>Cluster 21</v>
      </c>
      <c r="AM44" s="4" t="str">
        <f t="shared" si="2"/>
        <v>HOSPITAL LINK</v>
      </c>
    </row>
    <row r="45">
      <c r="A45" s="3">
        <f>IFERROR(__xludf.DUMMYFUNCTION("""COMPUTED_VALUE"""),45880.966292997684)</f>
        <v>45880.96629</v>
      </c>
      <c r="B45" s="4" t="str">
        <f>IFERROR(__xludf.DUMMYFUNCTION("""COMPUTED_VALUE"""),"umarturaki65@gmail.com")</f>
        <v>umarturaki65@gmail.com</v>
      </c>
      <c r="C45" s="4" t="str">
        <f>IFERROR(__xludf.DUMMYFUNCTION("""COMPUTED_VALUE"""),"Umar Farouk")</f>
        <v>Umar Farouk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 t="str">
        <f>IFERROR(__xludf.DUMMYFUNCTION("""COMPUTED_VALUE"""),"Point 1")</f>
        <v>Point 1</v>
      </c>
      <c r="AC45" s="4">
        <f>IFERROR(__xludf.DUMMYFUNCTION("""COMPUTED_VALUE"""),12.00166356)</f>
        <v>12.00166356</v>
      </c>
      <c r="AD45" s="4">
        <f>IFERROR(__xludf.DUMMYFUNCTION("""COMPUTED_VALUE"""),8.544258638)</f>
        <v>8.544258638</v>
      </c>
      <c r="AE45" s="5" t="str">
        <f>IFERROR(__xludf.DUMMYFUNCTION("""COMPUTED_VALUE"""),"https://drive.google.com/open?id=1vvsKcDlLu4gjlx4FMN7P1CdYHCnTxTwl")</f>
        <v>https://drive.google.com/open?id=1vvsKcDlLu4gjlx4FMN7P1CdYHCnTxTwl</v>
      </c>
      <c r="AF45" s="4"/>
      <c r="AG45" s="4" t="str">
        <f>IFERROR(__xludf.DUMMYFUNCTION("""COMPUTED_VALUE"""),"HOSPITAL LINK")</f>
        <v>HOSPITAL LINK</v>
      </c>
      <c r="AH45" s="4" t="str">
        <f>IFERROR(__xludf.DUMMYFUNCTION("""COMPUTED_VALUE"""),"Cluster 21")</f>
        <v>Cluster 21</v>
      </c>
      <c r="AI45" s="4"/>
      <c r="AL45" s="4" t="str">
        <f t="shared" si="1"/>
        <v>Cluster 21</v>
      </c>
      <c r="AM45" s="4" t="str">
        <f t="shared" si="2"/>
        <v>GIGINYU BARRACKS ROADHOSPITAL LINK</v>
      </c>
    </row>
    <row r="46">
      <c r="A46" s="3">
        <f>IFERROR(__xludf.DUMMYFUNCTION("""COMPUTED_VALUE"""),45880.96475453704)</f>
        <v>45880.96475</v>
      </c>
      <c r="B46" s="4" t="str">
        <f>IFERROR(__xludf.DUMMYFUNCTION("""COMPUTED_VALUE"""),"umarturaki65@gmail.com")</f>
        <v>umarturaki65@gmail.com</v>
      </c>
      <c r="C46" s="4" t="str">
        <f>IFERROR(__xludf.DUMMYFUNCTION("""COMPUTED_VALUE"""),"Umar Farouk")</f>
        <v>Umar Farouk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 t="str">
        <f>IFERROR(__xludf.DUMMYFUNCTION("""COMPUTED_VALUE"""),"Point 2")</f>
        <v>Point 2</v>
      </c>
      <c r="AC46" s="4">
        <f>IFERROR(__xludf.DUMMYFUNCTION("""COMPUTED_VALUE"""),11.95345337)</f>
        <v>11.95345337</v>
      </c>
      <c r="AD46" s="4">
        <f>IFERROR(__xludf.DUMMYFUNCTION("""COMPUTED_VALUE"""),8.51995006)</f>
        <v>8.51995006</v>
      </c>
      <c r="AE46" s="5" t="str">
        <f>IFERROR(__xludf.DUMMYFUNCTION("""COMPUTED_VALUE"""),"https://drive.google.com/open?id=137bp6XJyJ5sl93tPnebuqIpP68hN3IJd")</f>
        <v>https://drive.google.com/open?id=137bp6XJyJ5sl93tPnebuqIpP68hN3IJd</v>
      </c>
      <c r="AF46" s="4"/>
      <c r="AG46" s="4" t="str">
        <f>IFERROR(__xludf.DUMMYFUNCTION("""COMPUTED_VALUE"""),"18TH STREET")</f>
        <v>18TH STREET</v>
      </c>
      <c r="AH46" s="4" t="str">
        <f>IFERROR(__xludf.DUMMYFUNCTION("""COMPUTED_VALUE"""),"Cluster 21")</f>
        <v>Cluster 21</v>
      </c>
      <c r="AI46" s="4"/>
      <c r="AL46" s="4" t="str">
        <f t="shared" si="1"/>
        <v>Cluster 21</v>
      </c>
      <c r="AM46" s="4" t="str">
        <f t="shared" si="2"/>
        <v>GIGINYU BARRACKS ROAD18TH STREET</v>
      </c>
    </row>
    <row r="47">
      <c r="A47" s="3">
        <f>IFERROR(__xludf.DUMMYFUNCTION("""COMPUTED_VALUE"""),45880.96354069444)</f>
        <v>45880.96354</v>
      </c>
      <c r="B47" s="4" t="str">
        <f>IFERROR(__xludf.DUMMYFUNCTION("""COMPUTED_VALUE"""),"umarturaki65@gmail.com")</f>
        <v>umarturaki65@gmail.com</v>
      </c>
      <c r="C47" s="4" t="str">
        <f>IFERROR(__xludf.DUMMYFUNCTION("""COMPUTED_VALUE"""),"Umar Farouk")</f>
        <v>Umar Farouk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 t="str">
        <f>IFERROR(__xludf.DUMMYFUNCTION("""COMPUTED_VALUE"""),"Point 1")</f>
        <v>Point 1</v>
      </c>
      <c r="AC47" s="4">
        <f>IFERROR(__xludf.DUMMYFUNCTION("""COMPUTED_VALUE"""),11.95345337)</f>
        <v>11.95345337</v>
      </c>
      <c r="AD47" s="4">
        <f>IFERROR(__xludf.DUMMYFUNCTION("""COMPUTED_VALUE"""),8.51995006)</f>
        <v>8.51995006</v>
      </c>
      <c r="AE47" s="5" t="str">
        <f>IFERROR(__xludf.DUMMYFUNCTION("""COMPUTED_VALUE"""),"https://drive.google.com/open?id=1cY9HQNhcONRbXx_k3y3z2kaTmXxJJZyF")</f>
        <v>https://drive.google.com/open?id=1cY9HQNhcONRbXx_k3y3z2kaTmXxJJZyF</v>
      </c>
      <c r="AF47" s="4"/>
      <c r="AG47" s="4" t="str">
        <f>IFERROR(__xludf.DUMMYFUNCTION("""COMPUTED_VALUE"""),"18TH STREET")</f>
        <v>18TH STREET</v>
      </c>
      <c r="AH47" s="4" t="str">
        <f>IFERROR(__xludf.DUMMYFUNCTION("""COMPUTED_VALUE"""),"Cluster 21")</f>
        <v>Cluster 21</v>
      </c>
      <c r="AI47" s="4"/>
      <c r="AL47" s="4" t="str">
        <f t="shared" si="1"/>
        <v>Cluster 21</v>
      </c>
      <c r="AM47" s="4" t="str">
        <f t="shared" si="2"/>
        <v>YAKUBU SULEIMAN LINK18TH STREET</v>
      </c>
    </row>
    <row r="48">
      <c r="A48" s="3">
        <f>IFERROR(__xludf.DUMMYFUNCTION("""COMPUTED_VALUE"""),45880.96174695602)</f>
        <v>45880.96175</v>
      </c>
      <c r="B48" s="4" t="str">
        <f>IFERROR(__xludf.DUMMYFUNCTION("""COMPUTED_VALUE"""),"umarturaki65@gmail.com")</f>
        <v>umarturaki65@gmail.com</v>
      </c>
      <c r="C48" s="4" t="str">
        <f>IFERROR(__xludf.DUMMYFUNCTION("""COMPUTED_VALUE"""),"Umar Farouk")</f>
        <v>Umar Farouk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 t="str">
        <f>IFERROR(__xludf.DUMMYFUNCTION("""COMPUTED_VALUE"""),"Point 2")</f>
        <v>Point 2</v>
      </c>
      <c r="AC48" s="4">
        <f>IFERROR(__xludf.DUMMYFUNCTION("""COMPUTED_VALUE"""),11.97683135)</f>
        <v>11.97683135</v>
      </c>
      <c r="AD48" s="4">
        <f>IFERROR(__xludf.DUMMYFUNCTION("""COMPUTED_VALUE"""),8.549425256)</f>
        <v>8.549425256</v>
      </c>
      <c r="AE48" s="5" t="str">
        <f>IFERROR(__xludf.DUMMYFUNCTION("""COMPUTED_VALUE"""),"https://drive.google.com/open?id=1OGe6d_TuG9d91t8mZUQOpuylmZMQbVcW")</f>
        <v>https://drive.google.com/open?id=1OGe6d_TuG9d91t8mZUQOpuylmZMQbVcW</v>
      </c>
      <c r="AF48" s="4"/>
      <c r="AG48" s="4" t="str">
        <f>IFERROR(__xludf.DUMMYFUNCTION("""COMPUTED_VALUE"""),"TUKURA AVENUE")</f>
        <v>TUKURA AVENUE</v>
      </c>
      <c r="AH48" s="4" t="str">
        <f>IFERROR(__xludf.DUMMYFUNCTION("""COMPUTED_VALUE"""),"Cluster 21")</f>
        <v>Cluster 21</v>
      </c>
      <c r="AI48" s="4"/>
      <c r="AL48" s="4" t="str">
        <f t="shared" si="1"/>
        <v>Cluster 21</v>
      </c>
      <c r="AM48" s="4" t="str">
        <f t="shared" si="2"/>
        <v>YAKUBU SULEIMAN LINKTUKURA AVENUE</v>
      </c>
    </row>
    <row r="49">
      <c r="A49" s="3">
        <f>IFERROR(__xludf.DUMMYFUNCTION("""COMPUTED_VALUE"""),45880.96041130787)</f>
        <v>45880.96041</v>
      </c>
      <c r="B49" s="4" t="str">
        <f>IFERROR(__xludf.DUMMYFUNCTION("""COMPUTED_VALUE"""),"umarturaki65@gmail.com")</f>
        <v>umarturaki65@gmail.com</v>
      </c>
      <c r="C49" s="4" t="str">
        <f>IFERROR(__xludf.DUMMYFUNCTION("""COMPUTED_VALUE"""),"Umar Farouk")</f>
        <v>Umar Farouk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 t="str">
        <f>IFERROR(__xludf.DUMMYFUNCTION("""COMPUTED_VALUE"""),"Point 1")</f>
        <v>Point 1</v>
      </c>
      <c r="AC49" s="4">
        <f>IFERROR(__xludf.DUMMYFUNCTION("""COMPUTED_VALUE"""),11.97683135)</f>
        <v>11.97683135</v>
      </c>
      <c r="AD49" s="4">
        <f>IFERROR(__xludf.DUMMYFUNCTION("""COMPUTED_VALUE"""),8.549425256)</f>
        <v>8.549425256</v>
      </c>
      <c r="AE49" s="5" t="str">
        <f>IFERROR(__xludf.DUMMYFUNCTION("""COMPUTED_VALUE"""),"https://drive.google.com/open?id=1lANY4Cc8nRoS_sCuHZG5sLib5usJ68G-")</f>
        <v>https://drive.google.com/open?id=1lANY4Cc8nRoS_sCuHZG5sLib5usJ68G-</v>
      </c>
      <c r="AF49" s="4"/>
      <c r="AG49" s="4" t="str">
        <f>IFERROR(__xludf.DUMMYFUNCTION("""COMPUTED_VALUE"""),"TUKURA AVENUE")</f>
        <v>TUKURA AVENUE</v>
      </c>
      <c r="AH49" s="4" t="str">
        <f>IFERROR(__xludf.DUMMYFUNCTION("""COMPUTED_VALUE"""),"Cluster 21")</f>
        <v>Cluster 21</v>
      </c>
      <c r="AI49" s="4"/>
      <c r="AL49" s="4" t="str">
        <f t="shared" si="1"/>
        <v>Cluster 21</v>
      </c>
      <c r="AM49" s="4" t="str">
        <f t="shared" si="2"/>
        <v>TUKURA AVENUE</v>
      </c>
    </row>
    <row r="50">
      <c r="A50" s="3">
        <f>IFERROR(__xludf.DUMMYFUNCTION("""COMPUTED_VALUE"""),45880.95900479167)</f>
        <v>45880.959</v>
      </c>
      <c r="B50" s="4" t="str">
        <f>IFERROR(__xludf.DUMMYFUNCTION("""COMPUTED_VALUE"""),"umarturaki65@gmail.com")</f>
        <v>umarturaki65@gmail.com</v>
      </c>
      <c r="C50" s="4" t="str">
        <f>IFERROR(__xludf.DUMMYFUNCTION("""COMPUTED_VALUE"""),"Umar Farouk")</f>
        <v>Umar Farouk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 t="str">
        <f>IFERROR(__xludf.DUMMYFUNCTION("""COMPUTED_VALUE"""),"Point 2")</f>
        <v>Point 2</v>
      </c>
      <c r="AC50" s="4">
        <f>IFERROR(__xludf.DUMMYFUNCTION("""COMPUTED_VALUE"""),11.97411308)</f>
        <v>11.97411308</v>
      </c>
      <c r="AD50" s="4">
        <f>IFERROR(__xludf.DUMMYFUNCTION("""COMPUTED_VALUE"""),8.540237167)</f>
        <v>8.540237167</v>
      </c>
      <c r="AE50" s="5" t="str">
        <f>IFERROR(__xludf.DUMMYFUNCTION("""COMPUTED_VALUE"""),"https://drive.google.com/open?id=1Ixdmeof3ev9vRUIFVfGQ3fYAy0Nj6IIZ")</f>
        <v>https://drive.google.com/open?id=1Ixdmeof3ev9vRUIFVfGQ3fYAy0Nj6IIZ</v>
      </c>
      <c r="AF50" s="4"/>
      <c r="AG50" s="4" t="str">
        <f>IFERROR(__xludf.DUMMYFUNCTION("""COMPUTED_VALUE"""),"RIBADU ROAD")</f>
        <v>RIBADU ROAD</v>
      </c>
      <c r="AH50" s="4" t="str">
        <f>IFERROR(__xludf.DUMMYFUNCTION("""COMPUTED_VALUE"""),"Cluster 21")</f>
        <v>Cluster 21</v>
      </c>
      <c r="AI50" s="4"/>
      <c r="AL50" s="4" t="str">
        <f t="shared" si="1"/>
        <v>Cluster 21</v>
      </c>
      <c r="AM50" s="4" t="str">
        <f t="shared" si="2"/>
        <v>RIBADU ROAD</v>
      </c>
    </row>
    <row r="51">
      <c r="A51" s="3">
        <f>IFERROR(__xludf.DUMMYFUNCTION("""COMPUTED_VALUE"""),45880.95694773148)</f>
        <v>45880.95695</v>
      </c>
      <c r="B51" s="4" t="str">
        <f>IFERROR(__xludf.DUMMYFUNCTION("""COMPUTED_VALUE"""),"umarturaki65@gmail.com")</f>
        <v>umarturaki65@gmail.com</v>
      </c>
      <c r="C51" s="4" t="str">
        <f>IFERROR(__xludf.DUMMYFUNCTION("""COMPUTED_VALUE"""),"Umar Farouk")</f>
        <v>Umar Farouk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 t="str">
        <f>IFERROR(__xludf.DUMMYFUNCTION("""COMPUTED_VALUE"""),"Point 1")</f>
        <v>Point 1</v>
      </c>
      <c r="AC51" s="4">
        <f>IFERROR(__xludf.DUMMYFUNCTION("""COMPUTED_VALUE"""),11.97411308)</f>
        <v>11.97411308</v>
      </c>
      <c r="AD51" s="4">
        <f>IFERROR(__xludf.DUMMYFUNCTION("""COMPUTED_VALUE"""),8.540237167)</f>
        <v>8.540237167</v>
      </c>
      <c r="AE51" s="5" t="str">
        <f>IFERROR(__xludf.DUMMYFUNCTION("""COMPUTED_VALUE"""),"https://drive.google.com/open?id=1IvfJ2aivNyK4mgo9h6pmrMRETmVzRhwl")</f>
        <v>https://drive.google.com/open?id=1IvfJ2aivNyK4mgo9h6pmrMRETmVzRhwl</v>
      </c>
      <c r="AF51" s="4"/>
      <c r="AG51" s="4" t="str">
        <f>IFERROR(__xludf.DUMMYFUNCTION("""COMPUTED_VALUE"""),"RIBADU ROAD")</f>
        <v>RIBADU ROAD</v>
      </c>
      <c r="AH51" s="4" t="str">
        <f>IFERROR(__xludf.DUMMYFUNCTION("""COMPUTED_VALUE"""),"Cluster 21")</f>
        <v>Cluster 21</v>
      </c>
      <c r="AI51" s="4"/>
      <c r="AL51" s="4" t="str">
        <f t="shared" si="1"/>
        <v>Cluster 21</v>
      </c>
      <c r="AM51" s="4" t="str">
        <f t="shared" si="2"/>
        <v>RIBADU ROAD</v>
      </c>
    </row>
    <row r="52">
      <c r="A52" s="3">
        <f>IFERROR(__xludf.DUMMYFUNCTION("""COMPUTED_VALUE"""),45880.95576123842)</f>
        <v>45880.95576</v>
      </c>
      <c r="B52" s="4" t="str">
        <f>IFERROR(__xludf.DUMMYFUNCTION("""COMPUTED_VALUE"""),"umarturaki65@gmail.com")</f>
        <v>umarturaki65@gmail.com</v>
      </c>
      <c r="C52" s="4" t="str">
        <f>IFERROR(__xludf.DUMMYFUNCTION("""COMPUTED_VALUE"""),"Umar Farouk")</f>
        <v>Umar Farouk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 t="str">
        <f>IFERROR(__xludf.DUMMYFUNCTION("""COMPUTED_VALUE"""),"Point 2")</f>
        <v>Point 2</v>
      </c>
      <c r="AC52" s="4">
        <f>IFERROR(__xludf.DUMMYFUNCTION("""COMPUTED_VALUE"""),11.96685046)</f>
        <v>11.96685046</v>
      </c>
      <c r="AD52" s="4">
        <f>IFERROR(__xludf.DUMMYFUNCTION("""COMPUTED_VALUE"""),8.530215322)</f>
        <v>8.530215322</v>
      </c>
      <c r="AE52" s="5" t="str">
        <f>IFERROR(__xludf.DUMMYFUNCTION("""COMPUTED_VALUE"""),"https://drive.google.com/open?id=1AKRJRdE6NIKsvODrbauLhJBlnNfk3Nai")</f>
        <v>https://drive.google.com/open?id=1AKRJRdE6NIKsvODrbauLhJBlnNfk3Nai</v>
      </c>
      <c r="AF52" s="4"/>
      <c r="AG52" s="4" t="str">
        <f>IFERROR(__xludf.DUMMYFUNCTION("""COMPUTED_VALUE"""),"ATIKU ABUBAKAR ROAD")</f>
        <v>ATIKU ABUBAKAR ROAD</v>
      </c>
      <c r="AH52" s="4" t="str">
        <f>IFERROR(__xludf.DUMMYFUNCTION("""COMPUTED_VALUE"""),"Cluster 21")</f>
        <v>Cluster 21</v>
      </c>
      <c r="AI52" s="4"/>
      <c r="AL52" s="4" t="str">
        <f t="shared" si="1"/>
        <v>Cluster 21</v>
      </c>
      <c r="AM52" s="4" t="str">
        <f t="shared" si="2"/>
        <v>ATIKU ABUBAKAR ROAD</v>
      </c>
    </row>
    <row r="53">
      <c r="A53" s="3">
        <f>IFERROR(__xludf.DUMMYFUNCTION("""COMPUTED_VALUE"""),45880.95409005787)</f>
        <v>45880.95409</v>
      </c>
      <c r="B53" s="4" t="str">
        <f>IFERROR(__xludf.DUMMYFUNCTION("""COMPUTED_VALUE"""),"umarturaki65@gmail.com")</f>
        <v>umarturaki65@gmail.com</v>
      </c>
      <c r="C53" s="4" t="str">
        <f>IFERROR(__xludf.DUMMYFUNCTION("""COMPUTED_VALUE"""),"Umar Farouk")</f>
        <v>Umar Farouk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 t="str">
        <f>IFERROR(__xludf.DUMMYFUNCTION("""COMPUTED_VALUE"""),"Point 1")</f>
        <v>Point 1</v>
      </c>
      <c r="AC53" s="4">
        <f>IFERROR(__xludf.DUMMYFUNCTION("""COMPUTED_VALUE"""),11.96685046)</f>
        <v>11.96685046</v>
      </c>
      <c r="AD53" s="4">
        <f>IFERROR(__xludf.DUMMYFUNCTION("""COMPUTED_VALUE"""),8.530215322)</f>
        <v>8.530215322</v>
      </c>
      <c r="AE53" s="5" t="str">
        <f>IFERROR(__xludf.DUMMYFUNCTION("""COMPUTED_VALUE"""),"https://drive.google.com/open?id=1rvrH4pxf1yXsCVa-PA8nnrpQErl-oQGg")</f>
        <v>https://drive.google.com/open?id=1rvrH4pxf1yXsCVa-PA8nnrpQErl-oQGg</v>
      </c>
      <c r="AF53" s="4"/>
      <c r="AG53" s="4" t="str">
        <f>IFERROR(__xludf.DUMMYFUNCTION("""COMPUTED_VALUE"""),"ATIKU ABUBAKAR ROAD")</f>
        <v>ATIKU ABUBAKAR ROAD</v>
      </c>
      <c r="AH53" s="4" t="str">
        <f>IFERROR(__xludf.DUMMYFUNCTION("""COMPUTED_VALUE"""),"Cluster 21")</f>
        <v>Cluster 21</v>
      </c>
      <c r="AI53" s="4"/>
      <c r="AL53" s="4" t="str">
        <f t="shared" si="1"/>
        <v>Cluster 21</v>
      </c>
      <c r="AM53" s="4" t="str">
        <f t="shared" si="2"/>
        <v>ATIKU ABUBAKAR ROAD</v>
      </c>
    </row>
    <row r="54">
      <c r="A54" s="3">
        <f>IFERROR(__xludf.DUMMYFUNCTION("""COMPUTED_VALUE"""),45880.95201511574)</f>
        <v>45880.95202</v>
      </c>
      <c r="B54" s="4" t="str">
        <f>IFERROR(__xludf.DUMMYFUNCTION("""COMPUTED_VALUE"""),"umarturaki65@gmail.com")</f>
        <v>umarturaki65@gmail.com</v>
      </c>
      <c r="C54" s="4" t="str">
        <f>IFERROR(__xludf.DUMMYFUNCTION("""COMPUTED_VALUE"""),"Umar Farouk")</f>
        <v>Umar Farouk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 t="str">
        <f>IFERROR(__xludf.DUMMYFUNCTION("""COMPUTED_VALUE"""),"Point 2")</f>
        <v>Point 2</v>
      </c>
      <c r="AC54" s="4">
        <f>IFERROR(__xludf.DUMMYFUNCTION("""COMPUTED_VALUE"""),11.95716415)</f>
        <v>11.95716415</v>
      </c>
      <c r="AD54" s="4">
        <f>IFERROR(__xludf.DUMMYFUNCTION("""COMPUTED_VALUE"""),8.541973322)</f>
        <v>8.541973322</v>
      </c>
      <c r="AE54" s="5" t="str">
        <f>IFERROR(__xludf.DUMMYFUNCTION("""COMPUTED_VALUE"""),"https://drive.google.com/open?id=1fPrszEjE1AjUHQBZFFcCfHufQ0qhDb_h")</f>
        <v>https://drive.google.com/open?id=1fPrszEjE1AjUHQBZFFcCfHufQ0qhDb_h</v>
      </c>
      <c r="AF54" s="4"/>
      <c r="AG54" s="4" t="str">
        <f>IFERROR(__xludf.DUMMYFUNCTION("""COMPUTED_VALUE"""),"MAI UNGUWA TELA STREET")</f>
        <v>MAI UNGUWA TELA STREET</v>
      </c>
      <c r="AH54" s="4" t="str">
        <f>IFERROR(__xludf.DUMMYFUNCTION("""COMPUTED_VALUE"""),"Cluster 21")</f>
        <v>Cluster 21</v>
      </c>
      <c r="AI54" s="4"/>
      <c r="AL54" s="4" t="str">
        <f t="shared" si="1"/>
        <v>Cluster 21</v>
      </c>
      <c r="AM54" s="4" t="str">
        <f t="shared" si="2"/>
        <v>MAI UNGUWA TELA STREET</v>
      </c>
    </row>
    <row r="55">
      <c r="A55" s="3">
        <f>IFERROR(__xludf.DUMMYFUNCTION("""COMPUTED_VALUE"""),45880.951142499995)</f>
        <v>45880.95114</v>
      </c>
      <c r="B55" s="4" t="str">
        <f>IFERROR(__xludf.DUMMYFUNCTION("""COMPUTED_VALUE"""),"umarturaki65@gmail.com")</f>
        <v>umarturaki65@gmail.com</v>
      </c>
      <c r="C55" s="4" t="str">
        <f>IFERROR(__xludf.DUMMYFUNCTION("""COMPUTED_VALUE"""),"Umar Farouk")</f>
        <v>Umar Farouk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 t="str">
        <f>IFERROR(__xludf.DUMMYFUNCTION("""COMPUTED_VALUE"""),"Point 1")</f>
        <v>Point 1</v>
      </c>
      <c r="AC55" s="4">
        <f>IFERROR(__xludf.DUMMYFUNCTION("""COMPUTED_VALUE"""),11.95716415)</f>
        <v>11.95716415</v>
      </c>
      <c r="AD55" s="4">
        <f>IFERROR(__xludf.DUMMYFUNCTION("""COMPUTED_VALUE"""),8.541973322)</f>
        <v>8.541973322</v>
      </c>
      <c r="AE55" s="5" t="str">
        <f>IFERROR(__xludf.DUMMYFUNCTION("""COMPUTED_VALUE"""),"https://drive.google.com/open?id=1gb1FXZQ5f3c40oJ7aDsHzuFvupKvxRSC")</f>
        <v>https://drive.google.com/open?id=1gb1FXZQ5f3c40oJ7aDsHzuFvupKvxRSC</v>
      </c>
      <c r="AF55" s="4"/>
      <c r="AG55" s="4" t="str">
        <f>IFERROR(__xludf.DUMMYFUNCTION("""COMPUTED_VALUE"""),"MAI UNGUWA TELA STREET")</f>
        <v>MAI UNGUWA TELA STREET</v>
      </c>
      <c r="AH55" s="4" t="str">
        <f>IFERROR(__xludf.DUMMYFUNCTION("""COMPUTED_VALUE"""),"Cluster 21")</f>
        <v>Cluster 21</v>
      </c>
      <c r="AI55" s="4"/>
      <c r="AL55" s="4" t="str">
        <f t="shared" si="1"/>
        <v>Cluster 21</v>
      </c>
      <c r="AM55" s="4" t="str">
        <f t="shared" si="2"/>
        <v>MAI UNGUWA TELA STREET</v>
      </c>
    </row>
    <row r="56">
      <c r="A56" s="3">
        <f>IFERROR(__xludf.DUMMYFUNCTION("""COMPUTED_VALUE"""),45880.949755520836)</f>
        <v>45880.94976</v>
      </c>
      <c r="B56" s="4" t="str">
        <f>IFERROR(__xludf.DUMMYFUNCTION("""COMPUTED_VALUE"""),"umarturaki65@gmail.com")</f>
        <v>umarturaki65@gmail.com</v>
      </c>
      <c r="C56" s="4" t="str">
        <f>IFERROR(__xludf.DUMMYFUNCTION("""COMPUTED_VALUE"""),"Umar Farouk")</f>
        <v>Umar Farouk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 t="str">
        <f>IFERROR(__xludf.DUMMYFUNCTION("""COMPUTED_VALUE"""),"Point 2")</f>
        <v>Point 2</v>
      </c>
      <c r="AC56" s="4">
        <f>IFERROR(__xludf.DUMMYFUNCTION("""COMPUTED_VALUE"""),11.95198485)</f>
        <v>11.95198485</v>
      </c>
      <c r="AD56" s="4">
        <f>IFERROR(__xludf.DUMMYFUNCTION("""COMPUTED_VALUE"""),8.537317069)</f>
        <v>8.537317069</v>
      </c>
      <c r="AE56" s="5" t="str">
        <f>IFERROR(__xludf.DUMMYFUNCTION("""COMPUTED_VALUE"""),"https://drive.google.com/open?id=1Sl9vbsLxryQ96eKskqejMpIaVrukDLDs")</f>
        <v>https://drive.google.com/open?id=1Sl9vbsLxryQ96eKskqejMpIaVrukDLDs</v>
      </c>
      <c r="AF56" s="4"/>
      <c r="AG56" s="4" t="str">
        <f>IFERROR(__xludf.DUMMYFUNCTION("""COMPUTED_VALUE"""),"MAI UNGUWA STREET")</f>
        <v>MAI UNGUWA STREET</v>
      </c>
      <c r="AH56" s="4" t="str">
        <f>IFERROR(__xludf.DUMMYFUNCTION("""COMPUTED_VALUE"""),"Cluster 21")</f>
        <v>Cluster 21</v>
      </c>
      <c r="AI56" s="4"/>
      <c r="AL56" s="4" t="str">
        <f t="shared" si="1"/>
        <v>Cluster 21</v>
      </c>
      <c r="AM56" s="4" t="str">
        <f t="shared" si="2"/>
        <v>MAI UNGUWA STREET</v>
      </c>
    </row>
    <row r="57">
      <c r="A57" s="3">
        <f>IFERROR(__xludf.DUMMYFUNCTION("""COMPUTED_VALUE"""),45880.94832606481)</f>
        <v>45880.94833</v>
      </c>
      <c r="B57" s="4" t="str">
        <f>IFERROR(__xludf.DUMMYFUNCTION("""COMPUTED_VALUE"""),"umarturaki65@gmail.com")</f>
        <v>umarturaki65@gmail.com</v>
      </c>
      <c r="C57" s="4" t="str">
        <f>IFERROR(__xludf.DUMMYFUNCTION("""COMPUTED_VALUE"""),"Umar Farouk")</f>
        <v>Umar Farouk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 t="str">
        <f>IFERROR(__xludf.DUMMYFUNCTION("""COMPUTED_VALUE"""),"Point 1")</f>
        <v>Point 1</v>
      </c>
      <c r="AC57" s="4">
        <f>IFERROR(__xludf.DUMMYFUNCTION("""COMPUTED_VALUE"""),11.95198485)</f>
        <v>11.95198485</v>
      </c>
      <c r="AD57" s="4">
        <f>IFERROR(__xludf.DUMMYFUNCTION("""COMPUTED_VALUE"""),8.537317069)</f>
        <v>8.537317069</v>
      </c>
      <c r="AE57" s="5" t="str">
        <f>IFERROR(__xludf.DUMMYFUNCTION("""COMPUTED_VALUE"""),"https://drive.google.com/open?id=1WB-yiTQWgNPjkHxF69fU2PdsmTaxCn9E")</f>
        <v>https://drive.google.com/open?id=1WB-yiTQWgNPjkHxF69fU2PdsmTaxCn9E</v>
      </c>
      <c r="AF57" s="4"/>
      <c r="AG57" s="4" t="str">
        <f>IFERROR(__xludf.DUMMYFUNCTION("""COMPUTED_VALUE"""),"MAI UNGUWA STREET")</f>
        <v>MAI UNGUWA STREET</v>
      </c>
      <c r="AH57" s="4" t="str">
        <f>IFERROR(__xludf.DUMMYFUNCTION("""COMPUTED_VALUE"""),"Cluster 21")</f>
        <v>Cluster 21</v>
      </c>
      <c r="AI57" s="4"/>
      <c r="AL57" s="4" t="str">
        <f t="shared" si="1"/>
        <v>Cluster 21</v>
      </c>
      <c r="AM57" s="4" t="str">
        <f t="shared" si="2"/>
        <v>MAI UNGUWA STREET</v>
      </c>
    </row>
    <row r="58">
      <c r="A58" s="3">
        <f>IFERROR(__xludf.DUMMYFUNCTION("""COMPUTED_VALUE"""),45880.947136250004)</f>
        <v>45880.94714</v>
      </c>
      <c r="B58" s="4" t="str">
        <f>IFERROR(__xludf.DUMMYFUNCTION("""COMPUTED_VALUE"""),"umarturaki65@gmail.com")</f>
        <v>umarturaki65@gmail.com</v>
      </c>
      <c r="C58" s="4" t="str">
        <f>IFERROR(__xludf.DUMMYFUNCTION("""COMPUTED_VALUE"""),"Umar Farouk")</f>
        <v>Umar Farouk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 t="str">
        <f>IFERROR(__xludf.DUMMYFUNCTION("""COMPUTED_VALUE"""),"Point 2")</f>
        <v>Point 2</v>
      </c>
      <c r="AC58" s="4">
        <f>IFERROR(__xludf.DUMMYFUNCTION("""COMPUTED_VALUE"""),11.914852)</f>
        <v>11.914852</v>
      </c>
      <c r="AD58" s="4">
        <f>IFERROR(__xludf.DUMMYFUNCTION("""COMPUTED_VALUE"""),8.554973)</f>
        <v>8.554973</v>
      </c>
      <c r="AE58" s="5" t="str">
        <f>IFERROR(__xludf.DUMMYFUNCTION("""COMPUTED_VALUE"""),"https://drive.google.com/open?id=1xZLXHf9bIHRXSULhTDzkKrZOMAt---Ef")</f>
        <v>https://drive.google.com/open?id=1xZLXHf9bIHRXSULhTDzkKrZOMAt---Ef</v>
      </c>
      <c r="AF58" s="4"/>
      <c r="AG58" s="4" t="str">
        <f>IFERROR(__xludf.DUMMYFUNCTION("""COMPUTED_VALUE"""),"WESTERN BYPASS")</f>
        <v>WESTERN BYPASS</v>
      </c>
      <c r="AH58" s="4" t="str">
        <f>IFERROR(__xludf.DUMMYFUNCTION("""COMPUTED_VALUE"""),"Cluster 21")</f>
        <v>Cluster 21</v>
      </c>
      <c r="AI58" s="4"/>
      <c r="AL58" s="4" t="str">
        <f t="shared" si="1"/>
        <v>Cluster 21</v>
      </c>
      <c r="AM58" s="4" t="str">
        <f t="shared" si="2"/>
        <v>WESTERN BYPASS</v>
      </c>
    </row>
    <row r="59">
      <c r="A59" s="3">
        <f>IFERROR(__xludf.DUMMYFUNCTION("""COMPUTED_VALUE"""),45880.945897094905)</f>
        <v>45880.9459</v>
      </c>
      <c r="B59" s="4" t="str">
        <f>IFERROR(__xludf.DUMMYFUNCTION("""COMPUTED_VALUE"""),"umarturaki65@gmail.com")</f>
        <v>umarturaki65@gmail.com</v>
      </c>
      <c r="C59" s="4" t="str">
        <f>IFERROR(__xludf.DUMMYFUNCTION("""COMPUTED_VALUE"""),"Umar Farouk")</f>
        <v>Umar Farouk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 t="str">
        <f>IFERROR(__xludf.DUMMYFUNCTION("""COMPUTED_VALUE"""),"Point 1")</f>
        <v>Point 1</v>
      </c>
      <c r="AC59" s="4">
        <f>IFERROR(__xludf.DUMMYFUNCTION("""COMPUTED_VALUE"""),11.914852)</f>
        <v>11.914852</v>
      </c>
      <c r="AD59" s="4">
        <f>IFERROR(__xludf.DUMMYFUNCTION("""COMPUTED_VALUE"""),8.554973)</f>
        <v>8.554973</v>
      </c>
      <c r="AE59" s="5" t="str">
        <f>IFERROR(__xludf.DUMMYFUNCTION("""COMPUTED_VALUE"""),"https://drive.google.com/open?id=1_f2od5_ezBUU4jg3R-Lwd7OHHhuKQ4nc")</f>
        <v>https://drive.google.com/open?id=1_f2od5_ezBUU4jg3R-Lwd7OHHhuKQ4nc</v>
      </c>
      <c r="AF59" s="4"/>
      <c r="AG59" s="4" t="str">
        <f>IFERROR(__xludf.DUMMYFUNCTION("""COMPUTED_VALUE"""),"WESTERN BYPASS")</f>
        <v>WESTERN BYPASS</v>
      </c>
      <c r="AH59" s="4" t="str">
        <f>IFERROR(__xludf.DUMMYFUNCTION("""COMPUTED_VALUE"""),"Cluster 21")</f>
        <v>Cluster 21</v>
      </c>
      <c r="AI59" s="4"/>
      <c r="AL59" s="4" t="str">
        <f t="shared" si="1"/>
        <v>Cluster 21</v>
      </c>
      <c r="AM59" s="4" t="str">
        <f t="shared" si="2"/>
        <v>WESTERN BYPASS</v>
      </c>
    </row>
    <row r="60">
      <c r="A60" s="3">
        <f>IFERROR(__xludf.DUMMYFUNCTION("""COMPUTED_VALUE"""),45880.944612164356)</f>
        <v>45880.94461</v>
      </c>
      <c r="B60" s="4" t="str">
        <f>IFERROR(__xludf.DUMMYFUNCTION("""COMPUTED_VALUE"""),"umarturaki65@gmail.com")</f>
        <v>umarturaki65@gmail.com</v>
      </c>
      <c r="C60" s="4" t="str">
        <f>IFERROR(__xludf.DUMMYFUNCTION("""COMPUTED_VALUE"""),"Umar Farouk")</f>
        <v>Umar Farouk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 t="str">
        <f>IFERROR(__xludf.DUMMYFUNCTION("""COMPUTED_VALUE"""),"Point 2")</f>
        <v>Point 2</v>
      </c>
      <c r="AC60" s="4">
        <f>IFERROR(__xludf.DUMMYFUNCTION("""COMPUTED_VALUE"""),11.93683056)</f>
        <v>11.93683056</v>
      </c>
      <c r="AD60" s="4">
        <f>IFERROR(__xludf.DUMMYFUNCTION("""COMPUTED_VALUE"""),8.55684518)</f>
        <v>8.55684518</v>
      </c>
      <c r="AE60" s="5" t="str">
        <f>IFERROR(__xludf.DUMMYFUNCTION("""COMPUTED_VALUE"""),"https://drive.google.com/open?id=1waZRKDLmAD32RKF4NY7OI8kCjq64DvbG")</f>
        <v>https://drive.google.com/open?id=1waZRKDLmAD32RKF4NY7OI8kCjq64DvbG</v>
      </c>
      <c r="AF60" s="4"/>
      <c r="AG60" s="4" t="str">
        <f>IFERROR(__xludf.DUMMYFUNCTION("""COMPUTED_VALUE"""),"DANJUMA ALI GARKO LINE")</f>
        <v>DANJUMA ALI GARKO LINE</v>
      </c>
      <c r="AH60" s="4" t="str">
        <f>IFERROR(__xludf.DUMMYFUNCTION("""COMPUTED_VALUE"""),"Cluster 21")</f>
        <v>Cluster 21</v>
      </c>
      <c r="AI60" s="4"/>
      <c r="AL60" s="4" t="str">
        <f t="shared" si="1"/>
        <v>Cluster 21</v>
      </c>
      <c r="AM60" s="4" t="str">
        <f t="shared" si="2"/>
        <v>DANJUMA ALI GARKO LINE</v>
      </c>
    </row>
    <row r="61">
      <c r="A61" s="3">
        <f>IFERROR(__xludf.DUMMYFUNCTION("""COMPUTED_VALUE"""),45880.94252296296)</f>
        <v>45880.94252</v>
      </c>
      <c r="B61" s="4" t="str">
        <f>IFERROR(__xludf.DUMMYFUNCTION("""COMPUTED_VALUE"""),"umarturaki65@gmail.com")</f>
        <v>umarturaki65@gmail.com</v>
      </c>
      <c r="C61" s="4" t="str">
        <f>IFERROR(__xludf.DUMMYFUNCTION("""COMPUTED_VALUE"""),"Umar Farouk")</f>
        <v>Umar Farouk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 t="str">
        <f>IFERROR(__xludf.DUMMYFUNCTION("""COMPUTED_VALUE"""),"Point 1")</f>
        <v>Point 1</v>
      </c>
      <c r="AC61" s="4">
        <f>IFERROR(__xludf.DUMMYFUNCTION("""COMPUTED_VALUE"""),11.93683056)</f>
        <v>11.93683056</v>
      </c>
      <c r="AD61" s="4">
        <f>IFERROR(__xludf.DUMMYFUNCTION("""COMPUTED_VALUE"""),8.55684518)</f>
        <v>8.55684518</v>
      </c>
      <c r="AE61" s="5" t="str">
        <f>IFERROR(__xludf.DUMMYFUNCTION("""COMPUTED_VALUE"""),"https://drive.google.com/open?id=1bRsTGQA9KO_khnCX6214YlqvbBymx_LM")</f>
        <v>https://drive.google.com/open?id=1bRsTGQA9KO_khnCX6214YlqvbBymx_LM</v>
      </c>
      <c r="AF61" s="4"/>
      <c r="AG61" s="4" t="str">
        <f>IFERROR(__xludf.DUMMYFUNCTION("""COMPUTED_VALUE"""),"DANJUMA ALI GARKO LINE")</f>
        <v>DANJUMA ALI GARKO LINE</v>
      </c>
      <c r="AH61" s="4" t="str">
        <f>IFERROR(__xludf.DUMMYFUNCTION("""COMPUTED_VALUE"""),"Cluster 21")</f>
        <v>Cluster 21</v>
      </c>
      <c r="AI61" s="4"/>
      <c r="AL61" s="4" t="str">
        <f t="shared" si="1"/>
        <v>Cluster 21</v>
      </c>
      <c r="AM61" s="4" t="str">
        <f t="shared" si="2"/>
        <v>DANJUMA ALI GARKO LINE</v>
      </c>
    </row>
    <row r="62">
      <c r="A62" s="3">
        <f>IFERROR(__xludf.DUMMYFUNCTION("""COMPUTED_VALUE"""),45880.940174247684)</f>
        <v>45880.94017</v>
      </c>
      <c r="B62" s="4" t="str">
        <f>IFERROR(__xludf.DUMMYFUNCTION("""COMPUTED_VALUE"""),"umarturaki65@gmail.com")</f>
        <v>umarturaki65@gmail.com</v>
      </c>
      <c r="C62" s="4" t="str">
        <f>IFERROR(__xludf.DUMMYFUNCTION("""COMPUTED_VALUE"""),"Umar Farouk")</f>
        <v>Umar Farouk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 t="str">
        <f>IFERROR(__xludf.DUMMYFUNCTION("""COMPUTED_VALUE"""),"Point 2")</f>
        <v>Point 2</v>
      </c>
      <c r="AC62" s="4">
        <f>IFERROR(__xludf.DUMMYFUNCTION("""COMPUTED_VALUE"""),11.95018476)</f>
        <v>11.95018476</v>
      </c>
      <c r="AD62" s="4">
        <f>IFERROR(__xludf.DUMMYFUNCTION("""COMPUTED_VALUE"""),8.565481567)</f>
        <v>8.565481567</v>
      </c>
      <c r="AE62" s="5" t="str">
        <f>IFERROR(__xludf.DUMMYFUNCTION("""COMPUTED_VALUE"""),"https://drive.google.com/open?id=1rPF3ZicZOc3FZ_ack0nIn6tvg3YgFsmz")</f>
        <v>https://drive.google.com/open?id=1rPF3ZicZOc3FZ_ack0nIn6tvg3YgFsmz</v>
      </c>
      <c r="AF62" s="4"/>
      <c r="AG62" s="4" t="str">
        <f>IFERROR(__xludf.DUMMYFUNCTION("""COMPUTED_VALUE"""),"UNGUWA UKU ROAD")</f>
        <v>UNGUWA UKU ROAD</v>
      </c>
      <c r="AH62" s="4" t="str">
        <f>IFERROR(__xludf.DUMMYFUNCTION("""COMPUTED_VALUE"""),"Cluster 21")</f>
        <v>Cluster 21</v>
      </c>
      <c r="AI62" s="4"/>
      <c r="AL62" s="4" t="str">
        <f t="shared" si="1"/>
        <v>Cluster 21</v>
      </c>
      <c r="AM62" s="4" t="str">
        <f t="shared" si="2"/>
        <v>UNGUWA UKU ROAD</v>
      </c>
    </row>
    <row r="63">
      <c r="A63" s="3">
        <f>IFERROR(__xludf.DUMMYFUNCTION("""COMPUTED_VALUE"""),45880.9361909838)</f>
        <v>45880.93619</v>
      </c>
      <c r="B63" s="4" t="str">
        <f>IFERROR(__xludf.DUMMYFUNCTION("""COMPUTED_VALUE"""),"umarturaki65@gmail.com")</f>
        <v>umarturaki65@gmail.com</v>
      </c>
      <c r="C63" s="4" t="str">
        <f>IFERROR(__xludf.DUMMYFUNCTION("""COMPUTED_VALUE"""),"Umar Farouk")</f>
        <v>Umar Farouk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 t="str">
        <f>IFERROR(__xludf.DUMMYFUNCTION("""COMPUTED_VALUE"""),"Point 1")</f>
        <v>Point 1</v>
      </c>
      <c r="AC63" s="4">
        <f>IFERROR(__xludf.DUMMYFUNCTION("""COMPUTED_VALUE"""),11.95018476)</f>
        <v>11.95018476</v>
      </c>
      <c r="AD63" s="4">
        <f>IFERROR(__xludf.DUMMYFUNCTION("""COMPUTED_VALUE"""),8.565481567)</f>
        <v>8.565481567</v>
      </c>
      <c r="AE63" s="5" t="str">
        <f>IFERROR(__xludf.DUMMYFUNCTION("""COMPUTED_VALUE"""),"https://drive.google.com/open?id=1n63E6Xxmi5ZOPPLf47JyuOKAdjmmQP6x")</f>
        <v>https://drive.google.com/open?id=1n63E6Xxmi5ZOPPLf47JyuOKAdjmmQP6x</v>
      </c>
      <c r="AF63" s="4"/>
      <c r="AG63" s="4" t="str">
        <f>IFERROR(__xludf.DUMMYFUNCTION("""COMPUTED_VALUE"""),"UNGUWA UKU ROAD")</f>
        <v>UNGUWA UKU ROAD</v>
      </c>
      <c r="AH63" s="4" t="str">
        <f>IFERROR(__xludf.DUMMYFUNCTION("""COMPUTED_VALUE"""),"Cluster 21")</f>
        <v>Cluster 21</v>
      </c>
      <c r="AI63" s="4"/>
      <c r="AL63" s="4" t="str">
        <f t="shared" si="1"/>
        <v>Cluster 21</v>
      </c>
      <c r="AM63" s="4" t="str">
        <f t="shared" si="2"/>
        <v>UNGUWA UKU ROAD</v>
      </c>
    </row>
    <row r="64">
      <c r="A64" s="3">
        <f>IFERROR(__xludf.DUMMYFUNCTION("""COMPUTED_VALUE"""),45879.50236599537)</f>
        <v>45879.50237</v>
      </c>
      <c r="B64" s="4" t="str">
        <f>IFERROR(__xludf.DUMMYFUNCTION("""COMPUTED_VALUE"""),"iahmadzakari@gmail.com")</f>
        <v>iahmadzakari@gmail.com</v>
      </c>
      <c r="C64" s="4" t="str">
        <f>IFERROR(__xludf.DUMMYFUNCTION("""COMPUTED_VALUE"""),"Sadiq Ilu")</f>
        <v>Sadiq Ilu</v>
      </c>
      <c r="D64" s="4" t="str">
        <f>IFERROR(__xludf.DUMMYFUNCTION("""COMPUTED_VALUE"""),"Cluster 8")</f>
        <v>Cluster 8</v>
      </c>
      <c r="E64" s="4"/>
      <c r="F64" s="4"/>
      <c r="G64" s="4" t="str">
        <f>IFERROR(__xludf.DUMMYFUNCTION("""COMPUTED_VALUE"""),"GASHASH CLOSE")</f>
        <v>GASHASH CLOSE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 t="str">
        <f>IFERROR(__xludf.DUMMYFUNCTION("""COMPUTED_VALUE"""),"Point 1")</f>
        <v>Point 1</v>
      </c>
      <c r="AC64" s="4">
        <f>IFERROR(__xludf.DUMMYFUNCTION("""COMPUTED_VALUE"""),12.004822)</f>
        <v>12.004822</v>
      </c>
      <c r="AD64" s="4">
        <f>IFERROR(__xludf.DUMMYFUNCTION("""COMPUTED_VALUE"""),8.55817)</f>
        <v>8.55817</v>
      </c>
      <c r="AE64" s="5" t="str">
        <f>IFERROR(__xludf.DUMMYFUNCTION("""COMPUTED_VALUE"""),"https://drive.google.com/open?id=1ww9KaVgogOE96LvRXY4ekJkIc0eydtlM")</f>
        <v>https://drive.google.com/open?id=1ww9KaVgogOE96LvRXY4ekJkIc0eydtlM</v>
      </c>
      <c r="AF64" s="4"/>
      <c r="AG64" s="4"/>
      <c r="AH64" s="4"/>
      <c r="AI64" s="4"/>
      <c r="AL64" s="4" t="str">
        <f t="shared" si="1"/>
        <v>Cluster 8</v>
      </c>
      <c r="AM64" s="4" t="str">
        <f t="shared" si="2"/>
        <v>GASHASH CLOSE</v>
      </c>
    </row>
    <row r="65">
      <c r="A65" s="3">
        <f>IFERROR(__xludf.DUMMYFUNCTION("""COMPUTED_VALUE"""),45879.501489166665)</f>
        <v>45879.50149</v>
      </c>
      <c r="B65" s="4" t="str">
        <f>IFERROR(__xludf.DUMMYFUNCTION("""COMPUTED_VALUE"""),"iahmadzakari@gmail.com")</f>
        <v>iahmadzakari@gmail.com</v>
      </c>
      <c r="C65" s="4" t="str">
        <f>IFERROR(__xludf.DUMMYFUNCTION("""COMPUTED_VALUE"""),"Sadiq Ilu")</f>
        <v>Sadiq Ilu</v>
      </c>
      <c r="D65" s="4" t="str">
        <f>IFERROR(__xludf.DUMMYFUNCTION("""COMPUTED_VALUE"""),"Cluster 3")</f>
        <v>Cluster 3</v>
      </c>
      <c r="E65" s="4" t="str">
        <f>IFERROR(__xludf.DUMMYFUNCTION("""COMPUTED_VALUE"""),"GIDAN GIWA STREET")</f>
        <v>GIDAN GIWA STREET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 t="str">
        <f>IFERROR(__xludf.DUMMYFUNCTION("""COMPUTED_VALUE"""),"Point 2")</f>
        <v>Point 2</v>
      </c>
      <c r="AC65" s="4">
        <f>IFERROR(__xludf.DUMMYFUNCTION("""COMPUTED_VALUE"""),11.968521)</f>
        <v>11.968521</v>
      </c>
      <c r="AD65" s="4">
        <f>IFERROR(__xludf.DUMMYFUNCTION("""COMPUTED_VALUE"""),8.549793)</f>
        <v>8.549793</v>
      </c>
      <c r="AE65" s="5" t="str">
        <f>IFERROR(__xludf.DUMMYFUNCTION("""COMPUTED_VALUE"""),"https://drive.google.com/open?id=1LOvy19JXLGwcDdgKYeCJ4DmzTocC7aOV")</f>
        <v>https://drive.google.com/open?id=1LOvy19JXLGwcDdgKYeCJ4DmzTocC7aOV</v>
      </c>
      <c r="AF65" s="4"/>
      <c r="AG65" s="4"/>
      <c r="AH65" s="4"/>
      <c r="AI65" s="4"/>
      <c r="AL65" s="4" t="str">
        <f t="shared" si="1"/>
        <v>Cluster 3</v>
      </c>
      <c r="AM65" s="4" t="str">
        <f t="shared" si="2"/>
        <v>GIDAN GIWA STREET</v>
      </c>
    </row>
    <row r="66">
      <c r="A66" s="3">
        <f>IFERROR(__xludf.DUMMYFUNCTION("""COMPUTED_VALUE"""),45879.50054866898)</f>
        <v>45879.50055</v>
      </c>
      <c r="B66" s="4" t="str">
        <f>IFERROR(__xludf.DUMMYFUNCTION("""COMPUTED_VALUE"""),"iahmadzakari@gmail.com")</f>
        <v>iahmadzakari@gmail.com</v>
      </c>
      <c r="C66" s="4" t="str">
        <f>IFERROR(__xludf.DUMMYFUNCTION("""COMPUTED_VALUE"""),"Sadiq Ilu")</f>
        <v>Sadiq Ilu</v>
      </c>
      <c r="D66" s="4" t="str">
        <f>IFERROR(__xludf.DUMMYFUNCTION("""COMPUTED_VALUE"""),"Cluster 3")</f>
        <v>Cluster 3</v>
      </c>
      <c r="E66" s="4" t="str">
        <f>IFERROR(__xludf.DUMMYFUNCTION("""COMPUTED_VALUE"""),"GIDAN GIWA STREET")</f>
        <v>GIDAN GIWA STREET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 t="str">
        <f>IFERROR(__xludf.DUMMYFUNCTION("""COMPUTED_VALUE"""),"Point 1")</f>
        <v>Point 1</v>
      </c>
      <c r="AC66" s="4">
        <f>IFERROR(__xludf.DUMMYFUNCTION("""COMPUTED_VALUE"""),11.968373)</f>
        <v>11.968373</v>
      </c>
      <c r="AD66" s="4">
        <f>IFERROR(__xludf.DUMMYFUNCTION("""COMPUTED_VALUE"""),8.549005)</f>
        <v>8.549005</v>
      </c>
      <c r="AE66" s="5" t="str">
        <f>IFERROR(__xludf.DUMMYFUNCTION("""COMPUTED_VALUE"""),"https://drive.google.com/open?id=1cOLuKiQZXa-4IoKC8AxcC4TToTflGbzU")</f>
        <v>https://drive.google.com/open?id=1cOLuKiQZXa-4IoKC8AxcC4TToTflGbzU</v>
      </c>
      <c r="AF66" s="4"/>
      <c r="AG66" s="4"/>
      <c r="AH66" s="4"/>
      <c r="AI66" s="4"/>
      <c r="AL66" s="4" t="str">
        <f t="shared" si="1"/>
        <v>Cluster 3</v>
      </c>
      <c r="AM66" s="4" t="str">
        <f t="shared" si="2"/>
        <v>GIDAN GIWA STREET</v>
      </c>
    </row>
    <row r="67">
      <c r="A67" s="3">
        <f>IFERROR(__xludf.DUMMYFUNCTION("""COMPUTED_VALUE"""),45879.45864412037)</f>
        <v>45879.45864</v>
      </c>
      <c r="B67" s="4" t="str">
        <f>IFERROR(__xludf.DUMMYFUNCTION("""COMPUTED_VALUE"""),"ajisadiqdala@gmail.com")</f>
        <v>ajisadiqdala@gmail.com</v>
      </c>
      <c r="C67" s="4" t="str">
        <f>IFERROR(__xludf.DUMMYFUNCTION("""COMPUTED_VALUE"""),"Sadiq Dala")</f>
        <v>Sadiq Dala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 t="str">
        <f>IFERROR(__xludf.DUMMYFUNCTION("""COMPUTED_VALUE"""),"Cluster 15")</f>
        <v>Cluster 15</v>
      </c>
      <c r="W67" s="4"/>
      <c r="X67" s="4"/>
      <c r="Y67" s="4" t="str">
        <f>IFERROR(__xludf.DUMMYFUNCTION("""COMPUTED_VALUE"""),"DR M SHABA STREET")</f>
        <v>DR M SHABA STREET</v>
      </c>
      <c r="Z67" s="4"/>
      <c r="AA67" s="4"/>
      <c r="AB67" s="4" t="str">
        <f>IFERROR(__xludf.DUMMYFUNCTION("""COMPUTED_VALUE"""),"Point 2")</f>
        <v>Point 2</v>
      </c>
      <c r="AC67" s="4">
        <f>IFERROR(__xludf.DUMMYFUNCTION("""COMPUTED_VALUE"""),12.008)</f>
        <v>12.008</v>
      </c>
      <c r="AD67" s="4">
        <f>IFERROR(__xludf.DUMMYFUNCTION("""COMPUTED_VALUE"""),8.572059)</f>
        <v>8.572059</v>
      </c>
      <c r="AE67" s="5" t="str">
        <f>IFERROR(__xludf.DUMMYFUNCTION("""COMPUTED_VALUE"""),"https://drive.google.com/open?id=1rKQeCb9kD2hT8snM4ztkHmsMCYDb_sak")</f>
        <v>https://drive.google.com/open?id=1rKQeCb9kD2hT8snM4ztkHmsMCYDb_sak</v>
      </c>
      <c r="AF67" s="4"/>
      <c r="AG67" s="4"/>
      <c r="AH67" s="4"/>
      <c r="AI67" s="4"/>
      <c r="AL67" s="4" t="str">
        <f t="shared" si="1"/>
        <v>Cluster 15</v>
      </c>
      <c r="AM67" s="4" t="str">
        <f t="shared" si="2"/>
        <v>DR M SHABA STREET</v>
      </c>
    </row>
    <row r="68">
      <c r="A68" s="3">
        <f>IFERROR(__xludf.DUMMYFUNCTION("""COMPUTED_VALUE"""),45879.457494965274)</f>
        <v>45879.45749</v>
      </c>
      <c r="B68" s="4" t="str">
        <f>IFERROR(__xludf.DUMMYFUNCTION("""COMPUTED_VALUE"""),"ajisadiqdala@gmail.com")</f>
        <v>ajisadiqdala@gmail.com</v>
      </c>
      <c r="C68" s="4" t="str">
        <f>IFERROR(__xludf.DUMMYFUNCTION("""COMPUTED_VALUE"""),"Sadiq Dala")</f>
        <v>Sadiq Dala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 t="str">
        <f>IFERROR(__xludf.DUMMYFUNCTION("""COMPUTED_VALUE"""),"Cluster 15")</f>
        <v>Cluster 15</v>
      </c>
      <c r="W68" s="4"/>
      <c r="X68" s="4"/>
      <c r="Y68" s="4" t="str">
        <f>IFERROR(__xludf.DUMMYFUNCTION("""COMPUTED_VALUE"""),"DR M SHABA STREET")</f>
        <v>DR M SHABA STREET</v>
      </c>
      <c r="Z68" s="4"/>
      <c r="AA68" s="4"/>
      <c r="AB68" s="4" t="str">
        <f>IFERROR(__xludf.DUMMYFUNCTION("""COMPUTED_VALUE"""),"Point 1")</f>
        <v>Point 1</v>
      </c>
      <c r="AC68" s="4">
        <f>IFERROR(__xludf.DUMMYFUNCTION("""COMPUTED_VALUE"""),12.005913)</f>
        <v>12.005913</v>
      </c>
      <c r="AD68" s="4">
        <f>IFERROR(__xludf.DUMMYFUNCTION("""COMPUTED_VALUE"""),8.572301)</f>
        <v>8.572301</v>
      </c>
      <c r="AE68" s="5" t="str">
        <f>IFERROR(__xludf.DUMMYFUNCTION("""COMPUTED_VALUE"""),"https://drive.google.com/open?id=12qxO02ZPiitsK4PWLGQokDS4JVcByFRT")</f>
        <v>https://drive.google.com/open?id=12qxO02ZPiitsK4PWLGQokDS4JVcByFRT</v>
      </c>
      <c r="AF68" s="4"/>
      <c r="AG68" s="4"/>
      <c r="AH68" s="4"/>
      <c r="AI68" s="4"/>
      <c r="AL68" s="4" t="str">
        <f t="shared" si="1"/>
        <v>Cluster 15</v>
      </c>
      <c r="AM68" s="4" t="str">
        <f t="shared" si="2"/>
        <v>DR M SHABA STREET</v>
      </c>
    </row>
    <row r="69">
      <c r="A69" s="3">
        <f>IFERROR(__xludf.DUMMYFUNCTION("""COMPUTED_VALUE"""),45879.45576358796)</f>
        <v>45879.45576</v>
      </c>
      <c r="B69" s="4" t="str">
        <f>IFERROR(__xludf.DUMMYFUNCTION("""COMPUTED_VALUE"""),"ajisadiqdala@gmail.com")</f>
        <v>ajisadiqdala@gmail.com</v>
      </c>
      <c r="C69" s="4" t="str">
        <f>IFERROR(__xludf.DUMMYFUNCTION("""COMPUTED_VALUE"""),"Sadiq Dala")</f>
        <v>Sadiq Dala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 t="str">
        <f>IFERROR(__xludf.DUMMYFUNCTION("""COMPUTED_VALUE"""),"Cluster 19")</f>
        <v>Cluster 19</v>
      </c>
      <c r="W69" s="4"/>
      <c r="X69" s="4"/>
      <c r="Y69" s="4"/>
      <c r="Z69" s="4"/>
      <c r="AA69" s="4" t="str">
        <f>IFERROR(__xludf.DUMMYFUNCTION("""COMPUTED_VALUE"""),"GIGINYU BARRACKS ROAD")</f>
        <v>GIGINYU BARRACKS ROAD</v>
      </c>
      <c r="AB69" s="4" t="str">
        <f>IFERROR(__xludf.DUMMYFUNCTION("""COMPUTED_VALUE"""),"Point 2")</f>
        <v>Point 2</v>
      </c>
      <c r="AC69" s="4">
        <f>IFERROR(__xludf.DUMMYFUNCTION("""COMPUTED_VALUE"""),11.992911)</f>
        <v>11.992911</v>
      </c>
      <c r="AD69" s="4">
        <f>IFERROR(__xludf.DUMMYFUNCTION("""COMPUTED_VALUE"""),8.56875)</f>
        <v>8.56875</v>
      </c>
      <c r="AE69" s="5" t="str">
        <f>IFERROR(__xludf.DUMMYFUNCTION("""COMPUTED_VALUE"""),"https://drive.google.com/open?id=15BgtfJOMTxuiRwnYyDyIhhaJFSvWcPHZ")</f>
        <v>https://drive.google.com/open?id=15BgtfJOMTxuiRwnYyDyIhhaJFSvWcPHZ</v>
      </c>
      <c r="AF69" s="4"/>
      <c r="AG69" s="4"/>
      <c r="AH69" s="4"/>
      <c r="AI69" s="4"/>
      <c r="AL69" s="4" t="str">
        <f t="shared" si="1"/>
        <v>Cluster 19</v>
      </c>
      <c r="AM69" s="4" t="str">
        <f t="shared" si="2"/>
        <v>GIGINYU BARRACKS ROAD</v>
      </c>
    </row>
    <row r="70">
      <c r="A70" s="3">
        <f>IFERROR(__xludf.DUMMYFUNCTION("""COMPUTED_VALUE"""),45879.454531967596)</f>
        <v>45879.45453</v>
      </c>
      <c r="B70" s="4" t="str">
        <f>IFERROR(__xludf.DUMMYFUNCTION("""COMPUTED_VALUE"""),"ajisadiqdala@gmail.com")</f>
        <v>ajisadiqdala@gmail.com</v>
      </c>
      <c r="C70" s="4" t="str">
        <f>IFERROR(__xludf.DUMMYFUNCTION("""COMPUTED_VALUE"""),"Sadiq Dala")</f>
        <v>Sadiq Dala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 t="str">
        <f>IFERROR(__xludf.DUMMYFUNCTION("""COMPUTED_VALUE"""),"Cluster 19")</f>
        <v>Cluster 19</v>
      </c>
      <c r="W70" s="4"/>
      <c r="X70" s="4"/>
      <c r="Y70" s="4"/>
      <c r="Z70" s="4"/>
      <c r="AA70" s="4" t="str">
        <f>IFERROR(__xludf.DUMMYFUNCTION("""COMPUTED_VALUE"""),"GIGINYU BARRACKS ROAD")</f>
        <v>GIGINYU BARRACKS ROAD</v>
      </c>
      <c r="AB70" s="4" t="str">
        <f>IFERROR(__xludf.DUMMYFUNCTION("""COMPUTED_VALUE"""),"Point 1")</f>
        <v>Point 1</v>
      </c>
      <c r="AC70" s="4">
        <f>IFERROR(__xludf.DUMMYFUNCTION("""COMPUTED_VALUE"""),11.990755)</f>
        <v>11.990755</v>
      </c>
      <c r="AD70" s="4">
        <f>IFERROR(__xludf.DUMMYFUNCTION("""COMPUTED_VALUE"""),8.568991)</f>
        <v>8.568991</v>
      </c>
      <c r="AE70" s="5" t="str">
        <f>IFERROR(__xludf.DUMMYFUNCTION("""COMPUTED_VALUE"""),"https://drive.google.com/open?id=1_AkvsLkdXQOPtPK8rh09TfsfcNClLowa")</f>
        <v>https://drive.google.com/open?id=1_AkvsLkdXQOPtPK8rh09TfsfcNClLowa</v>
      </c>
      <c r="AF70" s="4"/>
      <c r="AG70" s="4"/>
      <c r="AH70" s="4"/>
      <c r="AI70" s="4"/>
      <c r="AL70" s="4" t="str">
        <f t="shared" si="1"/>
        <v>Cluster 19</v>
      </c>
      <c r="AM70" s="4" t="str">
        <f t="shared" si="2"/>
        <v>GIGINYU BARRACKS ROAD</v>
      </c>
    </row>
    <row r="71">
      <c r="A71" s="3">
        <f>IFERROR(__xludf.DUMMYFUNCTION("""COMPUTED_VALUE"""),45879.45314079861)</f>
        <v>45879.45314</v>
      </c>
      <c r="B71" s="4" t="str">
        <f>IFERROR(__xludf.DUMMYFUNCTION("""COMPUTED_VALUE"""),"ajisadiqdala@gmail.com")</f>
        <v>ajisadiqdala@gmail.com</v>
      </c>
      <c r="C71" s="4" t="str">
        <f>IFERROR(__xludf.DUMMYFUNCTION("""COMPUTED_VALUE"""),"Sadiq Dala")</f>
        <v>Sadiq Dala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 t="str">
        <f>IFERROR(__xludf.DUMMYFUNCTION("""COMPUTED_VALUE"""),"Cluster 19")</f>
        <v>Cluster 19</v>
      </c>
      <c r="W71" s="4"/>
      <c r="X71" s="4"/>
      <c r="Y71" s="4"/>
      <c r="Z71" s="4"/>
      <c r="AA71" s="4" t="str">
        <f>IFERROR(__xludf.DUMMYFUNCTION("""COMPUTED_VALUE"""),"YAKUBU SULEIMAN LINK")</f>
        <v>YAKUBU SULEIMAN LINK</v>
      </c>
      <c r="AB71" s="4" t="str">
        <f>IFERROR(__xludf.DUMMYFUNCTION("""COMPUTED_VALUE"""),"Point 2")</f>
        <v>Point 2</v>
      </c>
      <c r="AC71" s="4">
        <f>IFERROR(__xludf.DUMMYFUNCTION("""COMPUTED_VALUE"""),11.993615)</f>
        <v>11.993615</v>
      </c>
      <c r="AD71" s="4">
        <f>IFERROR(__xludf.DUMMYFUNCTION("""COMPUTED_VALUE"""),8.566788)</f>
        <v>8.566788</v>
      </c>
      <c r="AE71" s="5" t="str">
        <f>IFERROR(__xludf.DUMMYFUNCTION("""COMPUTED_VALUE"""),"https://drive.google.com/open?id=1XJRKQ8o6i4bt9jqh1CRB9OVV2RcV-V2k")</f>
        <v>https://drive.google.com/open?id=1XJRKQ8o6i4bt9jqh1CRB9OVV2RcV-V2k</v>
      </c>
      <c r="AF71" s="4"/>
      <c r="AG71" s="4"/>
      <c r="AH71" s="4"/>
      <c r="AI71" s="4"/>
      <c r="AL71" s="4" t="str">
        <f t="shared" si="1"/>
        <v>Cluster 19</v>
      </c>
      <c r="AM71" s="4" t="str">
        <f t="shared" si="2"/>
        <v>YAKUBU SULEIMAN LINK</v>
      </c>
    </row>
    <row r="72">
      <c r="A72" s="3">
        <f>IFERROR(__xludf.DUMMYFUNCTION("""COMPUTED_VALUE"""),45879.45178909722)</f>
        <v>45879.45179</v>
      </c>
      <c r="B72" s="4" t="str">
        <f>IFERROR(__xludf.DUMMYFUNCTION("""COMPUTED_VALUE"""),"ajisadiqdala@gmail.com")</f>
        <v>ajisadiqdala@gmail.com</v>
      </c>
      <c r="C72" s="4" t="str">
        <f>IFERROR(__xludf.DUMMYFUNCTION("""COMPUTED_VALUE"""),"Sadiq Dala")</f>
        <v>Sadiq Dala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 t="str">
        <f>IFERROR(__xludf.DUMMYFUNCTION("""COMPUTED_VALUE"""),"Cluster 19")</f>
        <v>Cluster 19</v>
      </c>
      <c r="W72" s="4"/>
      <c r="X72" s="4"/>
      <c r="Y72" s="4"/>
      <c r="Z72" s="4"/>
      <c r="AA72" s="4" t="str">
        <f>IFERROR(__xludf.DUMMYFUNCTION("""COMPUTED_VALUE"""),"YAKUBU SULEIMAN LINK")</f>
        <v>YAKUBU SULEIMAN LINK</v>
      </c>
      <c r="AB72" s="4" t="str">
        <f>IFERROR(__xludf.DUMMYFUNCTION("""COMPUTED_VALUE"""),"Point 1")</f>
        <v>Point 1</v>
      </c>
      <c r="AC72" s="4">
        <f>IFERROR(__xludf.DUMMYFUNCTION("""COMPUTED_VALUE"""),11.993657)</f>
        <v>11.993657</v>
      </c>
      <c r="AD72" s="4">
        <f>IFERROR(__xludf.DUMMYFUNCTION("""COMPUTED_VALUE"""),8.565299)</f>
        <v>8.565299</v>
      </c>
      <c r="AE72" s="5" t="str">
        <f>IFERROR(__xludf.DUMMYFUNCTION("""COMPUTED_VALUE"""),"https://drive.google.com/open?id=1BtVpzp3y8130h3Dvoh8cy3vhhG3RvE1C")</f>
        <v>https://drive.google.com/open?id=1BtVpzp3y8130h3Dvoh8cy3vhhG3RvE1C</v>
      </c>
      <c r="AF72" s="4"/>
      <c r="AG72" s="4"/>
      <c r="AH72" s="4"/>
      <c r="AI72" s="4"/>
      <c r="AL72" s="4" t="str">
        <f t="shared" si="1"/>
        <v>Cluster 19</v>
      </c>
      <c r="AM72" s="4" t="str">
        <f t="shared" si="2"/>
        <v>YAKUBU SULEIMAN LINK</v>
      </c>
    </row>
    <row r="73">
      <c r="A73" s="3">
        <f>IFERROR(__xludf.DUMMYFUNCTION("""COMPUTED_VALUE"""),45879.45004127314)</f>
        <v>45879.45004</v>
      </c>
      <c r="B73" s="4" t="str">
        <f>IFERROR(__xludf.DUMMYFUNCTION("""COMPUTED_VALUE"""),"ajisadiqdala@gmail.com")</f>
        <v>ajisadiqdala@gmail.com</v>
      </c>
      <c r="C73" s="4" t="str">
        <f>IFERROR(__xludf.DUMMYFUNCTION("""COMPUTED_VALUE"""),"Sadiq Dala")</f>
        <v>Sadiq Dala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 t="str">
        <f>IFERROR(__xludf.DUMMYFUNCTION("""COMPUTED_VALUE"""),"Cluster 15")</f>
        <v>Cluster 15</v>
      </c>
      <c r="W73" s="4"/>
      <c r="X73" s="4"/>
      <c r="Y73" s="4" t="str">
        <f>IFERROR(__xludf.DUMMYFUNCTION("""COMPUTED_VALUE"""),"BAKWA AVENUE")</f>
        <v>BAKWA AVENUE</v>
      </c>
      <c r="Z73" s="4"/>
      <c r="AA73" s="4"/>
      <c r="AB73" s="4" t="str">
        <f>IFERROR(__xludf.DUMMYFUNCTION("""COMPUTED_VALUE"""),"Point 2")</f>
        <v>Point 2</v>
      </c>
      <c r="AC73" s="4">
        <f>IFERROR(__xludf.DUMMYFUNCTION("""COMPUTED_VALUE"""),12.006003)</f>
        <v>12.006003</v>
      </c>
      <c r="AD73" s="4">
        <f>IFERROR(__xludf.DUMMYFUNCTION("""COMPUTED_VALUE"""),8.574163)</f>
        <v>8.574163</v>
      </c>
      <c r="AE73" s="5" t="str">
        <f>IFERROR(__xludf.DUMMYFUNCTION("""COMPUTED_VALUE"""),"https://drive.google.com/open?id=1s9WW_YgLnz0smvpITF08_HLbY4WntF9N")</f>
        <v>https://drive.google.com/open?id=1s9WW_YgLnz0smvpITF08_HLbY4WntF9N</v>
      </c>
      <c r="AF73" s="4"/>
      <c r="AG73" s="4"/>
      <c r="AH73" s="4"/>
      <c r="AI73" s="4"/>
      <c r="AL73" s="4" t="str">
        <f t="shared" si="1"/>
        <v>Cluster 15</v>
      </c>
      <c r="AM73" s="4" t="str">
        <f t="shared" si="2"/>
        <v>BAKWA AVENUE</v>
      </c>
    </row>
    <row r="74">
      <c r="A74" s="3">
        <f>IFERROR(__xludf.DUMMYFUNCTION("""COMPUTED_VALUE"""),45879.44901027778)</f>
        <v>45879.44901</v>
      </c>
      <c r="B74" s="4" t="str">
        <f>IFERROR(__xludf.DUMMYFUNCTION("""COMPUTED_VALUE"""),"ajisadiqdala@gmail.com")</f>
        <v>ajisadiqdala@gmail.com</v>
      </c>
      <c r="C74" s="4" t="str">
        <f>IFERROR(__xludf.DUMMYFUNCTION("""COMPUTED_VALUE"""),"Sadiq Dala")</f>
        <v>Sadiq Dala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 t="str">
        <f>IFERROR(__xludf.DUMMYFUNCTION("""COMPUTED_VALUE"""),"Cluster 15")</f>
        <v>Cluster 15</v>
      </c>
      <c r="W74" s="4"/>
      <c r="X74" s="4"/>
      <c r="Y74" s="4" t="str">
        <f>IFERROR(__xludf.DUMMYFUNCTION("""COMPUTED_VALUE"""),"BAKWA AVENUE")</f>
        <v>BAKWA AVENUE</v>
      </c>
      <c r="Z74" s="4"/>
      <c r="AA74" s="4"/>
      <c r="AB74" s="4" t="str">
        <f>IFERROR(__xludf.DUMMYFUNCTION("""COMPUTED_VALUE"""),"Point 1")</f>
        <v>Point 1</v>
      </c>
      <c r="AC74" s="4">
        <f>IFERROR(__xludf.DUMMYFUNCTION("""COMPUTED_VALUE"""),12.007171)</f>
        <v>12.007171</v>
      </c>
      <c r="AD74" s="4">
        <f>IFERROR(__xludf.DUMMYFUNCTION("""COMPUTED_VALUE"""),8.57405)</f>
        <v>8.57405</v>
      </c>
      <c r="AE74" s="5" t="str">
        <f>IFERROR(__xludf.DUMMYFUNCTION("""COMPUTED_VALUE"""),"https://drive.google.com/open?id=1H2lnUP9OFDtIJ3ZFlbmVkr-zmpVa6Rq_")</f>
        <v>https://drive.google.com/open?id=1H2lnUP9OFDtIJ3ZFlbmVkr-zmpVa6Rq_</v>
      </c>
      <c r="AF74" s="4"/>
      <c r="AG74" s="4"/>
      <c r="AH74" s="4"/>
      <c r="AI74" s="4"/>
      <c r="AL74" s="4" t="str">
        <f t="shared" si="1"/>
        <v>Cluster 15</v>
      </c>
      <c r="AM74" s="4" t="str">
        <f t="shared" si="2"/>
        <v>BAKWA AVENUE</v>
      </c>
    </row>
    <row r="75">
      <c r="A75" s="3">
        <f>IFERROR(__xludf.DUMMYFUNCTION("""COMPUTED_VALUE"""),45879.44783553241)</f>
        <v>45879.44784</v>
      </c>
      <c r="B75" s="4" t="str">
        <f>IFERROR(__xludf.DUMMYFUNCTION("""COMPUTED_VALUE"""),"ajisadiqdala@gmail.com")</f>
        <v>ajisadiqdala@gmail.com</v>
      </c>
      <c r="C75" s="4" t="str">
        <f>IFERROR(__xludf.DUMMYFUNCTION("""COMPUTED_VALUE"""),"Sadiq Dala")</f>
        <v>Sadiq Dala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 t="str">
        <f>IFERROR(__xludf.DUMMYFUNCTION("""COMPUTED_VALUE"""),"Cluster 15")</f>
        <v>Cluster 15</v>
      </c>
      <c r="W75" s="4"/>
      <c r="X75" s="4"/>
      <c r="Y75" s="4" t="str">
        <f>IFERROR(__xludf.DUMMYFUNCTION("""COMPUTED_VALUE"""),"HASSAN GWARZO STREET")</f>
        <v>HASSAN GWARZO STREET</v>
      </c>
      <c r="Z75" s="4"/>
      <c r="AA75" s="4"/>
      <c r="AB75" s="4" t="str">
        <f>IFERROR(__xludf.DUMMYFUNCTION("""COMPUTED_VALUE"""),"Point 1")</f>
        <v>Point 1</v>
      </c>
      <c r="AC75" s="4">
        <f>IFERROR(__xludf.DUMMYFUNCTION("""COMPUTED_VALUE"""),11.960993)</f>
        <v>11.960993</v>
      </c>
      <c r="AD75" s="4">
        <f>IFERROR(__xludf.DUMMYFUNCTION("""COMPUTED_VALUE"""),8.538695)</f>
        <v>8.538695</v>
      </c>
      <c r="AE75" s="5" t="str">
        <f>IFERROR(__xludf.DUMMYFUNCTION("""COMPUTED_VALUE"""),"https://drive.google.com/open?id=1TRxZokMeH8k9VXxHO76PBH4KTAotKxra")</f>
        <v>https://drive.google.com/open?id=1TRxZokMeH8k9VXxHO76PBH4KTAotKxra</v>
      </c>
      <c r="AF75" s="4"/>
      <c r="AG75" s="4"/>
      <c r="AH75" s="4"/>
      <c r="AI75" s="4"/>
      <c r="AL75" s="4" t="str">
        <f t="shared" si="1"/>
        <v>Cluster 15</v>
      </c>
      <c r="AM75" s="4" t="str">
        <f t="shared" si="2"/>
        <v>HASSAN GWARZO STREET</v>
      </c>
    </row>
    <row r="76">
      <c r="A76" s="3">
        <f>IFERROR(__xludf.DUMMYFUNCTION("""COMPUTED_VALUE"""),45879.446570659726)</f>
        <v>45879.44657</v>
      </c>
      <c r="B76" s="4" t="str">
        <f>IFERROR(__xludf.DUMMYFUNCTION("""COMPUTED_VALUE"""),"ajisadiqdala@gmail.com")</f>
        <v>ajisadiqdala@gmail.com</v>
      </c>
      <c r="C76" s="4" t="str">
        <f>IFERROR(__xludf.DUMMYFUNCTION("""COMPUTED_VALUE"""),"Sadiq Dala")</f>
        <v>Sadiq Dala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 t="str">
        <f>IFERROR(__xludf.DUMMYFUNCTION("""COMPUTED_VALUE"""),"Cluster 15")</f>
        <v>Cluster 15</v>
      </c>
      <c r="W76" s="4"/>
      <c r="X76" s="4"/>
      <c r="Y76" s="4" t="str">
        <f>IFERROR(__xludf.DUMMYFUNCTION("""COMPUTED_VALUE"""),"MAI HULA STREET")</f>
        <v>MAI HULA STREET</v>
      </c>
      <c r="Z76" s="4"/>
      <c r="AA76" s="4"/>
      <c r="AB76" s="4" t="str">
        <f>IFERROR(__xludf.DUMMYFUNCTION("""COMPUTED_VALUE"""),"Point 2")</f>
        <v>Point 2</v>
      </c>
      <c r="AC76" s="4">
        <f>IFERROR(__xludf.DUMMYFUNCTION("""COMPUTED_VALUE"""),11.960924)</f>
        <v>11.960924</v>
      </c>
      <c r="AD76" s="4">
        <f>IFERROR(__xludf.DUMMYFUNCTION("""COMPUTED_VALUE"""),8.538695)</f>
        <v>8.538695</v>
      </c>
      <c r="AE76" s="5" t="str">
        <f>IFERROR(__xludf.DUMMYFUNCTION("""COMPUTED_VALUE"""),"https://drive.google.com/open?id=1aJrIO2nnEMuDLeNByS5xG_zJx9ttmg6l")</f>
        <v>https://drive.google.com/open?id=1aJrIO2nnEMuDLeNByS5xG_zJx9ttmg6l</v>
      </c>
      <c r="AF76" s="4"/>
      <c r="AG76" s="4"/>
      <c r="AH76" s="4"/>
      <c r="AI76" s="4"/>
      <c r="AL76" s="4" t="str">
        <f t="shared" si="1"/>
        <v>Cluster 15</v>
      </c>
      <c r="AM76" s="4" t="str">
        <f t="shared" si="2"/>
        <v>MAI HULA STREET</v>
      </c>
    </row>
    <row r="77">
      <c r="A77" s="3">
        <f>IFERROR(__xludf.DUMMYFUNCTION("""COMPUTED_VALUE"""),45878.95262408565)</f>
        <v>45878.95262</v>
      </c>
      <c r="B77" s="4" t="str">
        <f>IFERROR(__xludf.DUMMYFUNCTION("""COMPUTED_VALUE"""),"ajisadiqdala@gmail.com")</f>
        <v>ajisadiqdala@gmail.com</v>
      </c>
      <c r="C77" s="4" t="str">
        <f>IFERROR(__xludf.DUMMYFUNCTION("""COMPUTED_VALUE"""),"Sadiq Dala")</f>
        <v>Sadiq Dala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 t="str">
        <f>IFERROR(__xludf.DUMMYFUNCTION("""COMPUTED_VALUE"""),"Cluster 5")</f>
        <v>Cluster 5</v>
      </c>
      <c r="W77" s="4" t="str">
        <f>IFERROR(__xludf.DUMMYFUNCTION("""COMPUTED_VALUE"""),"ALHAJI BALA STREET")</f>
        <v>ALHAJI BALA STREET</v>
      </c>
      <c r="X77" s="4"/>
      <c r="Y77" s="4"/>
      <c r="Z77" s="4"/>
      <c r="AA77" s="4"/>
      <c r="AB77" s="4" t="str">
        <f>IFERROR(__xludf.DUMMYFUNCTION("""COMPUTED_VALUE"""),"Point 2")</f>
        <v>Point 2</v>
      </c>
      <c r="AC77" s="4">
        <f>IFERROR(__xludf.DUMMYFUNCTION("""COMPUTED_VALUE"""),11.965592)</f>
        <v>11.965592</v>
      </c>
      <c r="AD77" s="4">
        <f>IFERROR(__xludf.DUMMYFUNCTION("""COMPUTED_VALUE"""),8.537351)</f>
        <v>8.537351</v>
      </c>
      <c r="AE77" s="5" t="str">
        <f>IFERROR(__xludf.DUMMYFUNCTION("""COMPUTED_VALUE"""),"https://drive.google.com/open?id=1Sz08ixNU6hQDYIYabzkjzR7rbdsrfCh7")</f>
        <v>https://drive.google.com/open?id=1Sz08ixNU6hQDYIYabzkjzR7rbdsrfCh7</v>
      </c>
      <c r="AF77" s="4"/>
      <c r="AG77" s="4"/>
      <c r="AH77" s="4"/>
      <c r="AI77" s="4"/>
      <c r="AL77" s="4" t="str">
        <f t="shared" si="1"/>
        <v>Cluster 5</v>
      </c>
      <c r="AM77" s="4" t="str">
        <f t="shared" si="2"/>
        <v>ALHAJI BALA STREET</v>
      </c>
    </row>
    <row r="78">
      <c r="A78" s="3">
        <f>IFERROR(__xludf.DUMMYFUNCTION("""COMPUTED_VALUE"""),45878.95099142361)</f>
        <v>45878.95099</v>
      </c>
      <c r="B78" s="4" t="str">
        <f>IFERROR(__xludf.DUMMYFUNCTION("""COMPUTED_VALUE"""),"ajisadiqdala@gmail.com")</f>
        <v>ajisadiqdala@gmail.com</v>
      </c>
      <c r="C78" s="4" t="str">
        <f>IFERROR(__xludf.DUMMYFUNCTION("""COMPUTED_VALUE"""),"Sadiq Dala")</f>
        <v>Sadiq Dala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 t="str">
        <f>IFERROR(__xludf.DUMMYFUNCTION("""COMPUTED_VALUE"""),"Cluster 5")</f>
        <v>Cluster 5</v>
      </c>
      <c r="W78" s="4" t="str">
        <f>IFERROR(__xludf.DUMMYFUNCTION("""COMPUTED_VALUE"""),"ALHAJI BALA STREET")</f>
        <v>ALHAJI BALA STREET</v>
      </c>
      <c r="X78" s="4"/>
      <c r="Y78" s="4"/>
      <c r="Z78" s="4"/>
      <c r="AA78" s="4"/>
      <c r="AB78" s="4" t="str">
        <f>IFERROR(__xludf.DUMMYFUNCTION("""COMPUTED_VALUE"""),"Point 1")</f>
        <v>Point 1</v>
      </c>
      <c r="AC78" s="4">
        <f>IFERROR(__xludf.DUMMYFUNCTION("""COMPUTED_VALUE"""),11.964948)</f>
        <v>11.964948</v>
      </c>
      <c r="AD78" s="4">
        <f>IFERROR(__xludf.DUMMYFUNCTION("""COMPUTED_VALUE"""),8.537951)</f>
        <v>8.537951</v>
      </c>
      <c r="AE78" s="5" t="str">
        <f>IFERROR(__xludf.DUMMYFUNCTION("""COMPUTED_VALUE"""),"https://drive.google.com/open?id=1vfNIT2waohrsTnDiJkCB13OnNFlkq6d7")</f>
        <v>https://drive.google.com/open?id=1vfNIT2waohrsTnDiJkCB13OnNFlkq6d7</v>
      </c>
      <c r="AF78" s="4"/>
      <c r="AG78" s="4"/>
      <c r="AH78" s="4"/>
      <c r="AI78" s="4"/>
      <c r="AL78" s="4" t="str">
        <f t="shared" si="1"/>
        <v>Cluster 5</v>
      </c>
      <c r="AM78" s="4" t="str">
        <f t="shared" si="2"/>
        <v>ALHAJI BALA STREET</v>
      </c>
    </row>
    <row r="79">
      <c r="A79" s="3">
        <f>IFERROR(__xludf.DUMMYFUNCTION("""COMPUTED_VALUE"""),45878.94784799768)</f>
        <v>45878.94785</v>
      </c>
      <c r="B79" s="4" t="str">
        <f>IFERROR(__xludf.DUMMYFUNCTION("""COMPUTED_VALUE"""),"ajisadiqdala@gmail.com")</f>
        <v>ajisadiqdala@gmail.com</v>
      </c>
      <c r="C79" s="4" t="str">
        <f>IFERROR(__xludf.DUMMYFUNCTION("""COMPUTED_VALUE"""),"Sadiq Dala")</f>
        <v>Sadiq Dala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 t="str">
        <f>IFERROR(__xludf.DUMMYFUNCTION("""COMPUTED_VALUE"""),"Cluster 15")</f>
        <v>Cluster 15</v>
      </c>
      <c r="W79" s="4"/>
      <c r="X79" s="4"/>
      <c r="Y79" s="4" t="str">
        <f>IFERROR(__xludf.DUMMYFUNCTION("""COMPUTED_VALUE"""),"UMAR TURAWA STREET")</f>
        <v>UMAR TURAWA STREET</v>
      </c>
      <c r="Z79" s="4"/>
      <c r="AA79" s="4"/>
      <c r="AB79" s="4" t="str">
        <f>IFERROR(__xludf.DUMMYFUNCTION("""COMPUTED_VALUE"""),"Point 2")</f>
        <v>Point 2</v>
      </c>
      <c r="AC79" s="4">
        <f>IFERROR(__xludf.DUMMYFUNCTION("""COMPUTED_VALUE"""),11.95483)</f>
        <v>11.95483</v>
      </c>
      <c r="AD79" s="4">
        <f>IFERROR(__xludf.DUMMYFUNCTION("""COMPUTED_VALUE"""),8.539685)</f>
        <v>8.539685</v>
      </c>
      <c r="AE79" s="5" t="str">
        <f>IFERROR(__xludf.DUMMYFUNCTION("""COMPUTED_VALUE"""),"https://drive.google.com/open?id=1fPiJjAyHF-ulUkz52gJZIRRNwnAOKWDR")</f>
        <v>https://drive.google.com/open?id=1fPiJjAyHF-ulUkz52gJZIRRNwnAOKWDR</v>
      </c>
      <c r="AF79" s="4"/>
      <c r="AG79" s="4"/>
      <c r="AH79" s="4"/>
      <c r="AI79" s="4"/>
      <c r="AL79" s="4" t="str">
        <f t="shared" si="1"/>
        <v>Cluster 15</v>
      </c>
      <c r="AM79" s="4" t="str">
        <f t="shared" si="2"/>
        <v>UMAR TURAWA STREET</v>
      </c>
    </row>
    <row r="80">
      <c r="A80" s="3">
        <f>IFERROR(__xludf.DUMMYFUNCTION("""COMPUTED_VALUE"""),45878.946503252315)</f>
        <v>45878.9465</v>
      </c>
      <c r="B80" s="4" t="str">
        <f>IFERROR(__xludf.DUMMYFUNCTION("""COMPUTED_VALUE"""),"ajisadiqdala@gmail.com")</f>
        <v>ajisadiqdala@gmail.com</v>
      </c>
      <c r="C80" s="4" t="str">
        <f>IFERROR(__xludf.DUMMYFUNCTION("""COMPUTED_VALUE"""),"Sadiq Dala")</f>
        <v>Sadiq Dala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 t="str">
        <f>IFERROR(__xludf.DUMMYFUNCTION("""COMPUTED_VALUE"""),"Cluster 15")</f>
        <v>Cluster 15</v>
      </c>
      <c r="W80" s="4"/>
      <c r="X80" s="4"/>
      <c r="Y80" s="4" t="str">
        <f>IFERROR(__xludf.DUMMYFUNCTION("""COMPUTED_VALUE"""),"UMAR TURAWA STREET")</f>
        <v>UMAR TURAWA STREET</v>
      </c>
      <c r="Z80" s="4"/>
      <c r="AA80" s="4"/>
      <c r="AB80" s="4" t="str">
        <f>IFERROR(__xludf.DUMMYFUNCTION("""COMPUTED_VALUE"""),"Point 1")</f>
        <v>Point 1</v>
      </c>
      <c r="AC80" s="4">
        <f>IFERROR(__xludf.DUMMYFUNCTION("""COMPUTED_VALUE"""),11.953855)</f>
        <v>11.953855</v>
      </c>
      <c r="AD80" s="4">
        <f>IFERROR(__xludf.DUMMYFUNCTION("""COMPUTED_VALUE"""),8.540648)</f>
        <v>8.540648</v>
      </c>
      <c r="AE80" s="5" t="str">
        <f>IFERROR(__xludf.DUMMYFUNCTION("""COMPUTED_VALUE"""),"https://drive.google.com/open?id=1riaGgDAS2AI_uJY4gXZszU3EzwJcB1o-")</f>
        <v>https://drive.google.com/open?id=1riaGgDAS2AI_uJY4gXZszU3EzwJcB1o-</v>
      </c>
      <c r="AF80" s="4"/>
      <c r="AG80" s="4"/>
      <c r="AH80" s="4"/>
      <c r="AI80" s="4"/>
      <c r="AL80" s="4" t="str">
        <f t="shared" si="1"/>
        <v>Cluster 15</v>
      </c>
      <c r="AM80" s="4" t="str">
        <f t="shared" si="2"/>
        <v>UMAR TURAWA STREET</v>
      </c>
    </row>
    <row r="81">
      <c r="A81" s="3">
        <f>IFERROR(__xludf.DUMMYFUNCTION("""COMPUTED_VALUE"""),45878.94513435185)</f>
        <v>45878.94513</v>
      </c>
      <c r="B81" s="4" t="str">
        <f>IFERROR(__xludf.DUMMYFUNCTION("""COMPUTED_VALUE"""),"ajisadiqdala@gmail.com")</f>
        <v>ajisadiqdala@gmail.com</v>
      </c>
      <c r="C81" s="4" t="str">
        <f>IFERROR(__xludf.DUMMYFUNCTION("""COMPUTED_VALUE"""),"Sadiq Dala")</f>
        <v>Sadiq Dala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 t="str">
        <f>IFERROR(__xludf.DUMMYFUNCTION("""COMPUTED_VALUE"""),"Cluster 15")</f>
        <v>Cluster 15</v>
      </c>
      <c r="W81" s="4"/>
      <c r="X81" s="4"/>
      <c r="Y81" s="4" t="str">
        <f>IFERROR(__xludf.DUMMYFUNCTION("""COMPUTED_VALUE"""),"TUDUN MALIKI ROAD")</f>
        <v>TUDUN MALIKI ROAD</v>
      </c>
      <c r="Z81" s="4"/>
      <c r="AA81" s="4"/>
      <c r="AB81" s="4" t="str">
        <f>IFERROR(__xludf.DUMMYFUNCTION("""COMPUTED_VALUE"""),"Point 2")</f>
        <v>Point 2</v>
      </c>
      <c r="AC81" s="4">
        <f>IFERROR(__xludf.DUMMYFUNCTION("""COMPUTED_VALUE"""),11.965142)</f>
        <v>11.965142</v>
      </c>
      <c r="AD81" s="4">
        <f>IFERROR(__xludf.DUMMYFUNCTION("""COMPUTED_VALUE"""),8.528592)</f>
        <v>8.528592</v>
      </c>
      <c r="AE81" s="5" t="str">
        <f>IFERROR(__xludf.DUMMYFUNCTION("""COMPUTED_VALUE"""),"https://drive.google.com/open?id=1LPIIOGnS0_d0gNT6_iTq3P9oB0g4Yggs")</f>
        <v>https://drive.google.com/open?id=1LPIIOGnS0_d0gNT6_iTq3P9oB0g4Yggs</v>
      </c>
      <c r="AF81" s="4"/>
      <c r="AG81" s="4"/>
      <c r="AH81" s="4"/>
      <c r="AI81" s="4"/>
      <c r="AL81" s="4" t="str">
        <f t="shared" si="1"/>
        <v>Cluster 15</v>
      </c>
      <c r="AM81" s="4" t="str">
        <f t="shared" si="2"/>
        <v>TUDUN MALIKI ROAD</v>
      </c>
    </row>
    <row r="82">
      <c r="A82" s="3">
        <f>IFERROR(__xludf.DUMMYFUNCTION("""COMPUTED_VALUE"""),45878.94394744213)</f>
        <v>45878.94395</v>
      </c>
      <c r="B82" s="4" t="str">
        <f>IFERROR(__xludf.DUMMYFUNCTION("""COMPUTED_VALUE"""),"ajisadiqdala@gmail.com")</f>
        <v>ajisadiqdala@gmail.com</v>
      </c>
      <c r="C82" s="4" t="str">
        <f>IFERROR(__xludf.DUMMYFUNCTION("""COMPUTED_VALUE"""),"Sadiq Dala")</f>
        <v>Sadiq Dala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 t="str">
        <f>IFERROR(__xludf.DUMMYFUNCTION("""COMPUTED_VALUE"""),"Cluster 15")</f>
        <v>Cluster 15</v>
      </c>
      <c r="W82" s="4"/>
      <c r="X82" s="4"/>
      <c r="Y82" s="4" t="str">
        <f>IFERROR(__xludf.DUMMYFUNCTION("""COMPUTED_VALUE"""),"TUDUN MALIKI ROAD")</f>
        <v>TUDUN MALIKI ROAD</v>
      </c>
      <c r="Z82" s="4"/>
      <c r="AA82" s="4"/>
      <c r="AB82" s="4" t="str">
        <f>IFERROR(__xludf.DUMMYFUNCTION("""COMPUTED_VALUE"""),"Point 1")</f>
        <v>Point 1</v>
      </c>
      <c r="AC82" s="4">
        <f>IFERROR(__xludf.DUMMYFUNCTION("""COMPUTED_VALUE"""),11.957541)</f>
        <v>11.957541</v>
      </c>
      <c r="AD82" s="4">
        <f>IFERROR(__xludf.DUMMYFUNCTION("""COMPUTED_VALUE"""),8.534946)</f>
        <v>8.534946</v>
      </c>
      <c r="AE82" s="5" t="str">
        <f>IFERROR(__xludf.DUMMYFUNCTION("""COMPUTED_VALUE"""),"https://drive.google.com/open?id=1FJ4tKlAHT9tbn4x8SUage_mvIgdoWIYl")</f>
        <v>https://drive.google.com/open?id=1FJ4tKlAHT9tbn4x8SUage_mvIgdoWIYl</v>
      </c>
      <c r="AF82" s="4"/>
      <c r="AG82" s="4"/>
      <c r="AH82" s="4"/>
      <c r="AI82" s="4"/>
      <c r="AL82" s="4" t="str">
        <f t="shared" si="1"/>
        <v>Cluster 15</v>
      </c>
      <c r="AM82" s="4" t="str">
        <f t="shared" si="2"/>
        <v>TUDUN MALIKI ROAD</v>
      </c>
    </row>
    <row r="83">
      <c r="A83" s="3">
        <f>IFERROR(__xludf.DUMMYFUNCTION("""COMPUTED_VALUE"""),45878.94255640046)</f>
        <v>45878.94256</v>
      </c>
      <c r="B83" s="4" t="str">
        <f>IFERROR(__xludf.DUMMYFUNCTION("""COMPUTED_VALUE"""),"ajisadiqdala@gmail.com")</f>
        <v>ajisadiqdala@gmail.com</v>
      </c>
      <c r="C83" s="4" t="str">
        <f>IFERROR(__xludf.DUMMYFUNCTION("""COMPUTED_VALUE"""),"Sadiq Dala")</f>
        <v>Sadiq Dala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 t="str">
        <f>IFERROR(__xludf.DUMMYFUNCTION("""COMPUTED_VALUE"""),"Cluster 15")</f>
        <v>Cluster 15</v>
      </c>
      <c r="W83" s="4"/>
      <c r="X83" s="4"/>
      <c r="Y83" s="4" t="str">
        <f>IFERROR(__xludf.DUMMYFUNCTION("""COMPUTED_VALUE"""),"MUHAMMAD SHESHE STREET")</f>
        <v>MUHAMMAD SHESHE STREET</v>
      </c>
      <c r="Z83" s="4"/>
      <c r="AA83" s="4"/>
      <c r="AB83" s="4" t="str">
        <f>IFERROR(__xludf.DUMMYFUNCTION("""COMPUTED_VALUE"""),"Point 1")</f>
        <v>Point 1</v>
      </c>
      <c r="AC83" s="4">
        <f>IFERROR(__xludf.DUMMYFUNCTION("""COMPUTED_VALUE"""),11.9558)</f>
        <v>11.9558</v>
      </c>
      <c r="AD83" s="4">
        <f>IFERROR(__xludf.DUMMYFUNCTION("""COMPUTED_VALUE"""),8.540515)</f>
        <v>8.540515</v>
      </c>
      <c r="AE83" s="5" t="str">
        <f>IFERROR(__xludf.DUMMYFUNCTION("""COMPUTED_VALUE"""),"https://drive.google.com/open?id=1rEsMxNPTIJBg-tNHtGdE32YF4zFOeX9L")</f>
        <v>https://drive.google.com/open?id=1rEsMxNPTIJBg-tNHtGdE32YF4zFOeX9L</v>
      </c>
      <c r="AF83" s="4"/>
      <c r="AG83" s="4"/>
      <c r="AH83" s="4"/>
      <c r="AI83" s="4"/>
      <c r="AL83" s="4" t="str">
        <f t="shared" si="1"/>
        <v>Cluster 15</v>
      </c>
      <c r="AM83" s="4" t="str">
        <f t="shared" si="2"/>
        <v>MUHAMMAD SHESHE STREET</v>
      </c>
    </row>
    <row r="84">
      <c r="A84" s="3">
        <f>IFERROR(__xludf.DUMMYFUNCTION("""COMPUTED_VALUE"""),45878.94111347222)</f>
        <v>45878.94111</v>
      </c>
      <c r="B84" s="4" t="str">
        <f>IFERROR(__xludf.DUMMYFUNCTION("""COMPUTED_VALUE"""),"ajisadiqdala@gmail.com")</f>
        <v>ajisadiqdala@gmail.com</v>
      </c>
      <c r="C84" s="4" t="str">
        <f>IFERROR(__xludf.DUMMYFUNCTION("""COMPUTED_VALUE"""),"Sadiq Dala")</f>
        <v>Sadiq Dala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 t="str">
        <f>IFERROR(__xludf.DUMMYFUNCTION("""COMPUTED_VALUE"""),"Cluster 15")</f>
        <v>Cluster 15</v>
      </c>
      <c r="W84" s="4"/>
      <c r="X84" s="4"/>
      <c r="Y84" s="4" t="str">
        <f>IFERROR(__xludf.DUMMYFUNCTION("""COMPUTED_VALUE"""),"MAI HULA STREET")</f>
        <v>MAI HULA STREET</v>
      </c>
      <c r="Z84" s="4"/>
      <c r="AA84" s="4"/>
      <c r="AB84" s="4" t="str">
        <f>IFERROR(__xludf.DUMMYFUNCTION("""COMPUTED_VALUE"""),"Point 1")</f>
        <v>Point 1</v>
      </c>
      <c r="AC84" s="4">
        <f>IFERROR(__xludf.DUMMYFUNCTION("""COMPUTED_VALUE"""),11.957932)</f>
        <v>11.957932</v>
      </c>
      <c r="AD84" s="4">
        <f>IFERROR(__xludf.DUMMYFUNCTION("""COMPUTED_VALUE"""),8.539546)</f>
        <v>8.539546</v>
      </c>
      <c r="AE84" s="5" t="str">
        <f>IFERROR(__xludf.DUMMYFUNCTION("""COMPUTED_VALUE"""),"https://drive.google.com/open?id=1wYR_WSzutMMEHHmwAEhg2gZ2YkExeiO7")</f>
        <v>https://drive.google.com/open?id=1wYR_WSzutMMEHHmwAEhg2gZ2YkExeiO7</v>
      </c>
      <c r="AF84" s="4"/>
      <c r="AG84" s="4"/>
      <c r="AH84" s="4"/>
      <c r="AI84" s="4"/>
      <c r="AL84" s="4" t="str">
        <f t="shared" si="1"/>
        <v>Cluster 15</v>
      </c>
      <c r="AM84" s="4" t="str">
        <f t="shared" si="2"/>
        <v>MAI HULA STREET</v>
      </c>
    </row>
    <row r="85">
      <c r="A85" s="3">
        <f>IFERROR(__xludf.DUMMYFUNCTION("""COMPUTED_VALUE"""),45878.89325071759)</f>
        <v>45878.89325</v>
      </c>
      <c r="B85" s="4" t="str">
        <f>IFERROR(__xludf.DUMMYFUNCTION("""COMPUTED_VALUE"""),"elhabs256@gmail.com")</f>
        <v>elhabs256@gmail.com</v>
      </c>
      <c r="C85" s="4" t="str">
        <f>IFERROR(__xludf.DUMMYFUNCTION("""COMPUTED_VALUE"""),"Abdullahi Elhabeeb")</f>
        <v>Abdullahi Elhabeeb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tr">
        <f>IFERROR(__xludf.DUMMYFUNCTION("""COMPUTED_VALUE"""),"Cluster 13")</f>
        <v>Cluster 13</v>
      </c>
      <c r="Q85" s="4"/>
      <c r="R85" s="4"/>
      <c r="S85" s="4"/>
      <c r="T85" s="4" t="str">
        <f>IFERROR(__xludf.DUMMYFUNCTION("""COMPUTED_VALUE"""),"SULE GAYA ROAD")</f>
        <v>SULE GAYA ROAD</v>
      </c>
      <c r="U85" s="4"/>
      <c r="V85" s="4"/>
      <c r="W85" s="4"/>
      <c r="X85" s="4"/>
      <c r="Y85" s="4"/>
      <c r="Z85" s="4"/>
      <c r="AA85" s="4"/>
      <c r="AB85" s="4" t="str">
        <f>IFERROR(__xludf.DUMMYFUNCTION("""COMPUTED_VALUE"""),"Point 2")</f>
        <v>Point 2</v>
      </c>
      <c r="AC85" s="4">
        <f>IFERROR(__xludf.DUMMYFUNCTION("""COMPUTED_VALUE"""),12.020436)</f>
        <v>12.020436</v>
      </c>
      <c r="AD85" s="4">
        <f>IFERROR(__xludf.DUMMYFUNCTION("""COMPUTED_VALUE"""),8.564263)</f>
        <v>8.564263</v>
      </c>
      <c r="AE85" s="5" t="str">
        <f>IFERROR(__xludf.DUMMYFUNCTION("""COMPUTED_VALUE"""),"https://drive.google.com/open?id=1CXCZxCe0HUI_bE1WUQk4rkaxJluYjKbS")</f>
        <v>https://drive.google.com/open?id=1CXCZxCe0HUI_bE1WUQk4rkaxJluYjKbS</v>
      </c>
      <c r="AF85" s="4"/>
      <c r="AG85" s="4"/>
      <c r="AH85" s="4"/>
      <c r="AI85" s="4"/>
      <c r="AL85" s="4" t="str">
        <f t="shared" si="1"/>
        <v>Cluster 13</v>
      </c>
      <c r="AM85" s="4" t="str">
        <f t="shared" si="2"/>
        <v>SULE GAYA ROAD</v>
      </c>
    </row>
    <row r="86">
      <c r="A86" s="3">
        <f>IFERROR(__xludf.DUMMYFUNCTION("""COMPUTED_VALUE"""),45878.89175980324)</f>
        <v>45878.89176</v>
      </c>
      <c r="B86" s="4" t="str">
        <f>IFERROR(__xludf.DUMMYFUNCTION("""COMPUTED_VALUE"""),"elhabs256@gmail.com")</f>
        <v>elhabs256@gmail.com</v>
      </c>
      <c r="C86" s="4" t="str">
        <f>IFERROR(__xludf.DUMMYFUNCTION("""COMPUTED_VALUE"""),"Abdullahi Elhabeeb")</f>
        <v>Abdullahi Elhabeeb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tr">
        <f>IFERROR(__xludf.DUMMYFUNCTION("""COMPUTED_VALUE"""),"Cluster 13")</f>
        <v>Cluster 13</v>
      </c>
      <c r="Q86" s="4"/>
      <c r="R86" s="4"/>
      <c r="S86" s="4"/>
      <c r="T86" s="4" t="str">
        <f>IFERROR(__xludf.DUMMYFUNCTION("""COMPUTED_VALUE"""),"SULE GAYA ROAD")</f>
        <v>SULE GAYA ROAD</v>
      </c>
      <c r="U86" s="4"/>
      <c r="V86" s="4"/>
      <c r="W86" s="4"/>
      <c r="X86" s="4"/>
      <c r="Y86" s="4"/>
      <c r="Z86" s="4"/>
      <c r="AA86" s="4"/>
      <c r="AB86" s="4" t="str">
        <f>IFERROR(__xludf.DUMMYFUNCTION("""COMPUTED_VALUE"""),"Point 1")</f>
        <v>Point 1</v>
      </c>
      <c r="AC86" s="4">
        <f>IFERROR(__xludf.DUMMYFUNCTION("""COMPUTED_VALUE"""),12.00110097)</f>
        <v>12.00110097</v>
      </c>
      <c r="AD86" s="4">
        <f>IFERROR(__xludf.DUMMYFUNCTION("""COMPUTED_VALUE"""),8.548727248)</f>
        <v>8.548727248</v>
      </c>
      <c r="AE86" s="5" t="str">
        <f>IFERROR(__xludf.DUMMYFUNCTION("""COMPUTED_VALUE"""),"https://drive.google.com/open?id=14S9ES0Sw83jTS5TRyOrYJWt_ppusSg_H")</f>
        <v>https://drive.google.com/open?id=14S9ES0Sw83jTS5TRyOrYJWt_ppusSg_H</v>
      </c>
      <c r="AF86" s="4"/>
      <c r="AG86" s="4"/>
      <c r="AH86" s="4"/>
      <c r="AI86" s="4"/>
      <c r="AL86" s="4" t="str">
        <f t="shared" si="1"/>
        <v>Cluster 13</v>
      </c>
      <c r="AM86" s="4" t="str">
        <f t="shared" si="2"/>
        <v>SULE GAYA ROAD</v>
      </c>
    </row>
    <row r="87">
      <c r="A87" s="3">
        <f>IFERROR(__xludf.DUMMYFUNCTION("""COMPUTED_VALUE"""),45878.88338782407)</f>
        <v>45878.88339</v>
      </c>
      <c r="B87" s="4" t="str">
        <f>IFERROR(__xludf.DUMMYFUNCTION("""COMPUTED_VALUE"""),"elhabs256@gmail.com")</f>
        <v>elhabs256@gmail.com</v>
      </c>
      <c r="C87" s="4" t="str">
        <f>IFERROR(__xludf.DUMMYFUNCTION("""COMPUTED_VALUE"""),"Abdullahi Elhabeeb")</f>
        <v>Abdullahi Elhabeeb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tr">
        <f>IFERROR(__xludf.DUMMYFUNCTION("""COMPUTED_VALUE"""),"Cluster 16")</f>
        <v>Cluster 16</v>
      </c>
      <c r="Q87" s="4"/>
      <c r="R87" s="4"/>
      <c r="S87" s="4" t="str">
        <f>IFERROR(__xludf.DUMMYFUNCTION("""COMPUTED_VALUE"""),"NASIRU KABARA STREET")</f>
        <v>NASIRU KABARA STREET</v>
      </c>
      <c r="T87" s="4"/>
      <c r="U87" s="4"/>
      <c r="V87" s="4"/>
      <c r="W87" s="4"/>
      <c r="X87" s="4"/>
      <c r="Y87" s="4"/>
      <c r="Z87" s="4"/>
      <c r="AA87" s="4"/>
      <c r="AB87" s="4" t="str">
        <f>IFERROR(__xludf.DUMMYFUNCTION("""COMPUTED_VALUE"""),"Point 1")</f>
        <v>Point 1</v>
      </c>
      <c r="AC87" s="4">
        <f>IFERROR(__xludf.DUMMYFUNCTION("""COMPUTED_VALUE"""),11.97211)</f>
        <v>11.97211</v>
      </c>
      <c r="AD87" s="4">
        <f>IFERROR(__xludf.DUMMYFUNCTION("""COMPUTED_VALUE"""),8.533301)</f>
        <v>8.533301</v>
      </c>
      <c r="AE87" s="5" t="str">
        <f>IFERROR(__xludf.DUMMYFUNCTION("""COMPUTED_VALUE"""),"https://drive.google.com/open?id=1Jbboxv_BF6zw4CdCtbQ2m0hLUU2yAiVT")</f>
        <v>https://drive.google.com/open?id=1Jbboxv_BF6zw4CdCtbQ2m0hLUU2yAiVT</v>
      </c>
      <c r="AF87" s="4"/>
      <c r="AG87" s="4"/>
      <c r="AH87" s="4"/>
      <c r="AI87" s="4"/>
      <c r="AL87" s="4" t="str">
        <f t="shared" si="1"/>
        <v>Cluster 16</v>
      </c>
      <c r="AM87" s="4" t="str">
        <f t="shared" si="2"/>
        <v>NASIRU KABARA STREET</v>
      </c>
    </row>
    <row r="88">
      <c r="A88" s="3">
        <f>IFERROR(__xludf.DUMMYFUNCTION("""COMPUTED_VALUE"""),45878.88210630787)</f>
        <v>45878.88211</v>
      </c>
      <c r="B88" s="4" t="str">
        <f>IFERROR(__xludf.DUMMYFUNCTION("""COMPUTED_VALUE"""),"elhabs256@gmail.com")</f>
        <v>elhabs256@gmail.com</v>
      </c>
      <c r="C88" s="4" t="str">
        <f>IFERROR(__xludf.DUMMYFUNCTION("""COMPUTED_VALUE"""),"Abdullahi Elhabeeb")</f>
        <v>Abdullahi Elhabeeb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tr">
        <f>IFERROR(__xludf.DUMMYFUNCTION("""COMPUTED_VALUE"""),"Cluster 16")</f>
        <v>Cluster 16</v>
      </c>
      <c r="Q88" s="4"/>
      <c r="R88" s="4"/>
      <c r="S88" s="4" t="str">
        <f>IFERROR(__xludf.DUMMYFUNCTION("""COMPUTED_VALUE"""),"AUTAN BAWO STREET")</f>
        <v>AUTAN BAWO STREET</v>
      </c>
      <c r="T88" s="4"/>
      <c r="U88" s="4"/>
      <c r="V88" s="4"/>
      <c r="W88" s="4"/>
      <c r="X88" s="4"/>
      <c r="Y88" s="4"/>
      <c r="Z88" s="4"/>
      <c r="AA88" s="4"/>
      <c r="AB88" s="4" t="str">
        <f>IFERROR(__xludf.DUMMYFUNCTION("""COMPUTED_VALUE"""),"Point 2")</f>
        <v>Point 2</v>
      </c>
      <c r="AC88" s="4">
        <f>IFERROR(__xludf.DUMMYFUNCTION("""COMPUTED_VALUE"""),11.970492)</f>
        <v>11.970492</v>
      </c>
      <c r="AD88" s="4">
        <f>IFERROR(__xludf.DUMMYFUNCTION("""COMPUTED_VALUE"""),8.53557)</f>
        <v>8.53557</v>
      </c>
      <c r="AE88" s="5" t="str">
        <f>IFERROR(__xludf.DUMMYFUNCTION("""COMPUTED_VALUE"""),"https://drive.google.com/open?id=1iVOIhTz7XU6VFWG9tjybbM1EDGGuagxY")</f>
        <v>https://drive.google.com/open?id=1iVOIhTz7XU6VFWG9tjybbM1EDGGuagxY</v>
      </c>
      <c r="AF88" s="4"/>
      <c r="AG88" s="4"/>
      <c r="AH88" s="4"/>
      <c r="AI88" s="4"/>
      <c r="AL88" s="4" t="str">
        <f t="shared" si="1"/>
        <v>Cluster 16</v>
      </c>
      <c r="AM88" s="4" t="str">
        <f t="shared" si="2"/>
        <v>AUTAN BAWO STREET</v>
      </c>
    </row>
    <row r="89">
      <c r="A89" s="3">
        <f>IFERROR(__xludf.DUMMYFUNCTION("""COMPUTED_VALUE"""),45878.88068696759)</f>
        <v>45878.88069</v>
      </c>
      <c r="B89" s="4" t="str">
        <f>IFERROR(__xludf.DUMMYFUNCTION("""COMPUTED_VALUE"""),"elhabs256@gmail.com")</f>
        <v>elhabs256@gmail.com</v>
      </c>
      <c r="C89" s="4" t="str">
        <f>IFERROR(__xludf.DUMMYFUNCTION("""COMPUTED_VALUE"""),"Abdullahi Elhabeeb")</f>
        <v>Abdullahi Elhabeeb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tr">
        <f>IFERROR(__xludf.DUMMYFUNCTION("""COMPUTED_VALUE"""),"Cluster 16")</f>
        <v>Cluster 16</v>
      </c>
      <c r="Q89" s="4"/>
      <c r="R89" s="4"/>
      <c r="S89" s="4" t="str">
        <f>IFERROR(__xludf.DUMMYFUNCTION("""COMPUTED_VALUE"""),"AUTAN BAWO STREET")</f>
        <v>AUTAN BAWO STREET</v>
      </c>
      <c r="T89" s="4"/>
      <c r="U89" s="4"/>
      <c r="V89" s="4"/>
      <c r="W89" s="4"/>
      <c r="X89" s="4"/>
      <c r="Y89" s="4"/>
      <c r="Z89" s="4"/>
      <c r="AA89" s="4"/>
      <c r="AB89" s="4" t="str">
        <f>IFERROR(__xludf.DUMMYFUNCTION("""COMPUTED_VALUE"""),"Point 1")</f>
        <v>Point 1</v>
      </c>
      <c r="AC89" s="4">
        <f>IFERROR(__xludf.DUMMYFUNCTION("""COMPUTED_VALUE"""),11.9723)</f>
        <v>11.9723</v>
      </c>
      <c r="AD89" s="4">
        <f>IFERROR(__xludf.DUMMYFUNCTION("""COMPUTED_VALUE"""),8.534203)</f>
        <v>8.534203</v>
      </c>
      <c r="AE89" s="5" t="str">
        <f>IFERROR(__xludf.DUMMYFUNCTION("""COMPUTED_VALUE"""),"https://drive.google.com/open?id=1l1jbD0mHScVugkTwd4Y25Kh_nEEI3MX9")</f>
        <v>https://drive.google.com/open?id=1l1jbD0mHScVugkTwd4Y25Kh_nEEI3MX9</v>
      </c>
      <c r="AF89" s="4"/>
      <c r="AG89" s="4"/>
      <c r="AH89" s="4"/>
      <c r="AI89" s="4"/>
      <c r="AL89" s="4" t="str">
        <f t="shared" si="1"/>
        <v>Cluster 16</v>
      </c>
      <c r="AM89" s="4" t="str">
        <f t="shared" si="2"/>
        <v>AUTAN BAWO STREET</v>
      </c>
    </row>
    <row r="90">
      <c r="A90" s="3">
        <f>IFERROR(__xludf.DUMMYFUNCTION("""COMPUTED_VALUE"""),45878.87950325232)</f>
        <v>45878.8795</v>
      </c>
      <c r="B90" s="4" t="str">
        <f>IFERROR(__xludf.DUMMYFUNCTION("""COMPUTED_VALUE"""),"elhabs256@gmail.com")</f>
        <v>elhabs256@gmail.com</v>
      </c>
      <c r="C90" s="4" t="str">
        <f>IFERROR(__xludf.DUMMYFUNCTION("""COMPUTED_VALUE"""),"Abdullahi Elhabeeb")</f>
        <v>Abdullahi Elhabeeb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tr">
        <f>IFERROR(__xludf.DUMMYFUNCTION("""COMPUTED_VALUE"""),"Cluster 6")</f>
        <v>Cluster 6</v>
      </c>
      <c r="Q90" s="4" t="str">
        <f>IFERROR(__xludf.DUMMYFUNCTION("""COMPUTED_VALUE"""),"MAIRUWA STREET")</f>
        <v>MAIRUWA STREET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 t="str">
        <f>IFERROR(__xludf.DUMMYFUNCTION("""COMPUTED_VALUE"""),"Point 2")</f>
        <v>Point 2</v>
      </c>
      <c r="AC90" s="4">
        <f>IFERROR(__xludf.DUMMYFUNCTION("""COMPUTED_VALUE"""),12.000658)</f>
        <v>12.000658</v>
      </c>
      <c r="AD90" s="4">
        <f>IFERROR(__xludf.DUMMYFUNCTION("""COMPUTED_VALUE"""),8.53596)</f>
        <v>8.53596</v>
      </c>
      <c r="AE90" s="5" t="str">
        <f>IFERROR(__xludf.DUMMYFUNCTION("""COMPUTED_VALUE"""),"https://drive.google.com/open?id=1AAeo6zhgvsPiBlGkqfUK7v_eY7lWagqc")</f>
        <v>https://drive.google.com/open?id=1AAeo6zhgvsPiBlGkqfUK7v_eY7lWagqc</v>
      </c>
      <c r="AF90" s="4"/>
      <c r="AG90" s="4"/>
      <c r="AH90" s="4"/>
      <c r="AI90" s="4"/>
      <c r="AL90" s="4" t="str">
        <f t="shared" si="1"/>
        <v>Cluster 6</v>
      </c>
      <c r="AM90" s="4" t="str">
        <f t="shared" si="2"/>
        <v>MAIRUWA STREET</v>
      </c>
    </row>
    <row r="91">
      <c r="A91" s="3">
        <f>IFERROR(__xludf.DUMMYFUNCTION("""COMPUTED_VALUE"""),45878.87822116898)</f>
        <v>45878.87822</v>
      </c>
      <c r="B91" s="4" t="str">
        <f>IFERROR(__xludf.DUMMYFUNCTION("""COMPUTED_VALUE"""),"elhabs256@gmail.com")</f>
        <v>elhabs256@gmail.com</v>
      </c>
      <c r="C91" s="4" t="str">
        <f>IFERROR(__xludf.DUMMYFUNCTION("""COMPUTED_VALUE"""),"Abdullahi Elhabeeb")</f>
        <v>Abdullahi Elhabeeb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tr">
        <f>IFERROR(__xludf.DUMMYFUNCTION("""COMPUTED_VALUE"""),"Cluster 6")</f>
        <v>Cluster 6</v>
      </c>
      <c r="Q91" s="4" t="str">
        <f>IFERROR(__xludf.DUMMYFUNCTION("""COMPUTED_VALUE"""),"MAIRUWA STREET")</f>
        <v>MAIRUWA STREET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 t="str">
        <f>IFERROR(__xludf.DUMMYFUNCTION("""COMPUTED_VALUE"""),"Point 1")</f>
        <v>Point 1</v>
      </c>
      <c r="AC91" s="4">
        <f>IFERROR(__xludf.DUMMYFUNCTION("""COMPUTED_VALUE"""),11.97308589)</f>
        <v>11.97308589</v>
      </c>
      <c r="AD91" s="4">
        <f>IFERROR(__xludf.DUMMYFUNCTION("""COMPUTED_VALUE"""),8.557390242)</f>
        <v>8.557390242</v>
      </c>
      <c r="AE91" s="5" t="str">
        <f>IFERROR(__xludf.DUMMYFUNCTION("""COMPUTED_VALUE"""),"https://drive.google.com/open?id=1r-OruzCDAMIkHnSauFWEUHej21HxS1V-")</f>
        <v>https://drive.google.com/open?id=1r-OruzCDAMIkHnSauFWEUHej21HxS1V-</v>
      </c>
      <c r="AF91" s="4"/>
      <c r="AG91" s="4"/>
      <c r="AH91" s="4"/>
      <c r="AI91" s="4"/>
      <c r="AL91" s="4" t="str">
        <f t="shared" si="1"/>
        <v>Cluster 6</v>
      </c>
      <c r="AM91" s="4" t="str">
        <f t="shared" si="2"/>
        <v>MAIRUWA STREET</v>
      </c>
    </row>
    <row r="92">
      <c r="A92" s="3">
        <f>IFERROR(__xludf.DUMMYFUNCTION("""COMPUTED_VALUE"""),45878.782208171295)</f>
        <v>45878.78221</v>
      </c>
      <c r="B92" s="4" t="str">
        <f>IFERROR(__xludf.DUMMYFUNCTION("""COMPUTED_VALUE"""),"ajisadiqdala@gmail.com")</f>
        <v>ajisadiqdala@gmail.com</v>
      </c>
      <c r="C92" s="4" t="str">
        <f>IFERROR(__xludf.DUMMYFUNCTION("""COMPUTED_VALUE"""),"Sadiq Dala")</f>
        <v>Sadiq Dala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 t="str">
        <f>IFERROR(__xludf.DUMMYFUNCTION("""COMPUTED_VALUE"""),"Cluster 12")</f>
        <v>Cluster 12</v>
      </c>
      <c r="W92" s="4"/>
      <c r="X92" s="4"/>
      <c r="Y92" s="4"/>
      <c r="Z92" s="4" t="str">
        <f>IFERROR(__xludf.DUMMYFUNCTION("""COMPUTED_VALUE"""),"DORAWA ROAD")</f>
        <v>DORAWA ROAD</v>
      </c>
      <c r="AA92" s="4"/>
      <c r="AB92" s="4" t="str">
        <f>IFERROR(__xludf.DUMMYFUNCTION("""COMPUTED_VALUE"""),"Point 2")</f>
        <v>Point 2</v>
      </c>
      <c r="AC92" s="4">
        <f>IFERROR(__xludf.DUMMYFUNCTION("""COMPUTED_VALUE"""),11.989198)</f>
        <v>11.989198</v>
      </c>
      <c r="AD92" s="4">
        <f>IFERROR(__xludf.DUMMYFUNCTION("""COMPUTED_VALUE"""),8.541985)</f>
        <v>8.541985</v>
      </c>
      <c r="AE92" s="5" t="str">
        <f>IFERROR(__xludf.DUMMYFUNCTION("""COMPUTED_VALUE"""),"https://drive.google.com/open?id=1Go-mkovNZFUswU9dhrgJkSGP_i1MNJuN")</f>
        <v>https://drive.google.com/open?id=1Go-mkovNZFUswU9dhrgJkSGP_i1MNJuN</v>
      </c>
      <c r="AF92" s="4"/>
      <c r="AG92" s="4"/>
      <c r="AH92" s="4"/>
      <c r="AI92" s="4"/>
      <c r="AL92" s="4" t="str">
        <f t="shared" si="1"/>
        <v>Cluster 12</v>
      </c>
      <c r="AM92" s="4" t="str">
        <f t="shared" si="2"/>
        <v>DORAWA ROAD</v>
      </c>
    </row>
    <row r="93">
      <c r="A93" s="3">
        <f>IFERROR(__xludf.DUMMYFUNCTION("""COMPUTED_VALUE"""),45878.78055733796)</f>
        <v>45878.78056</v>
      </c>
      <c r="B93" s="4" t="str">
        <f>IFERROR(__xludf.DUMMYFUNCTION("""COMPUTED_VALUE"""),"ajisadiqdala@gmail.com")</f>
        <v>ajisadiqdala@gmail.com</v>
      </c>
      <c r="C93" s="4" t="str">
        <f>IFERROR(__xludf.DUMMYFUNCTION("""COMPUTED_VALUE"""),"Sadiq Dala")</f>
        <v>Sadiq Dala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 t="str">
        <f>IFERROR(__xludf.DUMMYFUNCTION("""COMPUTED_VALUE"""),"Cluster 12")</f>
        <v>Cluster 12</v>
      </c>
      <c r="W93" s="4"/>
      <c r="X93" s="4"/>
      <c r="Y93" s="4"/>
      <c r="Z93" s="4" t="str">
        <f>IFERROR(__xludf.DUMMYFUNCTION("""COMPUTED_VALUE"""),"DORAWA ROAD")</f>
        <v>DORAWA ROAD</v>
      </c>
      <c r="AA93" s="4"/>
      <c r="AB93" s="4" t="str">
        <f>IFERROR(__xludf.DUMMYFUNCTION("""COMPUTED_VALUE"""),"Point 1")</f>
        <v>Point 1</v>
      </c>
      <c r="AC93" s="4">
        <f>IFERROR(__xludf.DUMMYFUNCTION("""COMPUTED_VALUE"""),11.989532)</f>
        <v>11.989532</v>
      </c>
      <c r="AD93" s="4">
        <f>IFERROR(__xludf.DUMMYFUNCTION("""COMPUTED_VALUE"""),8.544478)</f>
        <v>8.544478</v>
      </c>
      <c r="AE93" s="5" t="str">
        <f>IFERROR(__xludf.DUMMYFUNCTION("""COMPUTED_VALUE"""),"https://drive.google.com/open?id=1UimNYGC4AlObfDQDhkdstSmKE3OYvEWv")</f>
        <v>https://drive.google.com/open?id=1UimNYGC4AlObfDQDhkdstSmKE3OYvEWv</v>
      </c>
      <c r="AF93" s="4"/>
      <c r="AG93" s="4"/>
      <c r="AH93" s="4"/>
      <c r="AI93" s="4"/>
      <c r="AL93" s="4" t="str">
        <f t="shared" si="1"/>
        <v>Cluster 12</v>
      </c>
      <c r="AM93" s="4" t="str">
        <f t="shared" si="2"/>
        <v>DORAWA ROAD</v>
      </c>
    </row>
    <row r="94">
      <c r="A94" s="3">
        <f>IFERROR(__xludf.DUMMYFUNCTION("""COMPUTED_VALUE"""),45878.77865340278)</f>
        <v>45878.77865</v>
      </c>
      <c r="B94" s="4" t="str">
        <f>IFERROR(__xludf.DUMMYFUNCTION("""COMPUTED_VALUE"""),"ajisadiqdala@gmail.com")</f>
        <v>ajisadiqdala@gmail.com</v>
      </c>
      <c r="C94" s="4" t="str">
        <f>IFERROR(__xludf.DUMMYFUNCTION("""COMPUTED_VALUE"""),"Sadiq Dala")</f>
        <v>Sadiq Dala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 t="str">
        <f>IFERROR(__xludf.DUMMYFUNCTION("""COMPUTED_VALUE"""),"Cluster 15")</f>
        <v>Cluster 15</v>
      </c>
      <c r="W94" s="4"/>
      <c r="X94" s="4"/>
      <c r="Y94" s="4" t="str">
        <f>IFERROR(__xludf.DUMMYFUNCTION("""COMPUTED_VALUE"""),"KARAI CLOSE")</f>
        <v>KARAI CLOSE</v>
      </c>
      <c r="Z94" s="4"/>
      <c r="AA94" s="4"/>
      <c r="AB94" s="4" t="str">
        <f>IFERROR(__xludf.DUMMYFUNCTION("""COMPUTED_VALUE"""),"Point 1")</f>
        <v>Point 1</v>
      </c>
      <c r="AC94" s="4">
        <f>IFERROR(__xludf.DUMMYFUNCTION("""COMPUTED_VALUE"""),12.01401)</f>
        <v>12.01401</v>
      </c>
      <c r="AD94" s="4">
        <f>IFERROR(__xludf.DUMMYFUNCTION("""COMPUTED_VALUE"""),8.575959)</f>
        <v>8.575959</v>
      </c>
      <c r="AE94" s="5" t="str">
        <f>IFERROR(__xludf.DUMMYFUNCTION("""COMPUTED_VALUE"""),"https://drive.google.com/open?id=1T0MDgBLXc5uMCplwGdzpHNF4cH_RHzaN")</f>
        <v>https://drive.google.com/open?id=1T0MDgBLXc5uMCplwGdzpHNF4cH_RHzaN</v>
      </c>
      <c r="AF94" s="4"/>
      <c r="AG94" s="4"/>
      <c r="AH94" s="4"/>
      <c r="AI94" s="4"/>
      <c r="AL94" s="4" t="str">
        <f t="shared" si="1"/>
        <v>Cluster 15</v>
      </c>
      <c r="AM94" s="4" t="str">
        <f t="shared" si="2"/>
        <v>KARAI CLOSE</v>
      </c>
    </row>
    <row r="95">
      <c r="A95" s="3">
        <f>IFERROR(__xludf.DUMMYFUNCTION("""COMPUTED_VALUE"""),45878.77708082176)</f>
        <v>45878.77708</v>
      </c>
      <c r="B95" s="4" t="str">
        <f>IFERROR(__xludf.DUMMYFUNCTION("""COMPUTED_VALUE"""),"ajisadiqdala@gmail.com")</f>
        <v>ajisadiqdala@gmail.com</v>
      </c>
      <c r="C95" s="4" t="str">
        <f>IFERROR(__xludf.DUMMYFUNCTION("""COMPUTED_VALUE"""),"Sadiq Dala")</f>
        <v>Sadiq Dala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 t="str">
        <f>IFERROR(__xludf.DUMMYFUNCTION("""COMPUTED_VALUE"""),"Cluster 15")</f>
        <v>Cluster 15</v>
      </c>
      <c r="W95" s="4"/>
      <c r="X95" s="4"/>
      <c r="Y95" s="4" t="str">
        <f>IFERROR(__xludf.DUMMYFUNCTION("""COMPUTED_VALUE"""),"MADU BAKTAMA STREET")</f>
        <v>MADU BAKTAMA STREET</v>
      </c>
      <c r="Z95" s="4"/>
      <c r="AA95" s="4"/>
      <c r="AB95" s="4" t="str">
        <f>IFERROR(__xludf.DUMMYFUNCTION("""COMPUTED_VALUE"""),"Point 2")</f>
        <v>Point 2</v>
      </c>
      <c r="AC95" s="4">
        <f>IFERROR(__xludf.DUMMYFUNCTION("""COMPUTED_VALUE"""),12.004627)</f>
        <v>12.004627</v>
      </c>
      <c r="AD95" s="4">
        <f>IFERROR(__xludf.DUMMYFUNCTION("""COMPUTED_VALUE"""),8.572465)</f>
        <v>8.572465</v>
      </c>
      <c r="AE95" s="5" t="str">
        <f>IFERROR(__xludf.DUMMYFUNCTION("""COMPUTED_VALUE"""),"https://drive.google.com/open?id=1Fqo_NP_9tHeIB0Z01egsFoZGeeN7MGTe")</f>
        <v>https://drive.google.com/open?id=1Fqo_NP_9tHeIB0Z01egsFoZGeeN7MGTe</v>
      </c>
      <c r="AF95" s="4"/>
      <c r="AG95" s="4"/>
      <c r="AH95" s="4"/>
      <c r="AI95" s="4"/>
      <c r="AL95" s="4" t="str">
        <f t="shared" si="1"/>
        <v>Cluster 15</v>
      </c>
      <c r="AM95" s="4" t="str">
        <f t="shared" si="2"/>
        <v>MADU BAKTAMA STREET</v>
      </c>
    </row>
    <row r="96">
      <c r="A96" s="3">
        <f>IFERROR(__xludf.DUMMYFUNCTION("""COMPUTED_VALUE"""),45878.77543502315)</f>
        <v>45878.77544</v>
      </c>
      <c r="B96" s="4" t="str">
        <f>IFERROR(__xludf.DUMMYFUNCTION("""COMPUTED_VALUE"""),"ajisadiqdala@gmail.com")</f>
        <v>ajisadiqdala@gmail.com</v>
      </c>
      <c r="C96" s="4" t="str">
        <f>IFERROR(__xludf.DUMMYFUNCTION("""COMPUTED_VALUE"""),"Sadiq Dala")</f>
        <v>Sadiq Dala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 t="str">
        <f>IFERROR(__xludf.DUMMYFUNCTION("""COMPUTED_VALUE"""),"Cluster 15")</f>
        <v>Cluster 15</v>
      </c>
      <c r="W96" s="4"/>
      <c r="X96" s="4"/>
      <c r="Y96" s="4" t="str">
        <f>IFERROR(__xludf.DUMMYFUNCTION("""COMPUTED_VALUE"""),"MADU BAKTAMA STREET")</f>
        <v>MADU BAKTAMA STREET</v>
      </c>
      <c r="Z96" s="4"/>
      <c r="AA96" s="4"/>
      <c r="AB96" s="4" t="str">
        <f>IFERROR(__xludf.DUMMYFUNCTION("""COMPUTED_VALUE"""),"Point 1")</f>
        <v>Point 1</v>
      </c>
      <c r="AC96" s="4">
        <f>IFERROR(__xludf.DUMMYFUNCTION("""COMPUTED_VALUE"""),12.00584)</f>
        <v>12.00584</v>
      </c>
      <c r="AD96" s="4">
        <f>IFERROR(__xludf.DUMMYFUNCTION("""COMPUTED_VALUE"""),8.572381)</f>
        <v>8.572381</v>
      </c>
      <c r="AE96" s="5" t="str">
        <f>IFERROR(__xludf.DUMMYFUNCTION("""COMPUTED_VALUE"""),"https://drive.google.com/open?id=171aDeTxPY2IndmTrUsQuVW8sy9dFf45E")</f>
        <v>https://drive.google.com/open?id=171aDeTxPY2IndmTrUsQuVW8sy9dFf45E</v>
      </c>
      <c r="AF96" s="4"/>
      <c r="AG96" s="4"/>
      <c r="AH96" s="4"/>
      <c r="AI96" s="4"/>
      <c r="AL96" s="4" t="str">
        <f t="shared" si="1"/>
        <v>Cluster 15</v>
      </c>
      <c r="AM96" s="4" t="str">
        <f t="shared" si="2"/>
        <v>MADU BAKTAMA STREET</v>
      </c>
    </row>
    <row r="97">
      <c r="A97" s="3">
        <f>IFERROR(__xludf.DUMMYFUNCTION("""COMPUTED_VALUE"""),45878.77313935185)</f>
        <v>45878.77314</v>
      </c>
      <c r="B97" s="4" t="str">
        <f>IFERROR(__xludf.DUMMYFUNCTION("""COMPUTED_VALUE"""),"ajisadiqdala@gmail.com")</f>
        <v>ajisadiqdala@gmail.com</v>
      </c>
      <c r="C97" s="4" t="str">
        <f>IFERROR(__xludf.DUMMYFUNCTION("""COMPUTED_VALUE"""),"Sadiq Dala")</f>
        <v>Sadiq Dala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 t="str">
        <f>IFERROR(__xludf.DUMMYFUNCTION("""COMPUTED_VALUE"""),"Cluster 15")</f>
        <v>Cluster 15</v>
      </c>
      <c r="W97" s="4"/>
      <c r="X97" s="4"/>
      <c r="Y97" s="4" t="str">
        <f>IFERROR(__xludf.DUMMYFUNCTION("""COMPUTED_VALUE"""),"SHEIKH TIJJANI KALARAWI STREET")</f>
        <v>SHEIKH TIJJANI KALARAWI STREET</v>
      </c>
      <c r="Z97" s="4"/>
      <c r="AA97" s="4"/>
      <c r="AB97" s="4" t="str">
        <f>IFERROR(__xludf.DUMMYFUNCTION("""COMPUTED_VALUE"""),"Point 2")</f>
        <v>Point 2</v>
      </c>
      <c r="AC97" s="4">
        <f>IFERROR(__xludf.DUMMYFUNCTION("""COMPUTED_VALUE"""),12.008713)</f>
        <v>12.008713</v>
      </c>
      <c r="AD97" s="4">
        <f>IFERROR(__xludf.DUMMYFUNCTION("""COMPUTED_VALUE"""),8.576188)</f>
        <v>8.576188</v>
      </c>
      <c r="AE97" s="5" t="str">
        <f>IFERROR(__xludf.DUMMYFUNCTION("""COMPUTED_VALUE"""),"https://drive.google.com/open?id=1DVSYRPvpUvluG7ANK4Pq10VFeiHAqDRP")</f>
        <v>https://drive.google.com/open?id=1DVSYRPvpUvluG7ANK4Pq10VFeiHAqDRP</v>
      </c>
      <c r="AF97" s="4"/>
      <c r="AG97" s="4"/>
      <c r="AH97" s="4"/>
      <c r="AI97" s="4"/>
      <c r="AL97" s="4" t="str">
        <f t="shared" si="1"/>
        <v>Cluster 15</v>
      </c>
      <c r="AM97" s="4" t="str">
        <f t="shared" si="2"/>
        <v>SHEIKH TIJJANI KALARAWI STREET</v>
      </c>
    </row>
    <row r="98">
      <c r="A98" s="3">
        <f>IFERROR(__xludf.DUMMYFUNCTION("""COMPUTED_VALUE"""),45878.77109825231)</f>
        <v>45878.7711</v>
      </c>
      <c r="B98" s="4" t="str">
        <f>IFERROR(__xludf.DUMMYFUNCTION("""COMPUTED_VALUE"""),"ajisadiqdala@gmail.com")</f>
        <v>ajisadiqdala@gmail.com</v>
      </c>
      <c r="C98" s="4" t="str">
        <f>IFERROR(__xludf.DUMMYFUNCTION("""COMPUTED_VALUE"""),"Sadiq Dala")</f>
        <v>Sadiq Dala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 t="str">
        <f>IFERROR(__xludf.DUMMYFUNCTION("""COMPUTED_VALUE"""),"Cluster 15")</f>
        <v>Cluster 15</v>
      </c>
      <c r="W98" s="4"/>
      <c r="X98" s="4"/>
      <c r="Y98" s="4" t="str">
        <f>IFERROR(__xludf.DUMMYFUNCTION("""COMPUTED_VALUE"""),"SHEIKH TIJJANI KALARAWI STREET")</f>
        <v>SHEIKH TIJJANI KALARAWI STREET</v>
      </c>
      <c r="Z98" s="4"/>
      <c r="AA98" s="4"/>
      <c r="AB98" s="4" t="str">
        <f>IFERROR(__xludf.DUMMYFUNCTION("""COMPUTED_VALUE"""),"Point 1")</f>
        <v>Point 1</v>
      </c>
      <c r="AC98" s="4">
        <f>IFERROR(__xludf.DUMMYFUNCTION("""COMPUTED_VALUE"""),12.006206)</f>
        <v>12.006206</v>
      </c>
      <c r="AD98" s="4">
        <f>IFERROR(__xludf.DUMMYFUNCTION("""COMPUTED_VALUE"""),8.576714)</f>
        <v>8.576714</v>
      </c>
      <c r="AE98" s="5" t="str">
        <f>IFERROR(__xludf.DUMMYFUNCTION("""COMPUTED_VALUE"""),"https://drive.google.com/open?id=13dzEppiyC_Q0U3NlrvoUdTqx9gCGcrak")</f>
        <v>https://drive.google.com/open?id=13dzEppiyC_Q0U3NlrvoUdTqx9gCGcrak</v>
      </c>
      <c r="AF98" s="4"/>
      <c r="AG98" s="4"/>
      <c r="AH98" s="4"/>
      <c r="AI98" s="4"/>
      <c r="AL98" s="4" t="str">
        <f t="shared" si="1"/>
        <v>Cluster 15</v>
      </c>
      <c r="AM98" s="4" t="str">
        <f t="shared" si="2"/>
        <v>SHEIKH TIJJANI KALARAWI STREET</v>
      </c>
    </row>
    <row r="99">
      <c r="A99" s="3">
        <f>IFERROR(__xludf.DUMMYFUNCTION("""COMPUTED_VALUE"""),45878.64392219907)</f>
        <v>45878.64392</v>
      </c>
      <c r="B99" s="4" t="str">
        <f>IFERROR(__xludf.DUMMYFUNCTION("""COMPUTED_VALUE"""),"elhabs256@gmail.com")</f>
        <v>elhabs256@gmail.com</v>
      </c>
      <c r="C99" s="4" t="str">
        <f>IFERROR(__xludf.DUMMYFUNCTION("""COMPUTED_VALUE"""),"Abdullahi Elhabeeb")</f>
        <v>Abdullahi Elhabeeb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tr">
        <f>IFERROR(__xludf.DUMMYFUNCTION("""COMPUTED_VALUE"""),"Cluster 6")</f>
        <v>Cluster 6</v>
      </c>
      <c r="Q99" s="4" t="str">
        <f>IFERROR(__xludf.DUMMYFUNCTION("""COMPUTED_VALUE"""),"FARM CENTER ROAD")</f>
        <v>FARM CENTER ROAD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 t="str">
        <f>IFERROR(__xludf.DUMMYFUNCTION("""COMPUTED_VALUE"""),"Point 2")</f>
        <v>Point 2</v>
      </c>
      <c r="AC99" s="4">
        <f>IFERROR(__xludf.DUMMYFUNCTION("""COMPUTED_VALUE"""),11.970588)</f>
        <v>11.970588</v>
      </c>
      <c r="AD99" s="4">
        <f>IFERROR(__xludf.DUMMYFUNCTION("""COMPUTED_VALUE"""),8.556404)</f>
        <v>8.556404</v>
      </c>
      <c r="AE99" s="5" t="str">
        <f>IFERROR(__xludf.DUMMYFUNCTION("""COMPUTED_VALUE"""),"https://drive.google.com/open?id=1K28DOWZwX9QXJhsNPSyxal-dnjrzgXRu")</f>
        <v>https://drive.google.com/open?id=1K28DOWZwX9QXJhsNPSyxal-dnjrzgXRu</v>
      </c>
      <c r="AF99" s="4"/>
      <c r="AG99" s="4"/>
      <c r="AH99" s="4"/>
      <c r="AI99" s="4"/>
      <c r="AL99" s="4" t="str">
        <f t="shared" si="1"/>
        <v>Cluster 6</v>
      </c>
      <c r="AM99" s="4" t="str">
        <f t="shared" si="2"/>
        <v>FARM CENTER ROAD</v>
      </c>
    </row>
    <row r="100">
      <c r="A100" s="3">
        <f>IFERROR(__xludf.DUMMYFUNCTION("""COMPUTED_VALUE"""),45878.63924962963)</f>
        <v>45878.63925</v>
      </c>
      <c r="B100" s="4" t="str">
        <f>IFERROR(__xludf.DUMMYFUNCTION("""COMPUTED_VALUE"""),"elhabs256@gmail.com")</f>
        <v>elhabs256@gmail.com</v>
      </c>
      <c r="C100" s="4" t="str">
        <f>IFERROR(__xludf.DUMMYFUNCTION("""COMPUTED_VALUE"""),"Abdullahi Elhabeeb")</f>
        <v>Abdullahi Elhabeeb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tr">
        <f>IFERROR(__xludf.DUMMYFUNCTION("""COMPUTED_VALUE"""),"Cluster 6")</f>
        <v>Cluster 6</v>
      </c>
      <c r="Q100" s="4" t="str">
        <f>IFERROR(__xludf.DUMMYFUNCTION("""COMPUTED_VALUE"""),"FARM CENTER ROAD")</f>
        <v>FARM CENTER ROAD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str">
        <f>IFERROR(__xludf.DUMMYFUNCTION("""COMPUTED_VALUE"""),"Point 1")</f>
        <v>Point 1</v>
      </c>
      <c r="AC100" s="4">
        <f>IFERROR(__xludf.DUMMYFUNCTION("""COMPUTED_VALUE"""),11.97772204)</f>
        <v>11.97772204</v>
      </c>
      <c r="AD100" s="4">
        <f>IFERROR(__xludf.DUMMYFUNCTION("""COMPUTED_VALUE"""),8.55803266)</f>
        <v>8.55803266</v>
      </c>
      <c r="AE100" s="5" t="str">
        <f>IFERROR(__xludf.DUMMYFUNCTION("""COMPUTED_VALUE"""),"https://drive.google.com/open?id=1jGb8xmMarUcsngQ17j595vQeq5WlbZU4")</f>
        <v>https://drive.google.com/open?id=1jGb8xmMarUcsngQ17j595vQeq5WlbZU4</v>
      </c>
      <c r="AF100" s="4"/>
      <c r="AG100" s="4"/>
      <c r="AH100" s="4"/>
      <c r="AI100" s="4"/>
      <c r="AL100" s="4" t="str">
        <f t="shared" si="1"/>
        <v>Cluster 6</v>
      </c>
      <c r="AM100" s="4" t="str">
        <f t="shared" si="2"/>
        <v>FARM CENTER ROAD</v>
      </c>
    </row>
    <row r="101">
      <c r="A101" s="3">
        <f>IFERROR(__xludf.DUMMYFUNCTION("""COMPUTED_VALUE"""),45878.63583442129)</f>
        <v>45878.63583</v>
      </c>
      <c r="B101" s="4" t="str">
        <f>IFERROR(__xludf.DUMMYFUNCTION("""COMPUTED_VALUE"""),"elhabs256@gmail.com")</f>
        <v>elhabs256@gmail.com</v>
      </c>
      <c r="C101" s="4" t="str">
        <f>IFERROR(__xludf.DUMMYFUNCTION("""COMPUTED_VALUE"""),"Abdullahi Elhabeeb")</f>
        <v>Abdullahi Elhabeeb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tr">
        <f>IFERROR(__xludf.DUMMYFUNCTION("""COMPUTED_VALUE"""),"Cluster 18")</f>
        <v>Cluster 18</v>
      </c>
      <c r="Q101" s="4"/>
      <c r="R101" s="4"/>
      <c r="S101" s="4"/>
      <c r="T101" s="4"/>
      <c r="U101" s="4" t="str">
        <f>IFERROR(__xludf.DUMMYFUNCTION("""COMPUTED_VALUE"""),"ALI YAKASAI STREET")</f>
        <v>ALI YAKASAI STREET</v>
      </c>
      <c r="V101" s="4"/>
      <c r="W101" s="4"/>
      <c r="X101" s="4"/>
      <c r="Y101" s="4"/>
      <c r="Z101" s="4"/>
      <c r="AA101" s="4"/>
      <c r="AB101" s="4" t="str">
        <f>IFERROR(__xludf.DUMMYFUNCTION("""COMPUTED_VALUE"""),"Point 2")</f>
        <v>Point 2</v>
      </c>
      <c r="AC101" s="4">
        <f>IFERROR(__xludf.DUMMYFUNCTION("""COMPUTED_VALUE"""),12.00071)</f>
        <v>12.00071</v>
      </c>
      <c r="AD101" s="4">
        <f>IFERROR(__xludf.DUMMYFUNCTION("""COMPUTED_VALUE"""),8.555341)</f>
        <v>8.555341</v>
      </c>
      <c r="AE101" s="5" t="str">
        <f>IFERROR(__xludf.DUMMYFUNCTION("""COMPUTED_VALUE"""),"https://drive.google.com/open?id=1Vrh1ovagWgfJW5oPDyUn4L9-1UWOIuOq")</f>
        <v>https://drive.google.com/open?id=1Vrh1ovagWgfJW5oPDyUn4L9-1UWOIuOq</v>
      </c>
      <c r="AF101" s="4"/>
      <c r="AG101" s="4"/>
      <c r="AH101" s="4"/>
      <c r="AI101" s="4"/>
      <c r="AL101" s="4" t="str">
        <f t="shared" si="1"/>
        <v>Cluster 18</v>
      </c>
      <c r="AM101" s="4" t="str">
        <f t="shared" si="2"/>
        <v>ALI YAKASAI STREET</v>
      </c>
    </row>
    <row r="102">
      <c r="A102" s="3">
        <f>IFERROR(__xludf.DUMMYFUNCTION("""COMPUTED_VALUE"""),45878.63258974537)</f>
        <v>45878.63259</v>
      </c>
      <c r="B102" s="4" t="str">
        <f>IFERROR(__xludf.DUMMYFUNCTION("""COMPUTED_VALUE"""),"elhabs256@gmail.com")</f>
        <v>elhabs256@gmail.com</v>
      </c>
      <c r="C102" s="4" t="str">
        <f>IFERROR(__xludf.DUMMYFUNCTION("""COMPUTED_VALUE"""),"Abdullahi Elhabeeb")</f>
        <v>Abdullahi Elhabeeb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tr">
        <f>IFERROR(__xludf.DUMMYFUNCTION("""COMPUTED_VALUE"""),"Cluster 18")</f>
        <v>Cluster 18</v>
      </c>
      <c r="Q102" s="4"/>
      <c r="R102" s="4"/>
      <c r="S102" s="4"/>
      <c r="T102" s="4"/>
      <c r="U102" s="4" t="str">
        <f>IFERROR(__xludf.DUMMYFUNCTION("""COMPUTED_VALUE"""),"ALI YAKASAI STREET")</f>
        <v>ALI YAKASAI STREET</v>
      </c>
      <c r="V102" s="4"/>
      <c r="W102" s="4"/>
      <c r="X102" s="4"/>
      <c r="Y102" s="4"/>
      <c r="Z102" s="4"/>
      <c r="AA102" s="4"/>
      <c r="AB102" s="4" t="str">
        <f>IFERROR(__xludf.DUMMYFUNCTION("""COMPUTED_VALUE"""),"Point 1")</f>
        <v>Point 1</v>
      </c>
      <c r="AC102" s="4">
        <f>IFERROR(__xludf.DUMMYFUNCTION("""COMPUTED_VALUE"""),11.99395)</f>
        <v>11.99395</v>
      </c>
      <c r="AD102" s="4">
        <f>IFERROR(__xludf.DUMMYFUNCTION("""COMPUTED_VALUE"""),8.555234)</f>
        <v>8.555234</v>
      </c>
      <c r="AE102" s="5" t="str">
        <f>IFERROR(__xludf.DUMMYFUNCTION("""COMPUTED_VALUE"""),"https://drive.google.com/open?id=1NscRl3vwfmlu-OtSUYq8WpxJvLqPgfBc")</f>
        <v>https://drive.google.com/open?id=1NscRl3vwfmlu-OtSUYq8WpxJvLqPgfBc</v>
      </c>
      <c r="AF102" s="4"/>
      <c r="AG102" s="4"/>
      <c r="AH102" s="4"/>
      <c r="AI102" s="4"/>
      <c r="AL102" s="4" t="str">
        <f t="shared" si="1"/>
        <v>Cluster 18</v>
      </c>
      <c r="AM102" s="4" t="str">
        <f t="shared" si="2"/>
        <v>ALI YAKASAI STREET</v>
      </c>
    </row>
    <row r="103">
      <c r="A103" s="3">
        <f>IFERROR(__xludf.DUMMYFUNCTION("""COMPUTED_VALUE"""),45878.62770935185)</f>
        <v>45878.62771</v>
      </c>
      <c r="B103" s="4" t="str">
        <f>IFERROR(__xludf.DUMMYFUNCTION("""COMPUTED_VALUE"""),"elhabs256@gmail.com")</f>
        <v>elhabs256@gmail.com</v>
      </c>
      <c r="C103" s="4" t="str">
        <f>IFERROR(__xludf.DUMMYFUNCTION("""COMPUTED_VALUE"""),"Abdullahi Elhabeeb")</f>
        <v>Abdullahi Elhabeeb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tr">
        <f>IFERROR(__xludf.DUMMYFUNCTION("""COMPUTED_VALUE"""),"Cluster 2")</f>
        <v>Cluster 2</v>
      </c>
      <c r="Q103" s="4"/>
      <c r="R103" s="4" t="str">
        <f>IFERROR(__xludf.DUMMYFUNCTION("""COMPUTED_VALUE"""),"DURBIN KATSINA ROAD")</f>
        <v>DURBIN KATSINA ROAD</v>
      </c>
      <c r="S103" s="4"/>
      <c r="T103" s="4"/>
      <c r="U103" s="4"/>
      <c r="V103" s="4"/>
      <c r="W103" s="4"/>
      <c r="X103" s="4"/>
      <c r="Y103" s="4"/>
      <c r="Z103" s="4"/>
      <c r="AA103" s="4"/>
      <c r="AB103" s="4" t="str">
        <f>IFERROR(__xludf.DUMMYFUNCTION("""COMPUTED_VALUE"""),"Point 2")</f>
        <v>Point 2</v>
      </c>
      <c r="AC103" s="4">
        <f>IFERROR(__xludf.DUMMYFUNCTION("""COMPUTED_VALUE"""),12.006396)</f>
        <v>12.006396</v>
      </c>
      <c r="AD103" s="4">
        <f>IFERROR(__xludf.DUMMYFUNCTION("""COMPUTED_VALUE"""),8.563399)</f>
        <v>8.563399</v>
      </c>
      <c r="AE103" s="5" t="str">
        <f>IFERROR(__xludf.DUMMYFUNCTION("""COMPUTED_VALUE"""),"https://drive.google.com/open?id=1K6L6z1hcz-eotwlPve61ZPJ9vEE4T1bf")</f>
        <v>https://drive.google.com/open?id=1K6L6z1hcz-eotwlPve61ZPJ9vEE4T1bf</v>
      </c>
      <c r="AF103" s="4"/>
      <c r="AG103" s="4"/>
      <c r="AH103" s="4"/>
      <c r="AI103" s="4"/>
      <c r="AL103" s="4" t="str">
        <f t="shared" si="1"/>
        <v>Cluster 2</v>
      </c>
      <c r="AM103" s="4" t="str">
        <f t="shared" si="2"/>
        <v>DURBIN KATSINA ROAD</v>
      </c>
    </row>
    <row r="104">
      <c r="A104" s="3">
        <f>IFERROR(__xludf.DUMMYFUNCTION("""COMPUTED_VALUE"""),45878.626020138894)</f>
        <v>45878.62602</v>
      </c>
      <c r="B104" s="4" t="str">
        <f>IFERROR(__xludf.DUMMYFUNCTION("""COMPUTED_VALUE"""),"elhabs256@gmail.com")</f>
        <v>elhabs256@gmail.com</v>
      </c>
      <c r="C104" s="4" t="str">
        <f>IFERROR(__xludf.DUMMYFUNCTION("""COMPUTED_VALUE"""),"Abdullahi Elhabeeb")</f>
        <v>Abdullahi Elhabeeb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tr">
        <f>IFERROR(__xludf.DUMMYFUNCTION("""COMPUTED_VALUE"""),"Cluster 2")</f>
        <v>Cluster 2</v>
      </c>
      <c r="Q104" s="4"/>
      <c r="R104" s="4" t="str">
        <f>IFERROR(__xludf.DUMMYFUNCTION("""COMPUTED_VALUE"""),"DURBIN KATSINA ROAD")</f>
        <v>DURBIN KATSINA ROAD</v>
      </c>
      <c r="S104" s="4"/>
      <c r="T104" s="4"/>
      <c r="U104" s="4"/>
      <c r="V104" s="4"/>
      <c r="W104" s="4"/>
      <c r="X104" s="4"/>
      <c r="Y104" s="4"/>
      <c r="Z104" s="4"/>
      <c r="AA104" s="4"/>
      <c r="AB104" s="4" t="str">
        <f>IFERROR(__xludf.DUMMYFUNCTION("""COMPUTED_VALUE"""),"Point 1")</f>
        <v>Point 1</v>
      </c>
      <c r="AC104" s="4">
        <f>IFERROR(__xludf.DUMMYFUNCTION("""COMPUTED_VALUE"""),12.020449)</f>
        <v>12.020449</v>
      </c>
      <c r="AD104" s="4">
        <f>IFERROR(__xludf.DUMMYFUNCTION("""COMPUTED_VALUE"""),8.564263)</f>
        <v>8.564263</v>
      </c>
      <c r="AE104" s="5" t="str">
        <f>IFERROR(__xludf.DUMMYFUNCTION("""COMPUTED_VALUE"""),"https://drive.google.com/open?id=1pPx_4fd4i10Rw7VPqH533oFQ2SClOG1m")</f>
        <v>https://drive.google.com/open?id=1pPx_4fd4i10Rw7VPqH533oFQ2SClOG1m</v>
      </c>
      <c r="AF104" s="4"/>
      <c r="AG104" s="4"/>
      <c r="AH104" s="4"/>
      <c r="AI104" s="4"/>
      <c r="AL104" s="4" t="str">
        <f t="shared" si="1"/>
        <v>Cluster 2</v>
      </c>
      <c r="AM104" s="4" t="str">
        <f t="shared" si="2"/>
        <v>DURBIN KATSINA ROAD</v>
      </c>
    </row>
    <row r="105">
      <c r="A105" s="3">
        <f>IFERROR(__xludf.DUMMYFUNCTION("""COMPUTED_VALUE"""),45878.62437092593)</f>
        <v>45878.62437</v>
      </c>
      <c r="B105" s="4" t="str">
        <f>IFERROR(__xludf.DUMMYFUNCTION("""COMPUTED_VALUE"""),"elhabs256@gmail.com")</f>
        <v>elhabs256@gmail.com</v>
      </c>
      <c r="C105" s="4" t="str">
        <f>IFERROR(__xludf.DUMMYFUNCTION("""COMPUTED_VALUE"""),"Abdullahi Elhabeeb")</f>
        <v>Abdullahi Elhabeeb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tr">
        <f>IFERROR(__xludf.DUMMYFUNCTION("""COMPUTED_VALUE"""),"Cluster 2")</f>
        <v>Cluster 2</v>
      </c>
      <c r="Q105" s="4"/>
      <c r="R105" s="4" t="str">
        <f>IFERROR(__xludf.DUMMYFUNCTION("""COMPUTED_VALUE"""),"TSAUNA CLOSE")</f>
        <v>TSAUNA CLOSE</v>
      </c>
      <c r="S105" s="4"/>
      <c r="T105" s="4"/>
      <c r="U105" s="4"/>
      <c r="V105" s="4"/>
      <c r="W105" s="4"/>
      <c r="X105" s="4"/>
      <c r="Y105" s="4"/>
      <c r="Z105" s="4"/>
      <c r="AA105" s="4"/>
      <c r="AB105" s="4" t="str">
        <f>IFERROR(__xludf.DUMMYFUNCTION("""COMPUTED_VALUE"""),"Point 1")</f>
        <v>Point 1</v>
      </c>
      <c r="AC105" s="4">
        <f>IFERROR(__xludf.DUMMYFUNCTION("""COMPUTED_VALUE"""),12.004779)</f>
        <v>12.004779</v>
      </c>
      <c r="AD105" s="4">
        <f>IFERROR(__xludf.DUMMYFUNCTION("""COMPUTED_VALUE"""),8.558677783)</f>
        <v>8.558677783</v>
      </c>
      <c r="AE105" s="5" t="str">
        <f>IFERROR(__xludf.DUMMYFUNCTION("""COMPUTED_VALUE"""),"https://drive.google.com/open?id=1rkQB9ayFvi65OtWQltnodnIsxn-YmT57")</f>
        <v>https://drive.google.com/open?id=1rkQB9ayFvi65OtWQltnodnIsxn-YmT57</v>
      </c>
      <c r="AF105" s="4"/>
      <c r="AG105" s="4"/>
      <c r="AH105" s="4"/>
      <c r="AI105" s="4"/>
      <c r="AL105" s="4" t="str">
        <f t="shared" si="1"/>
        <v>Cluster 2</v>
      </c>
      <c r="AM105" s="4" t="str">
        <f t="shared" si="2"/>
        <v>TSAUNA CLOSE</v>
      </c>
    </row>
    <row r="106">
      <c r="A106" s="3">
        <f>IFERROR(__xludf.DUMMYFUNCTION("""COMPUTED_VALUE"""),45878.61978842593)</f>
        <v>45878.61979</v>
      </c>
      <c r="B106" s="4" t="str">
        <f>IFERROR(__xludf.DUMMYFUNCTION("""COMPUTED_VALUE"""),"elhabs256@gmail.com")</f>
        <v>elhabs256@gmail.com</v>
      </c>
      <c r="C106" s="4" t="str">
        <f>IFERROR(__xludf.DUMMYFUNCTION("""COMPUTED_VALUE"""),"Abdullahi Elhabeeb")</f>
        <v>Abdullahi Elhabeeb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tr">
        <f>IFERROR(__xludf.DUMMYFUNCTION("""COMPUTED_VALUE"""),"Cluster 18")</f>
        <v>Cluster 18</v>
      </c>
      <c r="Q106" s="4"/>
      <c r="R106" s="4"/>
      <c r="S106" s="4"/>
      <c r="T106" s="4"/>
      <c r="U106" s="4" t="str">
        <f>IFERROR(__xludf.DUMMYFUNCTION("""COMPUTED_VALUE"""),"YUSUF ROAD")</f>
        <v>YUSUF ROAD</v>
      </c>
      <c r="V106" s="4"/>
      <c r="W106" s="4"/>
      <c r="X106" s="4"/>
      <c r="Y106" s="4"/>
      <c r="Z106" s="4"/>
      <c r="AA106" s="4"/>
      <c r="AB106" s="4" t="str">
        <f>IFERROR(__xludf.DUMMYFUNCTION("""COMPUTED_VALUE"""),"Point 2")</f>
        <v>Point 2</v>
      </c>
      <c r="AC106" s="4">
        <f>IFERROR(__xludf.DUMMYFUNCTION("""COMPUTED_VALUE"""),12.01547)</f>
        <v>12.01547</v>
      </c>
      <c r="AD106" s="4">
        <f>IFERROR(__xludf.DUMMYFUNCTION("""COMPUTED_VALUE"""),8.568268)</f>
        <v>8.568268</v>
      </c>
      <c r="AE106" s="5" t="str">
        <f>IFERROR(__xludf.DUMMYFUNCTION("""COMPUTED_VALUE"""),"https://drive.google.com/open?id=1jRwseAW817Xq2Y3zbZuVFv51_Y9DF8-j")</f>
        <v>https://drive.google.com/open?id=1jRwseAW817Xq2Y3zbZuVFv51_Y9DF8-j</v>
      </c>
      <c r="AF106" s="4"/>
      <c r="AG106" s="4"/>
      <c r="AH106" s="4"/>
      <c r="AI106" s="4"/>
      <c r="AL106" s="4" t="str">
        <f t="shared" si="1"/>
        <v>Cluster 18</v>
      </c>
      <c r="AM106" s="4" t="str">
        <f t="shared" si="2"/>
        <v>YUSUF ROAD</v>
      </c>
    </row>
    <row r="107">
      <c r="A107" s="3">
        <f>IFERROR(__xludf.DUMMYFUNCTION("""COMPUTED_VALUE"""),45878.61865979167)</f>
        <v>45878.61866</v>
      </c>
      <c r="B107" s="4" t="str">
        <f>IFERROR(__xludf.DUMMYFUNCTION("""COMPUTED_VALUE"""),"elhabs256@gmail.com")</f>
        <v>elhabs256@gmail.com</v>
      </c>
      <c r="C107" s="4" t="str">
        <f>IFERROR(__xludf.DUMMYFUNCTION("""COMPUTED_VALUE"""),"Abdullahi Elhabeeb")</f>
        <v>Abdullahi Elhabeeb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tr">
        <f>IFERROR(__xludf.DUMMYFUNCTION("""COMPUTED_VALUE"""),"Cluster 18")</f>
        <v>Cluster 18</v>
      </c>
      <c r="Q107" s="4"/>
      <c r="R107" s="4"/>
      <c r="S107" s="4"/>
      <c r="T107" s="4"/>
      <c r="U107" s="4" t="str">
        <f>IFERROR(__xludf.DUMMYFUNCTION("""COMPUTED_VALUE"""),"YUSUF ROAD")</f>
        <v>YUSUF ROAD</v>
      </c>
      <c r="V107" s="4"/>
      <c r="W107" s="4"/>
      <c r="X107" s="4"/>
      <c r="Y107" s="4"/>
      <c r="Z107" s="4"/>
      <c r="AA107" s="4"/>
      <c r="AB107" s="4" t="str">
        <f>IFERROR(__xludf.DUMMYFUNCTION("""COMPUTED_VALUE"""),"Point 1")</f>
        <v>Point 1</v>
      </c>
      <c r="AC107" s="4">
        <f>IFERROR(__xludf.DUMMYFUNCTION("""COMPUTED_VALUE"""),12.00716)</f>
        <v>12.00716</v>
      </c>
      <c r="AD107" s="4">
        <f>IFERROR(__xludf.DUMMYFUNCTION("""COMPUTED_VALUE"""),8.567372)</f>
        <v>8.567372</v>
      </c>
      <c r="AE107" s="5" t="str">
        <f>IFERROR(__xludf.DUMMYFUNCTION("""COMPUTED_VALUE"""),"https://drive.google.com/open?id=1qAkTQ4_0bybEYsplQCrOpeuwBo9barHs")</f>
        <v>https://drive.google.com/open?id=1qAkTQ4_0bybEYsplQCrOpeuwBo9barHs</v>
      </c>
      <c r="AF107" s="4"/>
      <c r="AG107" s="4"/>
      <c r="AH107" s="4"/>
      <c r="AI107" s="4"/>
      <c r="AL107" s="4" t="str">
        <f t="shared" si="1"/>
        <v>Cluster 18</v>
      </c>
      <c r="AM107" s="4" t="str">
        <f t="shared" si="2"/>
        <v>YUSUF ROAD</v>
      </c>
    </row>
    <row r="108">
      <c r="A108" s="3">
        <f>IFERROR(__xludf.DUMMYFUNCTION("""COMPUTED_VALUE"""),45878.4490799537)</f>
        <v>45878.44908</v>
      </c>
      <c r="B108" s="4" t="str">
        <f>IFERROR(__xludf.DUMMYFUNCTION("""COMPUTED_VALUE"""),"elhabs256@gmail.com")</f>
        <v>elhabs256@gmail.com</v>
      </c>
      <c r="C108" s="4" t="str">
        <f>IFERROR(__xludf.DUMMYFUNCTION("""COMPUTED_VALUE"""),"Abdullahi Elhabeeb")</f>
        <v>Abdullahi Elhabeeb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tr">
        <f>IFERROR(__xludf.DUMMYFUNCTION("""COMPUTED_VALUE"""),"Cluster 18")</f>
        <v>Cluster 18</v>
      </c>
      <c r="Q108" s="4"/>
      <c r="R108" s="4"/>
      <c r="S108" s="4"/>
      <c r="T108" s="4"/>
      <c r="U108" s="4" t="str">
        <f>IFERROR(__xludf.DUMMYFUNCTION("""COMPUTED_VALUE"""),"YAKUBU BAKO CLOSE")</f>
        <v>YAKUBU BAKO CLOSE</v>
      </c>
      <c r="V108" s="4"/>
      <c r="W108" s="4"/>
      <c r="X108" s="4"/>
      <c r="Y108" s="4"/>
      <c r="Z108" s="4"/>
      <c r="AA108" s="4"/>
      <c r="AB108" s="4" t="str">
        <f>IFERROR(__xludf.DUMMYFUNCTION("""COMPUTED_VALUE"""),"Point 1")</f>
        <v>Point 1</v>
      </c>
      <c r="AC108" s="4">
        <f>IFERROR(__xludf.DUMMYFUNCTION("""COMPUTED_VALUE"""),11.99702)</f>
        <v>11.99702</v>
      </c>
      <c r="AD108" s="4">
        <f>IFERROR(__xludf.DUMMYFUNCTION("""COMPUTED_VALUE"""),8.555647)</f>
        <v>8.555647</v>
      </c>
      <c r="AE108" s="5" t="str">
        <f>IFERROR(__xludf.DUMMYFUNCTION("""COMPUTED_VALUE"""),"https://drive.google.com/open?id=1qlvH6LiJGLJ5-MbTmod3cG7IeqNHlF-M")</f>
        <v>https://drive.google.com/open?id=1qlvH6LiJGLJ5-MbTmod3cG7IeqNHlF-M</v>
      </c>
      <c r="AF108" s="4"/>
      <c r="AG108" s="4"/>
      <c r="AH108" s="4"/>
      <c r="AI108" s="4"/>
      <c r="AL108" s="4" t="str">
        <f t="shared" si="1"/>
        <v>Cluster 18</v>
      </c>
      <c r="AM108" s="4" t="str">
        <f t="shared" si="2"/>
        <v>YAKUBU BAKO CLOSE</v>
      </c>
    </row>
    <row r="109">
      <c r="A109" s="3">
        <f>IFERROR(__xludf.DUMMYFUNCTION("""COMPUTED_VALUE"""),45878.445028518516)</f>
        <v>45878.44503</v>
      </c>
      <c r="B109" s="4" t="str">
        <f>IFERROR(__xludf.DUMMYFUNCTION("""COMPUTED_VALUE"""),"elhabs256@gmail.com")</f>
        <v>elhabs256@gmail.com</v>
      </c>
      <c r="C109" s="4" t="str">
        <f>IFERROR(__xludf.DUMMYFUNCTION("""COMPUTED_VALUE"""),"Abdullahi Elhabeeb")</f>
        <v>Abdullahi Elhabeeb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tr">
        <f>IFERROR(__xludf.DUMMYFUNCTION("""COMPUTED_VALUE"""),"Cluster 18")</f>
        <v>Cluster 18</v>
      </c>
      <c r="Q109" s="4"/>
      <c r="R109" s="4"/>
      <c r="S109" s="4"/>
      <c r="T109" s="4"/>
      <c r="U109" s="4" t="str">
        <f>IFERROR(__xludf.DUMMYFUNCTION("""COMPUTED_VALUE"""),"MUHAMMED NASIR MUKTAR CLOSE")</f>
        <v>MUHAMMED NASIR MUKTAR CLOSE</v>
      </c>
      <c r="V109" s="4"/>
      <c r="W109" s="4"/>
      <c r="X109" s="4"/>
      <c r="Y109" s="4"/>
      <c r="Z109" s="4"/>
      <c r="AA109" s="4"/>
      <c r="AB109" s="4" t="str">
        <f>IFERROR(__xludf.DUMMYFUNCTION("""COMPUTED_VALUE"""),"Point 1")</f>
        <v>Point 1</v>
      </c>
      <c r="AC109" s="4">
        <f>IFERROR(__xludf.DUMMYFUNCTION("""COMPUTED_VALUE"""),11.999456)</f>
        <v>11.999456</v>
      </c>
      <c r="AD109" s="4">
        <f>IFERROR(__xludf.DUMMYFUNCTION("""COMPUTED_VALUE"""),8.555511)</f>
        <v>8.555511</v>
      </c>
      <c r="AE109" s="5" t="str">
        <f>IFERROR(__xludf.DUMMYFUNCTION("""COMPUTED_VALUE"""),"https://drive.google.com/open?id=1QU2_ly1Qm_FVdaeEe5oQaGmcRX5aPM00")</f>
        <v>https://drive.google.com/open?id=1QU2_ly1Qm_FVdaeEe5oQaGmcRX5aPM00</v>
      </c>
      <c r="AF109" s="4"/>
      <c r="AG109" s="4"/>
      <c r="AH109" s="4"/>
      <c r="AI109" s="4"/>
      <c r="AL109" s="4" t="str">
        <f t="shared" si="1"/>
        <v>Cluster 18</v>
      </c>
      <c r="AM109" s="4" t="str">
        <f t="shared" si="2"/>
        <v>MUHAMMED NASIR MUKTAR CLOSE</v>
      </c>
    </row>
    <row r="110">
      <c r="A110" s="3">
        <f>IFERROR(__xludf.DUMMYFUNCTION("""COMPUTED_VALUE"""),45878.44180289352)</f>
        <v>45878.4418</v>
      </c>
      <c r="B110" s="4" t="str">
        <f>IFERROR(__xludf.DUMMYFUNCTION("""COMPUTED_VALUE"""),"elhabs256@gmail.com")</f>
        <v>elhabs256@gmail.com</v>
      </c>
      <c r="C110" s="4" t="str">
        <f>IFERROR(__xludf.DUMMYFUNCTION("""COMPUTED_VALUE"""),"Abdullahi Elhabeeb")</f>
        <v>Abdullahi Elhabeeb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tr">
        <f>IFERROR(__xludf.DUMMYFUNCTION("""COMPUTED_VALUE"""),"Cluster 18")</f>
        <v>Cluster 18</v>
      </c>
      <c r="Q110" s="4"/>
      <c r="R110" s="4"/>
      <c r="S110" s="4"/>
      <c r="T110" s="4"/>
      <c r="U110" s="4" t="str">
        <f>IFERROR(__xludf.DUMMYFUNCTION("""COMPUTED_VALUE"""),"DABO MOHAMMED CLOSE")</f>
        <v>DABO MOHAMMED CLOSE</v>
      </c>
      <c r="V110" s="4"/>
      <c r="W110" s="4"/>
      <c r="X110" s="4"/>
      <c r="Y110" s="4"/>
      <c r="Z110" s="4"/>
      <c r="AA110" s="4"/>
      <c r="AB110" s="4" t="str">
        <f>IFERROR(__xludf.DUMMYFUNCTION("""COMPUTED_VALUE"""),"Point 1")</f>
        <v>Point 1</v>
      </c>
      <c r="AC110" s="4">
        <f>IFERROR(__xludf.DUMMYFUNCTION("""COMPUTED_VALUE"""),11.99820295)</f>
        <v>11.99820295</v>
      </c>
      <c r="AD110" s="4">
        <f>IFERROR(__xludf.DUMMYFUNCTION("""COMPUTED_VALUE"""),8.555589472)</f>
        <v>8.555589472</v>
      </c>
      <c r="AE110" s="5" t="str">
        <f>IFERROR(__xludf.DUMMYFUNCTION("""COMPUTED_VALUE"""),"https://drive.google.com/open?id=1glSNoOdrNP-f1bjKpuilDyq6rulPmpoY")</f>
        <v>https://drive.google.com/open?id=1glSNoOdrNP-f1bjKpuilDyq6rulPmpoY</v>
      </c>
      <c r="AF110" s="4"/>
      <c r="AG110" s="4"/>
      <c r="AH110" s="4"/>
      <c r="AI110" s="4"/>
      <c r="AL110" s="4" t="str">
        <f t="shared" si="1"/>
        <v>Cluster 18</v>
      </c>
      <c r="AM110" s="4" t="str">
        <f t="shared" si="2"/>
        <v>DABO MOHAMMED CLOSE</v>
      </c>
    </row>
    <row r="111">
      <c r="A111" s="3">
        <f>IFERROR(__xludf.DUMMYFUNCTION("""COMPUTED_VALUE"""),45878.43407666667)</f>
        <v>45878.43408</v>
      </c>
      <c r="B111" s="4" t="str">
        <f>IFERROR(__xludf.DUMMYFUNCTION("""COMPUTED_VALUE"""),"elhabs256@gmail.com")</f>
        <v>elhabs256@gmail.com</v>
      </c>
      <c r="C111" s="4" t="str">
        <f>IFERROR(__xludf.DUMMYFUNCTION("""COMPUTED_VALUE"""),"Abdullahi Elhabeeb")</f>
        <v>Abdullahi Elhabeeb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tr">
        <f>IFERROR(__xludf.DUMMYFUNCTION("""COMPUTED_VALUE"""),"Cluster 13")</f>
        <v>Cluster 13</v>
      </c>
      <c r="Q111" s="4"/>
      <c r="R111" s="4"/>
      <c r="S111" s="4"/>
      <c r="T111" s="4" t="str">
        <f>IFERROR(__xludf.DUMMYFUNCTION("""COMPUTED_VALUE"""),"GIMBA UMAR CLOSE")</f>
        <v>GIMBA UMAR CLOSE</v>
      </c>
      <c r="U111" s="4"/>
      <c r="V111" s="4"/>
      <c r="W111" s="4"/>
      <c r="X111" s="4"/>
      <c r="Y111" s="4"/>
      <c r="Z111" s="4"/>
      <c r="AA111" s="4"/>
      <c r="AB111" s="4" t="str">
        <f>IFERROR(__xludf.DUMMYFUNCTION("""COMPUTED_VALUE"""),"Point 1")</f>
        <v>Point 1</v>
      </c>
      <c r="AC111" s="4">
        <f>IFERROR(__xludf.DUMMYFUNCTION("""COMPUTED_VALUE"""),11.99605)</f>
        <v>11.99605</v>
      </c>
      <c r="AD111" s="4">
        <f>IFERROR(__xludf.DUMMYFUNCTION("""COMPUTED_VALUE"""),8.55563)</f>
        <v>8.55563</v>
      </c>
      <c r="AE111" s="5" t="str">
        <f>IFERROR(__xludf.DUMMYFUNCTION("""COMPUTED_VALUE"""),"https://drive.google.com/open?id=1ECtMI07nSsHD0O0hJzg0YvZO3O4W2aeL")</f>
        <v>https://drive.google.com/open?id=1ECtMI07nSsHD0O0hJzg0YvZO3O4W2aeL</v>
      </c>
      <c r="AF111" s="4"/>
      <c r="AG111" s="4"/>
      <c r="AH111" s="4"/>
      <c r="AI111" s="4"/>
      <c r="AL111" s="4" t="str">
        <f t="shared" si="1"/>
        <v>Cluster 13</v>
      </c>
      <c r="AM111" s="4" t="str">
        <f t="shared" si="2"/>
        <v>GIMBA UMAR CLOSE</v>
      </c>
    </row>
    <row r="112">
      <c r="A112" s="3">
        <f>IFERROR(__xludf.DUMMYFUNCTION("""COMPUTED_VALUE"""),45878.42593060185)</f>
        <v>45878.42593</v>
      </c>
      <c r="B112" s="4" t="str">
        <f>IFERROR(__xludf.DUMMYFUNCTION("""COMPUTED_VALUE"""),"elhabs256@gmail.com")</f>
        <v>elhabs256@gmail.com</v>
      </c>
      <c r="C112" s="4" t="str">
        <f>IFERROR(__xludf.DUMMYFUNCTION("""COMPUTED_VALUE"""),"Abdullahi Elhabeeb")</f>
        <v>Abdullahi Elhabeeb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tr">
        <f>IFERROR(__xludf.DUMMYFUNCTION("""COMPUTED_VALUE"""),"Cluster 13")</f>
        <v>Cluster 13</v>
      </c>
      <c r="Q112" s="4"/>
      <c r="R112" s="4"/>
      <c r="S112" s="4"/>
      <c r="T112" s="4" t="str">
        <f>IFERROR(__xludf.DUMMYFUNCTION("""COMPUTED_VALUE"""),"ABBAS LINK")</f>
        <v>ABBAS LINK</v>
      </c>
      <c r="U112" s="4"/>
      <c r="V112" s="4"/>
      <c r="W112" s="4"/>
      <c r="X112" s="4"/>
      <c r="Y112" s="4"/>
      <c r="Z112" s="4"/>
      <c r="AA112" s="4"/>
      <c r="AB112" s="4" t="str">
        <f>IFERROR(__xludf.DUMMYFUNCTION("""COMPUTED_VALUE"""),"Point 2")</f>
        <v>Point 2</v>
      </c>
      <c r="AC112" s="4">
        <f>IFERROR(__xludf.DUMMYFUNCTION("""COMPUTED_VALUE"""),12.000652)</f>
        <v>12.000652</v>
      </c>
      <c r="AD112" s="4">
        <f>IFERROR(__xludf.DUMMYFUNCTION("""COMPUTED_VALUE"""),8.552676)</f>
        <v>8.552676</v>
      </c>
      <c r="AE112" s="5" t="str">
        <f>IFERROR(__xludf.DUMMYFUNCTION("""COMPUTED_VALUE"""),"https://drive.google.com/open?id=1Sg9QNKfXfQQeHiPRwg6qoAaQkzwW_5eG")</f>
        <v>https://drive.google.com/open?id=1Sg9QNKfXfQQeHiPRwg6qoAaQkzwW_5eG</v>
      </c>
      <c r="AF112" s="4"/>
      <c r="AG112" s="4"/>
      <c r="AH112" s="4"/>
      <c r="AI112" s="4"/>
      <c r="AL112" s="4" t="str">
        <f t="shared" si="1"/>
        <v>Cluster 13</v>
      </c>
      <c r="AM112" s="4" t="str">
        <f t="shared" si="2"/>
        <v>ABBAS LINK</v>
      </c>
    </row>
    <row r="113">
      <c r="A113" s="3">
        <f>IFERROR(__xludf.DUMMYFUNCTION("""COMPUTED_VALUE"""),45878.4234571875)</f>
        <v>45878.42346</v>
      </c>
      <c r="B113" s="4" t="str">
        <f>IFERROR(__xludf.DUMMYFUNCTION("""COMPUTED_VALUE"""),"elhabs256@gmail.com")</f>
        <v>elhabs256@gmail.com</v>
      </c>
      <c r="C113" s="4" t="str">
        <f>IFERROR(__xludf.DUMMYFUNCTION("""COMPUTED_VALUE"""),"Abdullahi Elhabeeb")</f>
        <v>Abdullahi Elhabeeb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tr">
        <f>IFERROR(__xludf.DUMMYFUNCTION("""COMPUTED_VALUE"""),"Cluster 13")</f>
        <v>Cluster 13</v>
      </c>
      <c r="Q113" s="4"/>
      <c r="R113" s="4"/>
      <c r="S113" s="4"/>
      <c r="T113" s="4" t="str">
        <f>IFERROR(__xludf.DUMMYFUNCTION("""COMPUTED_VALUE"""),"KWAIRANGA ROAD")</f>
        <v>KWAIRANGA ROAD</v>
      </c>
      <c r="U113" s="4"/>
      <c r="V113" s="4"/>
      <c r="W113" s="4"/>
      <c r="X113" s="4"/>
      <c r="Y113" s="4"/>
      <c r="Z113" s="4"/>
      <c r="AA113" s="4"/>
      <c r="AB113" s="4" t="str">
        <f>IFERROR(__xludf.DUMMYFUNCTION("""COMPUTED_VALUE"""),"Point 2")</f>
        <v>Point 2</v>
      </c>
      <c r="AC113" s="4">
        <f>IFERROR(__xludf.DUMMYFUNCTION("""COMPUTED_VALUE"""),11.990852)</f>
        <v>11.990852</v>
      </c>
      <c r="AD113" s="4">
        <f>IFERROR(__xludf.DUMMYFUNCTION("""COMPUTED_VALUE"""),8.555926)</f>
        <v>8.555926</v>
      </c>
      <c r="AE113" s="5" t="str">
        <f>IFERROR(__xludf.DUMMYFUNCTION("""COMPUTED_VALUE"""),"https://drive.google.com/open?id=1kxII1j1fn6g0uxxm95SqlkYuZ5xNQ_gy")</f>
        <v>https://drive.google.com/open?id=1kxII1j1fn6g0uxxm95SqlkYuZ5xNQ_gy</v>
      </c>
      <c r="AF113" s="4"/>
      <c r="AG113" s="4"/>
      <c r="AH113" s="4"/>
      <c r="AI113" s="4"/>
      <c r="AL113" s="4" t="str">
        <f t="shared" si="1"/>
        <v>Cluster 13</v>
      </c>
      <c r="AM113" s="4" t="str">
        <f t="shared" si="2"/>
        <v>KWAIRANGA ROAD</v>
      </c>
    </row>
    <row r="114">
      <c r="A114" s="3">
        <f>IFERROR(__xludf.DUMMYFUNCTION("""COMPUTED_VALUE"""),45878.41927479167)</f>
        <v>45878.41927</v>
      </c>
      <c r="B114" s="4" t="str">
        <f>IFERROR(__xludf.DUMMYFUNCTION("""COMPUTED_VALUE"""),"elhabs256@gmail.com")</f>
        <v>elhabs256@gmail.com</v>
      </c>
      <c r="C114" s="4" t="str">
        <f>IFERROR(__xludf.DUMMYFUNCTION("""COMPUTED_VALUE"""),"Abdullahi Elhabeeb")</f>
        <v>Abdullahi Elhabeeb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tr">
        <f>IFERROR(__xludf.DUMMYFUNCTION("""COMPUTED_VALUE"""),"Cluster 6")</f>
        <v>Cluster 6</v>
      </c>
      <c r="Q114" s="4" t="str">
        <f>IFERROR(__xludf.DUMMYFUNCTION("""COMPUTED_VALUE"""),"MAL UZAIRU STREET")</f>
        <v>MAL UZAIRU STREET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 t="str">
        <f>IFERROR(__xludf.DUMMYFUNCTION("""COMPUTED_VALUE"""),"Point 2")</f>
        <v>Point 2</v>
      </c>
      <c r="AC114" s="4">
        <f>IFERROR(__xludf.DUMMYFUNCTION("""COMPUTED_VALUE"""),11.97210432)</f>
        <v>11.97210432</v>
      </c>
      <c r="AD114" s="4">
        <f>IFERROR(__xludf.DUMMYFUNCTION("""COMPUTED_VALUE"""),8.557390242)</f>
        <v>8.557390242</v>
      </c>
      <c r="AE114" s="5" t="str">
        <f>IFERROR(__xludf.DUMMYFUNCTION("""COMPUTED_VALUE"""),"https://drive.google.com/open?id=16SHteqrD_Na2zI9khux2Ciim9wcfaxPt")</f>
        <v>https://drive.google.com/open?id=16SHteqrD_Na2zI9khux2Ciim9wcfaxPt</v>
      </c>
      <c r="AF114" s="4"/>
      <c r="AG114" s="4"/>
      <c r="AH114" s="4"/>
      <c r="AI114" s="4"/>
      <c r="AL114" s="4" t="str">
        <f t="shared" si="1"/>
        <v>Cluster 6</v>
      </c>
      <c r="AM114" s="4" t="str">
        <f t="shared" si="2"/>
        <v>MAL UZAIRU STREET</v>
      </c>
    </row>
    <row r="115">
      <c r="A115" s="3">
        <f>IFERROR(__xludf.DUMMYFUNCTION("""COMPUTED_VALUE"""),45878.41787675926)</f>
        <v>45878.41788</v>
      </c>
      <c r="B115" s="4" t="str">
        <f>IFERROR(__xludf.DUMMYFUNCTION("""COMPUTED_VALUE"""),"elhabs256@gmail.com")</f>
        <v>elhabs256@gmail.com</v>
      </c>
      <c r="C115" s="4" t="str">
        <f>IFERROR(__xludf.DUMMYFUNCTION("""COMPUTED_VALUE"""),"Abdullahi Elhabeeb")</f>
        <v>Abdullahi Elhabeeb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tr">
        <f>IFERROR(__xludf.DUMMYFUNCTION("""COMPUTED_VALUE"""),"Cluster 6")</f>
        <v>Cluster 6</v>
      </c>
      <c r="Q115" s="4" t="str">
        <f>IFERROR(__xludf.DUMMYFUNCTION("""COMPUTED_VALUE"""),"MAL UZAIRU STREET")</f>
        <v>MAL UZAIRU STREET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 t="str">
        <f>IFERROR(__xludf.DUMMYFUNCTION("""COMPUTED_VALUE"""),"Point 1")</f>
        <v>Point 1</v>
      </c>
      <c r="AC115" s="4">
        <f>IFERROR(__xludf.DUMMYFUNCTION("""COMPUTED_VALUE"""),11.969342)</f>
        <v>11.969342</v>
      </c>
      <c r="AD115" s="4">
        <f>IFERROR(__xludf.DUMMYFUNCTION("""COMPUTED_VALUE"""),8.556727)</f>
        <v>8.556727</v>
      </c>
      <c r="AE115" s="5" t="str">
        <f>IFERROR(__xludf.DUMMYFUNCTION("""COMPUTED_VALUE"""),"https://drive.google.com/open?id=1Lsj0tT8HfzRYyt90Kj8t9bva71UUQNAn")</f>
        <v>https://drive.google.com/open?id=1Lsj0tT8HfzRYyt90Kj8t9bva71UUQNAn</v>
      </c>
      <c r="AF115" s="4"/>
      <c r="AG115" s="4"/>
      <c r="AH115" s="4"/>
      <c r="AI115" s="4"/>
      <c r="AL115" s="4" t="str">
        <f t="shared" si="1"/>
        <v>Cluster 6</v>
      </c>
      <c r="AM115" s="4" t="str">
        <f t="shared" si="2"/>
        <v>MAL UZAIRU STREET</v>
      </c>
    </row>
    <row r="116">
      <c r="A116" s="3">
        <f>IFERROR(__xludf.DUMMYFUNCTION("""COMPUTED_VALUE"""),45878.41032840278)</f>
        <v>45878.41033</v>
      </c>
      <c r="B116" s="4" t="str">
        <f>IFERROR(__xludf.DUMMYFUNCTION("""COMPUTED_VALUE"""),"elhabs256@gmail.com")</f>
        <v>elhabs256@gmail.com</v>
      </c>
      <c r="C116" s="4" t="str">
        <f>IFERROR(__xludf.DUMMYFUNCTION("""COMPUTED_VALUE"""),"Abdullahi Elhabeeb")</f>
        <v>Abdullahi Elhabeeb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tr">
        <f>IFERROR(__xludf.DUMMYFUNCTION("""COMPUTED_VALUE"""),"Cluster 2")</f>
        <v>Cluster 2</v>
      </c>
      <c r="Q116" s="4"/>
      <c r="R116" s="4" t="str">
        <f>IFERROR(__xludf.DUMMYFUNCTION("""COMPUTED_VALUE"""),"STATE ROAD")</f>
        <v>STATE ROAD</v>
      </c>
      <c r="S116" s="4"/>
      <c r="T116" s="4"/>
      <c r="U116" s="4"/>
      <c r="V116" s="4"/>
      <c r="W116" s="4"/>
      <c r="X116" s="4"/>
      <c r="Y116" s="4"/>
      <c r="Z116" s="4"/>
      <c r="AA116" s="4"/>
      <c r="AB116" s="4" t="str">
        <f>IFERROR(__xludf.DUMMYFUNCTION("""COMPUTED_VALUE"""),"Point 2")</f>
        <v>Point 2</v>
      </c>
      <c r="AC116" s="4">
        <f>IFERROR(__xludf.DUMMYFUNCTION("""COMPUTED_VALUE"""),11.986422)</f>
        <v>11.986422</v>
      </c>
      <c r="AD116" s="4">
        <f>IFERROR(__xludf.DUMMYFUNCTION("""COMPUTED_VALUE"""),8.550654)</f>
        <v>8.550654</v>
      </c>
      <c r="AE116" s="5" t="str">
        <f>IFERROR(__xludf.DUMMYFUNCTION("""COMPUTED_VALUE"""),"https://drive.google.com/open?id=1lqNG7SvuEQ7ClX3bpp6jeYZNuIVk_6bS")</f>
        <v>https://drive.google.com/open?id=1lqNG7SvuEQ7ClX3bpp6jeYZNuIVk_6bS</v>
      </c>
      <c r="AF116" s="4"/>
      <c r="AG116" s="4"/>
      <c r="AH116" s="4"/>
      <c r="AI116" s="4"/>
      <c r="AL116" s="4" t="str">
        <f t="shared" si="1"/>
        <v>Cluster 2</v>
      </c>
      <c r="AM116" s="4" t="str">
        <f t="shared" si="2"/>
        <v>STATE ROAD</v>
      </c>
    </row>
    <row r="117">
      <c r="A117" s="3">
        <f>IFERROR(__xludf.DUMMYFUNCTION("""COMPUTED_VALUE"""),45878.40776223379)</f>
        <v>45878.40776</v>
      </c>
      <c r="B117" s="4" t="str">
        <f>IFERROR(__xludf.DUMMYFUNCTION("""COMPUTED_VALUE"""),"elhabs256@gmail.com")</f>
        <v>elhabs256@gmail.com</v>
      </c>
      <c r="C117" s="4" t="str">
        <f>IFERROR(__xludf.DUMMYFUNCTION("""COMPUTED_VALUE"""),"Abdullahi Elhabeeb")</f>
        <v>Abdullahi Elhabeeb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tr">
        <f>IFERROR(__xludf.DUMMYFUNCTION("""COMPUTED_VALUE"""),"Cluster 2")</f>
        <v>Cluster 2</v>
      </c>
      <c r="Q117" s="4"/>
      <c r="R117" s="4" t="str">
        <f>IFERROR(__xludf.DUMMYFUNCTION("""COMPUTED_VALUE"""),"STATE ROAD")</f>
        <v>STATE ROAD</v>
      </c>
      <c r="S117" s="4"/>
      <c r="T117" s="4"/>
      <c r="U117" s="4"/>
      <c r="V117" s="4"/>
      <c r="W117" s="4"/>
      <c r="X117" s="4"/>
      <c r="Y117" s="4"/>
      <c r="Z117" s="4"/>
      <c r="AA117" s="4"/>
      <c r="AB117" s="4" t="str">
        <f>IFERROR(__xludf.DUMMYFUNCTION("""COMPUTED_VALUE"""),"Point 1")</f>
        <v>Point 1</v>
      </c>
      <c r="AC117" s="4">
        <f>IFERROR(__xludf.DUMMYFUNCTION("""COMPUTED_VALUE"""),11.988842)</f>
        <v>11.988842</v>
      </c>
      <c r="AD117" s="4">
        <f>IFERROR(__xludf.DUMMYFUNCTION("""COMPUTED_VALUE"""),8.53578)</f>
        <v>8.53578</v>
      </c>
      <c r="AE117" s="5" t="str">
        <f>IFERROR(__xludf.DUMMYFUNCTION("""COMPUTED_VALUE"""),"https://drive.google.com/open?id=19w5epiuCrJ1NfGBNokaNJ84hEmBW4QYG")</f>
        <v>https://drive.google.com/open?id=19w5epiuCrJ1NfGBNokaNJ84hEmBW4QYG</v>
      </c>
      <c r="AF117" s="4"/>
      <c r="AG117" s="4"/>
      <c r="AH117" s="4"/>
      <c r="AI117" s="4"/>
      <c r="AL117" s="4" t="str">
        <f t="shared" si="1"/>
        <v>Cluster 2</v>
      </c>
      <c r="AM117" s="4" t="str">
        <f t="shared" si="2"/>
        <v>STATE ROAD</v>
      </c>
    </row>
    <row r="118">
      <c r="A118" s="3">
        <f>IFERROR(__xludf.DUMMYFUNCTION("""COMPUTED_VALUE"""),45877.647932893524)</f>
        <v>45877.64793</v>
      </c>
      <c r="B118" s="4" t="str">
        <f>IFERROR(__xludf.DUMMYFUNCTION("""COMPUTED_VALUE"""),"elhabs256@gmail.com")</f>
        <v>elhabs256@gmail.com</v>
      </c>
      <c r="C118" s="4" t="str">
        <f>IFERROR(__xludf.DUMMYFUNCTION("""COMPUTED_VALUE"""),"Abdullahi Elhabeeb")</f>
        <v>Abdullahi Elhabeeb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tr">
        <f>IFERROR(__xludf.DUMMYFUNCTION("""COMPUTED_VALUE"""),"Cluster 16")</f>
        <v>Cluster 16</v>
      </c>
      <c r="Q118" s="4"/>
      <c r="R118" s="4"/>
      <c r="S118" s="4" t="str">
        <f>IFERROR(__xludf.DUMMYFUNCTION("""COMPUTED_VALUE"""),"ALIYU MODDIBO STREET")</f>
        <v>ALIYU MODDIBO STREET</v>
      </c>
      <c r="T118" s="4"/>
      <c r="U118" s="4"/>
      <c r="V118" s="4"/>
      <c r="W118" s="4"/>
      <c r="X118" s="4"/>
      <c r="Y118" s="4"/>
      <c r="Z118" s="4"/>
      <c r="AA118" s="4"/>
      <c r="AB118" s="4" t="str">
        <f>IFERROR(__xludf.DUMMYFUNCTION("""COMPUTED_VALUE"""),"Point 2")</f>
        <v>Point 2</v>
      </c>
      <c r="AC118" s="4">
        <f>IFERROR(__xludf.DUMMYFUNCTION("""COMPUTED_VALUE"""),11.97872565)</f>
        <v>11.97872565</v>
      </c>
      <c r="AD118" s="4">
        <f>IFERROR(__xludf.DUMMYFUNCTION("""COMPUTED_VALUE"""),8.559606415)</f>
        <v>8.559606415</v>
      </c>
      <c r="AE118" s="5" t="str">
        <f>IFERROR(__xludf.DUMMYFUNCTION("""COMPUTED_VALUE"""),"https://drive.google.com/open?id=13nD03be5QnaT1YYdjk4YvhGPCf3g9dy6")</f>
        <v>https://drive.google.com/open?id=13nD03be5QnaT1YYdjk4YvhGPCf3g9dy6</v>
      </c>
      <c r="AF118" s="4"/>
      <c r="AG118" s="4"/>
      <c r="AH118" s="4"/>
      <c r="AI118" s="4"/>
      <c r="AL118" s="4" t="str">
        <f t="shared" si="1"/>
        <v>Cluster 16</v>
      </c>
      <c r="AM118" s="4" t="str">
        <f t="shared" si="2"/>
        <v>ALIYU MODDIBO STREET</v>
      </c>
    </row>
    <row r="119">
      <c r="A119" s="3">
        <f>IFERROR(__xludf.DUMMYFUNCTION("""COMPUTED_VALUE"""),45877.646635983794)</f>
        <v>45877.64664</v>
      </c>
      <c r="B119" s="4" t="str">
        <f>IFERROR(__xludf.DUMMYFUNCTION("""COMPUTED_VALUE"""),"elhabs256@gmail.com")</f>
        <v>elhabs256@gmail.com</v>
      </c>
      <c r="C119" s="4" t="str">
        <f>IFERROR(__xludf.DUMMYFUNCTION("""COMPUTED_VALUE"""),"Abdullahi Elhabeeb")</f>
        <v>Abdullahi Elhabeeb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tr">
        <f>IFERROR(__xludf.DUMMYFUNCTION("""COMPUTED_VALUE"""),"Cluster 16")</f>
        <v>Cluster 16</v>
      </c>
      <c r="Q119" s="4"/>
      <c r="R119" s="4"/>
      <c r="S119" s="4" t="str">
        <f>IFERROR(__xludf.DUMMYFUNCTION("""COMPUTED_VALUE"""),"ALIYU MODDIBO STREET")</f>
        <v>ALIYU MODDIBO STREET</v>
      </c>
      <c r="T119" s="4"/>
      <c r="U119" s="4"/>
      <c r="V119" s="4"/>
      <c r="W119" s="4"/>
      <c r="X119" s="4"/>
      <c r="Y119" s="4"/>
      <c r="Z119" s="4"/>
      <c r="AA119" s="4"/>
      <c r="AB119" s="4" t="str">
        <f>IFERROR(__xludf.DUMMYFUNCTION("""COMPUTED_VALUE"""),"Point 1")</f>
        <v>Point 1</v>
      </c>
      <c r="AC119" s="4">
        <f>IFERROR(__xludf.DUMMYFUNCTION("""COMPUTED_VALUE"""),11.979599)</f>
        <v>11.979599</v>
      </c>
      <c r="AD119" s="4">
        <f>IFERROR(__xludf.DUMMYFUNCTION("""COMPUTED_VALUE"""),8.559046)</f>
        <v>8.559046</v>
      </c>
      <c r="AE119" s="5" t="str">
        <f>IFERROR(__xludf.DUMMYFUNCTION("""COMPUTED_VALUE"""),"https://drive.google.com/open?id=1niTcJTHx-vQrEWMk-114HTVdM-IAE1Jc")</f>
        <v>https://drive.google.com/open?id=1niTcJTHx-vQrEWMk-114HTVdM-IAE1Jc</v>
      </c>
      <c r="AF119" s="4"/>
      <c r="AG119" s="4"/>
      <c r="AH119" s="4"/>
      <c r="AI119" s="4"/>
      <c r="AL119" s="4" t="str">
        <f t="shared" si="1"/>
        <v>Cluster 16</v>
      </c>
      <c r="AM119" s="4" t="str">
        <f t="shared" si="2"/>
        <v>ALIYU MODDIBO STREET</v>
      </c>
    </row>
    <row r="120">
      <c r="A120" s="3">
        <f>IFERROR(__xludf.DUMMYFUNCTION("""COMPUTED_VALUE"""),45877.63722365741)</f>
        <v>45877.63722</v>
      </c>
      <c r="B120" s="4" t="str">
        <f>IFERROR(__xludf.DUMMYFUNCTION("""COMPUTED_VALUE"""),"elhabs256@gmail.com")</f>
        <v>elhabs256@gmail.com</v>
      </c>
      <c r="C120" s="4" t="str">
        <f>IFERROR(__xludf.DUMMYFUNCTION("""COMPUTED_VALUE"""),"Abdullahi Elhabeeb")</f>
        <v>Abdullahi Elhabeeb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tr">
        <f>IFERROR(__xludf.DUMMYFUNCTION("""COMPUTED_VALUE"""),"Cluster 6")</f>
        <v>Cluster 6</v>
      </c>
      <c r="Q120" s="4" t="str">
        <f>IFERROR(__xludf.DUMMYFUNCTION("""COMPUTED_VALUE"""),"LAYIN MASALLACI STREET")</f>
        <v>LAYIN MASALLACI STREET</v>
      </c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 t="str">
        <f>IFERROR(__xludf.DUMMYFUNCTION("""COMPUTED_VALUE"""),"Point 2")</f>
        <v>Point 2</v>
      </c>
      <c r="AC120" s="4">
        <f>IFERROR(__xludf.DUMMYFUNCTION("""COMPUTED_VALUE"""),11.9757042)</f>
        <v>11.9757042</v>
      </c>
      <c r="AD120" s="4">
        <f>IFERROR(__xludf.DUMMYFUNCTION("""COMPUTED_VALUE"""),8.562106)</f>
        <v>8.562106</v>
      </c>
      <c r="AE120" s="5" t="str">
        <f>IFERROR(__xludf.DUMMYFUNCTION("""COMPUTED_VALUE"""),"https://drive.google.com/open?id=1G7lxPooH_vfBWcA6WMdKe2Vo-DpAuaAF")</f>
        <v>https://drive.google.com/open?id=1G7lxPooH_vfBWcA6WMdKe2Vo-DpAuaAF</v>
      </c>
      <c r="AF120" s="4"/>
      <c r="AG120" s="4"/>
      <c r="AH120" s="4"/>
      <c r="AI120" s="4"/>
      <c r="AL120" s="4" t="str">
        <f t="shared" si="1"/>
        <v>Cluster 6</v>
      </c>
      <c r="AM120" s="4" t="str">
        <f t="shared" si="2"/>
        <v>LAYIN MASALLACI STREET</v>
      </c>
    </row>
    <row r="121">
      <c r="A121" s="3">
        <f>IFERROR(__xludf.DUMMYFUNCTION("""COMPUTED_VALUE"""),45877.63173282407)</f>
        <v>45877.63173</v>
      </c>
      <c r="B121" s="4" t="str">
        <f>IFERROR(__xludf.DUMMYFUNCTION("""COMPUTED_VALUE"""),"elhabs256@gmail.com")</f>
        <v>elhabs256@gmail.com</v>
      </c>
      <c r="C121" s="4" t="str">
        <f>IFERROR(__xludf.DUMMYFUNCTION("""COMPUTED_VALUE"""),"Abdullahi Elhabeeb")</f>
        <v>Abdullahi Elhabeeb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tr">
        <f>IFERROR(__xludf.DUMMYFUNCTION("""COMPUTED_VALUE"""),"Cluster 6")</f>
        <v>Cluster 6</v>
      </c>
      <c r="Q121" s="4" t="str">
        <f>IFERROR(__xludf.DUMMYFUNCTION("""COMPUTED_VALUE"""),"LAYIN FARIN GIDA STREET")</f>
        <v>LAYIN FARIN GIDA STREET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 t="str">
        <f>IFERROR(__xludf.DUMMYFUNCTION("""COMPUTED_VALUE"""),"Point 2")</f>
        <v>Point 2</v>
      </c>
      <c r="AC121" s="4">
        <f>IFERROR(__xludf.DUMMYFUNCTION("""COMPUTED_VALUE"""),11.968354)</f>
        <v>11.968354</v>
      </c>
      <c r="AD121" s="4">
        <f>IFERROR(__xludf.DUMMYFUNCTION("""COMPUTED_VALUE"""),8.554858)</f>
        <v>8.554858</v>
      </c>
      <c r="AE121" s="5" t="str">
        <f>IFERROR(__xludf.DUMMYFUNCTION("""COMPUTED_VALUE"""),"https://drive.google.com/open?id=1gGlEUNhGTVfWmOeHY28M_CJGjzOc7YTj")</f>
        <v>https://drive.google.com/open?id=1gGlEUNhGTVfWmOeHY28M_CJGjzOc7YTj</v>
      </c>
      <c r="AF121" s="4"/>
      <c r="AG121" s="4"/>
      <c r="AH121" s="4"/>
      <c r="AI121" s="4"/>
      <c r="AL121" s="4" t="str">
        <f t="shared" si="1"/>
        <v>Cluster 6</v>
      </c>
      <c r="AM121" s="4" t="str">
        <f t="shared" si="2"/>
        <v>LAYIN FARIN GIDA STREET</v>
      </c>
    </row>
    <row r="122">
      <c r="A122" s="3">
        <f>IFERROR(__xludf.DUMMYFUNCTION("""COMPUTED_VALUE"""),45876.97103622685)</f>
        <v>45876.97104</v>
      </c>
      <c r="B122" s="4" t="str">
        <f>IFERROR(__xludf.DUMMYFUNCTION("""COMPUTED_VALUE"""),"iahmadzakari@gmail.com")</f>
        <v>iahmadzakari@gmail.com</v>
      </c>
      <c r="C122" s="4" t="str">
        <f>IFERROR(__xludf.DUMMYFUNCTION("""COMPUTED_VALUE"""),"Sadiq Ilu")</f>
        <v>Sadiq Ilu</v>
      </c>
      <c r="D122" s="4" t="str">
        <f>IFERROR(__xludf.DUMMYFUNCTION("""COMPUTED_VALUE"""),"Cluster 11")</f>
        <v>Cluster 11</v>
      </c>
      <c r="E122" s="4"/>
      <c r="F122" s="4"/>
      <c r="G122" s="4"/>
      <c r="H122" s="4" t="str">
        <f>IFERROR(__xludf.DUMMYFUNCTION("""COMPUTED_VALUE"""),"LAWAN ADAMU CLOSE")</f>
        <v>LAWAN ADAMU CLOSE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 t="str">
        <f>IFERROR(__xludf.DUMMYFUNCTION("""COMPUTED_VALUE"""),"Point 1")</f>
        <v>Point 1</v>
      </c>
      <c r="AC122" s="4">
        <f>IFERROR(__xludf.DUMMYFUNCTION("""COMPUTED_VALUE"""),11.994854)</f>
        <v>11.994854</v>
      </c>
      <c r="AD122" s="4">
        <f>IFERROR(__xludf.DUMMYFUNCTION("""COMPUTED_VALUE"""),8.566735)</f>
        <v>8.566735</v>
      </c>
      <c r="AE122" s="5" t="str">
        <f>IFERROR(__xludf.DUMMYFUNCTION("""COMPUTED_VALUE"""),"https://drive.google.com/open?id=1wtObT9e-Nq7bKpqMYl1a0VqvCPs5rLwG")</f>
        <v>https://drive.google.com/open?id=1wtObT9e-Nq7bKpqMYl1a0VqvCPs5rLwG</v>
      </c>
      <c r="AF122" s="4"/>
      <c r="AG122" s="4"/>
      <c r="AH122" s="4"/>
      <c r="AI122" s="4"/>
      <c r="AL122" s="4" t="str">
        <f t="shared" si="1"/>
        <v>Cluster 11</v>
      </c>
      <c r="AM122" s="4" t="str">
        <f t="shared" si="2"/>
        <v>LAWAN ADAMU CLOSE</v>
      </c>
    </row>
    <row r="123">
      <c r="A123" s="3">
        <f>IFERROR(__xludf.DUMMYFUNCTION("""COMPUTED_VALUE"""),45876.967930555555)</f>
        <v>45876.96793</v>
      </c>
      <c r="B123" s="4" t="str">
        <f>IFERROR(__xludf.DUMMYFUNCTION("""COMPUTED_VALUE"""),"iahmadzakari@gmail.com")</f>
        <v>iahmadzakari@gmail.com</v>
      </c>
      <c r="C123" s="4" t="str">
        <f>IFERROR(__xludf.DUMMYFUNCTION("""COMPUTED_VALUE"""),"Sadiq Ilu")</f>
        <v>Sadiq Ilu</v>
      </c>
      <c r="D123" s="4" t="str">
        <f>IFERROR(__xludf.DUMMYFUNCTION("""COMPUTED_VALUE"""),"Cluster 11")</f>
        <v>Cluster 11</v>
      </c>
      <c r="E123" s="4"/>
      <c r="F123" s="4"/>
      <c r="G123" s="4"/>
      <c r="H123" s="4" t="str">
        <f>IFERROR(__xludf.DUMMYFUNCTION("""COMPUTED_VALUE"""),"GARKO CRESCENT")</f>
        <v>GARKO CRESCENT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 t="str">
        <f>IFERROR(__xludf.DUMMYFUNCTION("""COMPUTED_VALUE"""),"Point 1")</f>
        <v>Point 1</v>
      </c>
      <c r="AC123" s="4">
        <f>IFERROR(__xludf.DUMMYFUNCTION("""COMPUTED_VALUE"""),11.99485)</f>
        <v>11.99485</v>
      </c>
      <c r="AD123" s="4">
        <f>IFERROR(__xludf.DUMMYFUNCTION("""COMPUTED_VALUE"""),8.568253)</f>
        <v>8.568253</v>
      </c>
      <c r="AE123" s="5" t="str">
        <f>IFERROR(__xludf.DUMMYFUNCTION("""COMPUTED_VALUE"""),"https://drive.google.com/open?id=1SEF03L3PVcpehqQgVducBNmxbWrO8O7C")</f>
        <v>https://drive.google.com/open?id=1SEF03L3PVcpehqQgVducBNmxbWrO8O7C</v>
      </c>
      <c r="AF123" s="4"/>
      <c r="AG123" s="4"/>
      <c r="AH123" s="4"/>
      <c r="AI123" s="4"/>
      <c r="AL123" s="4" t="str">
        <f t="shared" si="1"/>
        <v>Cluster 11</v>
      </c>
      <c r="AM123" s="4" t="str">
        <f t="shared" si="2"/>
        <v>GARKO CRESCENT</v>
      </c>
    </row>
    <row r="124">
      <c r="A124" s="3">
        <f>IFERROR(__xludf.DUMMYFUNCTION("""COMPUTED_VALUE"""),45876.9662919213)</f>
        <v>45876.96629</v>
      </c>
      <c r="B124" s="4" t="str">
        <f>IFERROR(__xludf.DUMMYFUNCTION("""COMPUTED_VALUE"""),"iahmadzakari@gmail.com")</f>
        <v>iahmadzakari@gmail.com</v>
      </c>
      <c r="C124" s="4" t="str">
        <f>IFERROR(__xludf.DUMMYFUNCTION("""COMPUTED_VALUE"""),"Sadiq Ilu")</f>
        <v>Sadiq Ilu</v>
      </c>
      <c r="D124" s="4" t="str">
        <f>IFERROR(__xludf.DUMMYFUNCTION("""COMPUTED_VALUE"""),"Cluster 11")</f>
        <v>Cluster 11</v>
      </c>
      <c r="E124" s="4"/>
      <c r="F124" s="4"/>
      <c r="G124" s="4"/>
      <c r="H124" s="4" t="str">
        <f>IFERROR(__xludf.DUMMYFUNCTION("""COMPUTED_VALUE"""),"USMAN YARHIYA LINK")</f>
        <v>USMAN YARHIYA LINK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 t="str">
        <f>IFERROR(__xludf.DUMMYFUNCTION("""COMPUTED_VALUE"""),"Point 2")</f>
        <v>Point 2</v>
      </c>
      <c r="AC124" s="4">
        <f>IFERROR(__xludf.DUMMYFUNCTION("""COMPUTED_VALUE"""),11.994813)</f>
        <v>11.994813</v>
      </c>
      <c r="AD124" s="4">
        <f>IFERROR(__xludf.DUMMYFUNCTION("""COMPUTED_VALUE"""),8.568119)</f>
        <v>8.568119</v>
      </c>
      <c r="AE124" s="5" t="str">
        <f>IFERROR(__xludf.DUMMYFUNCTION("""COMPUTED_VALUE"""),"https://drive.google.com/open?id=1lk0srWnB40JpSEt8z9_xRL1TZJud-EzC")</f>
        <v>https://drive.google.com/open?id=1lk0srWnB40JpSEt8z9_xRL1TZJud-EzC</v>
      </c>
      <c r="AF124" s="4"/>
      <c r="AG124" s="4"/>
      <c r="AH124" s="4"/>
      <c r="AI124" s="4"/>
      <c r="AL124" s="4" t="str">
        <f t="shared" si="1"/>
        <v>Cluster 11</v>
      </c>
      <c r="AM124" s="4" t="str">
        <f t="shared" si="2"/>
        <v>USMAN YARHIYA LINK</v>
      </c>
    </row>
    <row r="125">
      <c r="A125" s="3">
        <f>IFERROR(__xludf.DUMMYFUNCTION("""COMPUTED_VALUE"""),45876.96483261574)</f>
        <v>45876.96483</v>
      </c>
      <c r="B125" s="4" t="str">
        <f>IFERROR(__xludf.DUMMYFUNCTION("""COMPUTED_VALUE"""),"iahmadzakari@gmail.com")</f>
        <v>iahmadzakari@gmail.com</v>
      </c>
      <c r="C125" s="4" t="str">
        <f>IFERROR(__xludf.DUMMYFUNCTION("""COMPUTED_VALUE"""),"Sadiq Ilu")</f>
        <v>Sadiq Ilu</v>
      </c>
      <c r="D125" s="4" t="str">
        <f>IFERROR(__xludf.DUMMYFUNCTION("""COMPUTED_VALUE"""),"Cluster 11")</f>
        <v>Cluster 11</v>
      </c>
      <c r="E125" s="4"/>
      <c r="F125" s="4"/>
      <c r="G125" s="4"/>
      <c r="H125" s="4" t="str">
        <f>IFERROR(__xludf.DUMMYFUNCTION("""COMPUTED_VALUE"""),"USMAN YARHIYA LINK")</f>
        <v>USMAN YARHIYA LINK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 t="str">
        <f>IFERROR(__xludf.DUMMYFUNCTION("""COMPUTED_VALUE"""),"Point 1")</f>
        <v>Point 1</v>
      </c>
      <c r="AC125" s="4">
        <f>IFERROR(__xludf.DUMMYFUNCTION("""COMPUTED_VALUE"""),11.993056)</f>
        <v>11.993056</v>
      </c>
      <c r="AD125" s="4">
        <f>IFERROR(__xludf.DUMMYFUNCTION("""COMPUTED_VALUE"""),8.568222)</f>
        <v>8.568222</v>
      </c>
      <c r="AE125" s="5" t="str">
        <f>IFERROR(__xludf.DUMMYFUNCTION("""COMPUTED_VALUE"""),"https://drive.google.com/open?id=174NP1A32WCfIvU1aKXg6R8UlkyGVByvX")</f>
        <v>https://drive.google.com/open?id=174NP1A32WCfIvU1aKXg6R8UlkyGVByvX</v>
      </c>
      <c r="AF125" s="4"/>
      <c r="AG125" s="4"/>
      <c r="AH125" s="4"/>
      <c r="AI125" s="4"/>
      <c r="AL125" s="4" t="str">
        <f t="shared" si="1"/>
        <v>Cluster 11</v>
      </c>
      <c r="AM125" s="4" t="str">
        <f t="shared" si="2"/>
        <v>USMAN YARHIYA LINK</v>
      </c>
    </row>
    <row r="126">
      <c r="A126" s="3">
        <f>IFERROR(__xludf.DUMMYFUNCTION("""COMPUTED_VALUE"""),45876.963356064814)</f>
        <v>45876.96336</v>
      </c>
      <c r="B126" s="4" t="str">
        <f>IFERROR(__xludf.DUMMYFUNCTION("""COMPUTED_VALUE"""),"iahmadzakari@gmail.com")</f>
        <v>iahmadzakari@gmail.com</v>
      </c>
      <c r="C126" s="4" t="str">
        <f>IFERROR(__xludf.DUMMYFUNCTION("""COMPUTED_VALUE"""),"Sadiq Ilu")</f>
        <v>Sadiq Ilu</v>
      </c>
      <c r="D126" s="4" t="str">
        <f>IFERROR(__xludf.DUMMYFUNCTION("""COMPUTED_VALUE"""),"Cluster 8")</f>
        <v>Cluster 8</v>
      </c>
      <c r="E126" s="4"/>
      <c r="F126" s="4"/>
      <c r="G126" s="4" t="str">
        <f>IFERROR(__xludf.DUMMYFUNCTION("""COMPUTED_VALUE"""),"OLD COURT ROAD")</f>
        <v>OLD COURT ROAD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 t="str">
        <f>IFERROR(__xludf.DUMMYFUNCTION("""COMPUTED_VALUE"""),"Point 2")</f>
        <v>Point 2</v>
      </c>
      <c r="AC126" s="4">
        <f>IFERROR(__xludf.DUMMYFUNCTION("""COMPUTED_VALUE"""),12.025643)</f>
        <v>12.025643</v>
      </c>
      <c r="AD126" s="4">
        <f>IFERROR(__xludf.DUMMYFUNCTION("""COMPUTED_VALUE"""),8.536195)</f>
        <v>8.536195</v>
      </c>
      <c r="AE126" s="5" t="str">
        <f>IFERROR(__xludf.DUMMYFUNCTION("""COMPUTED_VALUE"""),"https://drive.google.com/open?id=1D6HecYFwGmhXgXcmGMPMCha9gIKEFh2u")</f>
        <v>https://drive.google.com/open?id=1D6HecYFwGmhXgXcmGMPMCha9gIKEFh2u</v>
      </c>
      <c r="AF126" s="4"/>
      <c r="AG126" s="4"/>
      <c r="AH126" s="4"/>
      <c r="AI126" s="4"/>
      <c r="AL126" s="4" t="str">
        <f t="shared" si="1"/>
        <v>Cluster 8</v>
      </c>
      <c r="AM126" s="4" t="str">
        <f t="shared" si="2"/>
        <v>OLD COURT ROAD</v>
      </c>
    </row>
    <row r="127">
      <c r="A127" s="3">
        <f>IFERROR(__xludf.DUMMYFUNCTION("""COMPUTED_VALUE"""),45876.96108168981)</f>
        <v>45876.96108</v>
      </c>
      <c r="B127" s="4" t="str">
        <f>IFERROR(__xludf.DUMMYFUNCTION("""COMPUTED_VALUE"""),"iahmadzakari@gmail.com")</f>
        <v>iahmadzakari@gmail.com</v>
      </c>
      <c r="C127" s="4" t="str">
        <f>IFERROR(__xludf.DUMMYFUNCTION("""COMPUTED_VALUE"""),"Sadiq Ilu")</f>
        <v>Sadiq Ilu</v>
      </c>
      <c r="D127" s="4" t="str">
        <f>IFERROR(__xludf.DUMMYFUNCTION("""COMPUTED_VALUE"""),"Cluster 8")</f>
        <v>Cluster 8</v>
      </c>
      <c r="E127" s="4"/>
      <c r="F127" s="4"/>
      <c r="G127" s="4" t="str">
        <f>IFERROR(__xludf.DUMMYFUNCTION("""COMPUTED_VALUE"""),"OLD COURT ROAD")</f>
        <v>OLD COURT ROAD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 t="str">
        <f>IFERROR(__xludf.DUMMYFUNCTION("""COMPUTED_VALUE"""),"Point 1")</f>
        <v>Point 1</v>
      </c>
      <c r="AC127" s="4">
        <f>IFERROR(__xludf.DUMMYFUNCTION("""COMPUTED_VALUE"""),12.025736)</f>
        <v>12.025736</v>
      </c>
      <c r="AD127" s="4">
        <f>IFERROR(__xludf.DUMMYFUNCTION("""COMPUTED_VALUE"""),8.534536)</f>
        <v>8.534536</v>
      </c>
      <c r="AE127" s="5" t="str">
        <f>IFERROR(__xludf.DUMMYFUNCTION("""COMPUTED_VALUE"""),"https://drive.google.com/open?id=1SS9ERGWz7_Bp5GUQpRHLDjJCpkOSUsM-")</f>
        <v>https://drive.google.com/open?id=1SS9ERGWz7_Bp5GUQpRHLDjJCpkOSUsM-</v>
      </c>
      <c r="AF127" s="4"/>
      <c r="AG127" s="4"/>
      <c r="AH127" s="4"/>
      <c r="AI127" s="4"/>
      <c r="AL127" s="4" t="str">
        <f t="shared" si="1"/>
        <v>Cluster 8</v>
      </c>
      <c r="AM127" s="4" t="str">
        <f t="shared" si="2"/>
        <v>OLD COURT ROAD</v>
      </c>
    </row>
    <row r="128">
      <c r="A128" s="3">
        <f>IFERROR(__xludf.DUMMYFUNCTION("""COMPUTED_VALUE"""),45876.95992934028)</f>
        <v>45876.95993</v>
      </c>
      <c r="B128" s="4" t="str">
        <f>IFERROR(__xludf.DUMMYFUNCTION("""COMPUTED_VALUE"""),"iahmadzakari@gmail.com")</f>
        <v>iahmadzakari@gmail.com</v>
      </c>
      <c r="C128" s="4" t="str">
        <f>IFERROR(__xludf.DUMMYFUNCTION("""COMPUTED_VALUE"""),"Sadiq Ilu")</f>
        <v>Sadiq Ilu</v>
      </c>
      <c r="D128" s="4" t="str">
        <f>IFERROR(__xludf.DUMMYFUNCTION("""COMPUTED_VALUE"""),"Cluster 8")</f>
        <v>Cluster 8</v>
      </c>
      <c r="E128" s="4"/>
      <c r="F128" s="4"/>
      <c r="G128" s="4" t="str">
        <f>IFERROR(__xludf.DUMMYFUNCTION("""COMPUTED_VALUE"""),"YOLA STREET")</f>
        <v>YOLA STREET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 t="str">
        <f>IFERROR(__xludf.DUMMYFUNCTION("""COMPUTED_VALUE"""),"Point 2")</f>
        <v>Point 2</v>
      </c>
      <c r="AC128" s="4">
        <f>IFERROR(__xludf.DUMMYFUNCTION("""COMPUTED_VALUE"""),12.026479)</f>
        <v>12.026479</v>
      </c>
      <c r="AD128" s="4">
        <f>IFERROR(__xludf.DUMMYFUNCTION("""COMPUTED_VALUE"""),8.536214)</f>
        <v>8.536214</v>
      </c>
      <c r="AE128" s="5" t="str">
        <f>IFERROR(__xludf.DUMMYFUNCTION("""COMPUTED_VALUE"""),"https://drive.google.com/open?id=1VecLgEEI8eLOBEWuCiw3uBaPjmere-L6")</f>
        <v>https://drive.google.com/open?id=1VecLgEEI8eLOBEWuCiw3uBaPjmere-L6</v>
      </c>
      <c r="AF128" s="4"/>
      <c r="AG128" s="4"/>
      <c r="AH128" s="4"/>
      <c r="AI128" s="4"/>
      <c r="AL128" s="4" t="str">
        <f t="shared" si="1"/>
        <v>Cluster 8</v>
      </c>
      <c r="AM128" s="4" t="str">
        <f t="shared" si="2"/>
        <v>YOLA STREET</v>
      </c>
    </row>
    <row r="129">
      <c r="A129" s="3">
        <f>IFERROR(__xludf.DUMMYFUNCTION("""COMPUTED_VALUE"""),45876.95878045139)</f>
        <v>45876.95878</v>
      </c>
      <c r="B129" s="4" t="str">
        <f>IFERROR(__xludf.DUMMYFUNCTION("""COMPUTED_VALUE"""),"iahmadzakari@gmail.com")</f>
        <v>iahmadzakari@gmail.com</v>
      </c>
      <c r="C129" s="4" t="str">
        <f>IFERROR(__xludf.DUMMYFUNCTION("""COMPUTED_VALUE"""),"Sadiq Ilu")</f>
        <v>Sadiq Ilu</v>
      </c>
      <c r="D129" s="4" t="str">
        <f>IFERROR(__xludf.DUMMYFUNCTION("""COMPUTED_VALUE"""),"Cluster 8")</f>
        <v>Cluster 8</v>
      </c>
      <c r="E129" s="4"/>
      <c r="F129" s="4"/>
      <c r="G129" s="4" t="str">
        <f>IFERROR(__xludf.DUMMYFUNCTION("""COMPUTED_VALUE"""),"ABARABA STREET")</f>
        <v>ABARABA STREET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 t="str">
        <f>IFERROR(__xludf.DUMMYFUNCTION("""COMPUTED_VALUE"""),"Point 2")</f>
        <v>Point 2</v>
      </c>
      <c r="AC129" s="4">
        <f>IFERROR(__xludf.DUMMYFUNCTION("""COMPUTED_VALUE"""),12.029617)</f>
        <v>12.029617</v>
      </c>
      <c r="AD129" s="4">
        <f>IFERROR(__xludf.DUMMYFUNCTION("""COMPUTED_VALUE"""),8.533699)</f>
        <v>8.533699</v>
      </c>
      <c r="AE129" s="5" t="str">
        <f>IFERROR(__xludf.DUMMYFUNCTION("""COMPUTED_VALUE"""),"https://drive.google.com/open?id=13KeX3A93_8v70SH9Ucj3khwjC4n1Rsh8")</f>
        <v>https://drive.google.com/open?id=13KeX3A93_8v70SH9Ucj3khwjC4n1Rsh8</v>
      </c>
      <c r="AF129" s="4"/>
      <c r="AG129" s="4"/>
      <c r="AH129" s="4"/>
      <c r="AI129" s="4"/>
      <c r="AL129" s="4" t="str">
        <f t="shared" si="1"/>
        <v>Cluster 8</v>
      </c>
      <c r="AM129" s="4" t="str">
        <f t="shared" si="2"/>
        <v>ABARABA STREET</v>
      </c>
    </row>
    <row r="130">
      <c r="A130" s="3">
        <f>IFERROR(__xludf.DUMMYFUNCTION("""COMPUTED_VALUE"""),45876.95756243056)</f>
        <v>45876.95756</v>
      </c>
      <c r="B130" s="4" t="str">
        <f>IFERROR(__xludf.DUMMYFUNCTION("""COMPUTED_VALUE"""),"iahmadzakari@gmail.com")</f>
        <v>iahmadzakari@gmail.com</v>
      </c>
      <c r="C130" s="4" t="str">
        <f>IFERROR(__xludf.DUMMYFUNCTION("""COMPUTED_VALUE"""),"Sadiq Ilu")</f>
        <v>Sadiq Ilu</v>
      </c>
      <c r="D130" s="4" t="str">
        <f>IFERROR(__xludf.DUMMYFUNCTION("""COMPUTED_VALUE"""),"Cluster 8")</f>
        <v>Cluster 8</v>
      </c>
      <c r="E130" s="4"/>
      <c r="F130" s="4"/>
      <c r="G130" s="4" t="str">
        <f>IFERROR(__xludf.DUMMYFUNCTION("""COMPUTED_VALUE"""),"ABARABA STREET")</f>
        <v>ABARABA STREET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 t="str">
        <f>IFERROR(__xludf.DUMMYFUNCTION("""COMPUTED_VALUE"""),"Point 1")</f>
        <v>Point 1</v>
      </c>
      <c r="AC130" s="4">
        <f>IFERROR(__xludf.DUMMYFUNCTION("""COMPUTED_VALUE"""),12.028591)</f>
        <v>12.028591</v>
      </c>
      <c r="AD130" s="4">
        <f>IFERROR(__xludf.DUMMYFUNCTION("""COMPUTED_VALUE"""),8.533993)</f>
        <v>8.533993</v>
      </c>
      <c r="AE130" s="5" t="str">
        <f>IFERROR(__xludf.DUMMYFUNCTION("""COMPUTED_VALUE"""),"https://drive.google.com/open?id=1qkq72lxBXkM4yCyC4-iUY_J4CqG5MbOT")</f>
        <v>https://drive.google.com/open?id=1qkq72lxBXkM4yCyC4-iUY_J4CqG5MbOT</v>
      </c>
      <c r="AF130" s="4"/>
      <c r="AG130" s="4"/>
      <c r="AH130" s="4"/>
      <c r="AI130" s="4"/>
      <c r="AL130" s="4" t="str">
        <f t="shared" si="1"/>
        <v>Cluster 8</v>
      </c>
      <c r="AM130" s="4" t="str">
        <f t="shared" si="2"/>
        <v>ABARABA STREET</v>
      </c>
    </row>
    <row r="131">
      <c r="A131" s="3">
        <f>IFERROR(__xludf.DUMMYFUNCTION("""COMPUTED_VALUE"""),45876.956122766205)</f>
        <v>45876.95612</v>
      </c>
      <c r="B131" s="4" t="str">
        <f>IFERROR(__xludf.DUMMYFUNCTION("""COMPUTED_VALUE"""),"iahmadzakari@gmail.com")</f>
        <v>iahmadzakari@gmail.com</v>
      </c>
      <c r="C131" s="4" t="str">
        <f>IFERROR(__xludf.DUMMYFUNCTION("""COMPUTED_VALUE"""),"Sadiq Ilu")</f>
        <v>Sadiq Ilu</v>
      </c>
      <c r="D131" s="4" t="str">
        <f>IFERROR(__xludf.DUMMYFUNCTION("""COMPUTED_VALUE"""),"Cluster 8")</f>
        <v>Cluster 8</v>
      </c>
      <c r="E131" s="4"/>
      <c r="F131" s="4"/>
      <c r="G131" s="4" t="str">
        <f>IFERROR(__xludf.DUMMYFUNCTION("""COMPUTED_VALUE"""),"YOLA STREET")</f>
        <v>YOLA STREET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 t="str">
        <f>IFERROR(__xludf.DUMMYFUNCTION("""COMPUTED_VALUE"""),"Point 1")</f>
        <v>Point 1</v>
      </c>
      <c r="AC131" s="4">
        <f>IFERROR(__xludf.DUMMYFUNCTION("""COMPUTED_VALUE"""),12.015233)</f>
        <v>12.015233</v>
      </c>
      <c r="AD131" s="4">
        <f>IFERROR(__xludf.DUMMYFUNCTION("""COMPUTED_VALUE"""),8.53624)</f>
        <v>8.53624</v>
      </c>
      <c r="AE131" s="5" t="str">
        <f>IFERROR(__xludf.DUMMYFUNCTION("""COMPUTED_VALUE"""),"https://drive.google.com/open?id=1s-S52-1C7FRk4WCkdrNR-wZeOFr2M85z")</f>
        <v>https://drive.google.com/open?id=1s-S52-1C7FRk4WCkdrNR-wZeOFr2M85z</v>
      </c>
      <c r="AF131" s="4"/>
      <c r="AG131" s="4"/>
      <c r="AH131" s="4"/>
      <c r="AI131" s="4"/>
      <c r="AL131" s="4" t="str">
        <f t="shared" si="1"/>
        <v>Cluster 8</v>
      </c>
      <c r="AM131" s="4" t="str">
        <f t="shared" si="2"/>
        <v>YOLA STREET</v>
      </c>
    </row>
    <row r="132">
      <c r="A132" s="3">
        <f>IFERROR(__xludf.DUMMYFUNCTION("""COMPUTED_VALUE"""),45876.95420415509)</f>
        <v>45876.9542</v>
      </c>
      <c r="B132" s="4" t="str">
        <f>IFERROR(__xludf.DUMMYFUNCTION("""COMPUTED_VALUE"""),"iahmadzakari@gmail.com")</f>
        <v>iahmadzakari@gmail.com</v>
      </c>
      <c r="C132" s="4" t="str">
        <f>IFERROR(__xludf.DUMMYFUNCTION("""COMPUTED_VALUE"""),"Sadiq Ilu")</f>
        <v>Sadiq Ilu</v>
      </c>
      <c r="D132" s="4" t="str">
        <f>IFERROR(__xludf.DUMMYFUNCTION("""COMPUTED_VALUE"""),"Cluster 11")</f>
        <v>Cluster 11</v>
      </c>
      <c r="E132" s="4"/>
      <c r="F132" s="4"/>
      <c r="G132" s="4"/>
      <c r="H132" s="4" t="str">
        <f>IFERROR(__xludf.DUMMYFUNCTION("""COMPUTED_VALUE"""),"SANI ABACHA WAY")</f>
        <v>SANI ABACHA WAY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 t="str">
        <f>IFERROR(__xludf.DUMMYFUNCTION("""COMPUTED_VALUE"""),"Point 2")</f>
        <v>Point 2</v>
      </c>
      <c r="AC132" s="4">
        <f>IFERROR(__xludf.DUMMYFUNCTION("""COMPUTED_VALUE"""),12.014038)</f>
        <v>12.014038</v>
      </c>
      <c r="AD132" s="4">
        <f>IFERROR(__xludf.DUMMYFUNCTION("""COMPUTED_VALUE"""),8.543422)</f>
        <v>8.543422</v>
      </c>
      <c r="AE132" s="5" t="str">
        <f>IFERROR(__xludf.DUMMYFUNCTION("""COMPUTED_VALUE"""),"https://drive.google.com/open?id=12Idu7frGu236O90sIkgSV4NzD-RLTW9Y")</f>
        <v>https://drive.google.com/open?id=12Idu7frGu236O90sIkgSV4NzD-RLTW9Y</v>
      </c>
      <c r="AF132" s="4"/>
      <c r="AG132" s="4"/>
      <c r="AH132" s="4"/>
      <c r="AI132" s="4"/>
      <c r="AL132" s="4" t="str">
        <f t="shared" si="1"/>
        <v>Cluster 11</v>
      </c>
      <c r="AM132" s="4" t="str">
        <f t="shared" si="2"/>
        <v>SANI ABACHA WAY</v>
      </c>
    </row>
    <row r="133">
      <c r="A133" s="3">
        <f>IFERROR(__xludf.DUMMYFUNCTION("""COMPUTED_VALUE"""),45876.95268126157)</f>
        <v>45876.95268</v>
      </c>
      <c r="B133" s="4" t="str">
        <f>IFERROR(__xludf.DUMMYFUNCTION("""COMPUTED_VALUE"""),"iahmadzakari@gmail.com")</f>
        <v>iahmadzakari@gmail.com</v>
      </c>
      <c r="C133" s="4" t="str">
        <f>IFERROR(__xludf.DUMMYFUNCTION("""COMPUTED_VALUE"""),"Sadiq Ilu")</f>
        <v>Sadiq Ilu</v>
      </c>
      <c r="D133" s="4" t="str">
        <f>IFERROR(__xludf.DUMMYFUNCTION("""COMPUTED_VALUE"""),"Cluster 8")</f>
        <v>Cluster 8</v>
      </c>
      <c r="E133" s="4"/>
      <c r="F133" s="4"/>
      <c r="G133" s="4" t="str">
        <f>IFERROR(__xludf.DUMMYFUNCTION("""COMPUTED_VALUE"""),"LAMIDO ROAD")</f>
        <v>LAMIDO ROAD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 t="str">
        <f>IFERROR(__xludf.DUMMYFUNCTION("""COMPUTED_VALUE"""),"Point 2")</f>
        <v>Point 2</v>
      </c>
      <c r="AC133" s="4">
        <f>IFERROR(__xludf.DUMMYFUNCTION("""COMPUTED_VALUE"""),11.992041)</f>
        <v>11.992041</v>
      </c>
      <c r="AD133" s="4">
        <f>IFERROR(__xludf.DUMMYFUNCTION("""COMPUTED_VALUE"""),8.563194)</f>
        <v>8.563194</v>
      </c>
      <c r="AE133" s="5" t="str">
        <f>IFERROR(__xludf.DUMMYFUNCTION("""COMPUTED_VALUE"""),"https://drive.google.com/open?id=1qS1wR9DR6GfIfdCkGkA46xmtHy0X4ASa")</f>
        <v>https://drive.google.com/open?id=1qS1wR9DR6GfIfdCkGkA46xmtHy0X4ASa</v>
      </c>
      <c r="AF133" s="4"/>
      <c r="AG133" s="4"/>
      <c r="AH133" s="4"/>
      <c r="AI133" s="4"/>
      <c r="AL133" s="4" t="str">
        <f t="shared" si="1"/>
        <v>Cluster 8</v>
      </c>
      <c r="AM133" s="4" t="str">
        <f t="shared" si="2"/>
        <v>LAMIDO ROAD</v>
      </c>
    </row>
    <row r="134">
      <c r="A134" s="3">
        <f>IFERROR(__xludf.DUMMYFUNCTION("""COMPUTED_VALUE"""),45876.95044071759)</f>
        <v>45876.95044</v>
      </c>
      <c r="B134" s="4" t="str">
        <f>IFERROR(__xludf.DUMMYFUNCTION("""COMPUTED_VALUE"""),"iahmadzakari@gmail.com")</f>
        <v>iahmadzakari@gmail.com</v>
      </c>
      <c r="C134" s="4" t="str">
        <f>IFERROR(__xludf.DUMMYFUNCTION("""COMPUTED_VALUE"""),"Sadiq Ilu")</f>
        <v>Sadiq Ilu</v>
      </c>
      <c r="D134" s="4" t="str">
        <f>IFERROR(__xludf.DUMMYFUNCTION("""COMPUTED_VALUE"""),"Cluster 8")</f>
        <v>Cluster 8</v>
      </c>
      <c r="E134" s="4"/>
      <c r="F134" s="4"/>
      <c r="G134" s="4" t="str">
        <f>IFERROR(__xludf.DUMMYFUNCTION("""COMPUTED_VALUE"""),"MUHAMMED ALI ROAD")</f>
        <v>MUHAMMED ALI ROAD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 t="str">
        <f>IFERROR(__xludf.DUMMYFUNCTION("""COMPUTED_VALUE"""),"Point 2")</f>
        <v>Point 2</v>
      </c>
      <c r="AC134" s="4">
        <f>IFERROR(__xludf.DUMMYFUNCTION("""COMPUTED_VALUE"""),12.009168)</f>
        <v>12.009168</v>
      </c>
      <c r="AD134" s="4">
        <f>IFERROR(__xludf.DUMMYFUNCTION("""COMPUTED_VALUE"""),8.55093)</f>
        <v>8.55093</v>
      </c>
      <c r="AE134" s="5" t="str">
        <f>IFERROR(__xludf.DUMMYFUNCTION("""COMPUTED_VALUE"""),"https://drive.google.com/open?id=16sOZj9zrEfPtmXREQz93kcgWnfO_SbBM")</f>
        <v>https://drive.google.com/open?id=16sOZj9zrEfPtmXREQz93kcgWnfO_SbBM</v>
      </c>
      <c r="AF134" s="4"/>
      <c r="AG134" s="4"/>
      <c r="AH134" s="4"/>
      <c r="AI134" s="4"/>
      <c r="AL134" s="4" t="str">
        <f t="shared" si="1"/>
        <v>Cluster 8</v>
      </c>
      <c r="AM134" s="4" t="str">
        <f t="shared" si="2"/>
        <v>MUHAMMED ALI ROAD</v>
      </c>
    </row>
    <row r="135">
      <c r="A135" s="3">
        <f>IFERROR(__xludf.DUMMYFUNCTION("""COMPUTED_VALUE"""),45876.94931836806)</f>
        <v>45876.94932</v>
      </c>
      <c r="B135" s="4" t="str">
        <f>IFERROR(__xludf.DUMMYFUNCTION("""COMPUTED_VALUE"""),"iahmadzakari@gmail.com")</f>
        <v>iahmadzakari@gmail.com</v>
      </c>
      <c r="C135" s="4" t="str">
        <f>IFERROR(__xludf.DUMMYFUNCTION("""COMPUTED_VALUE"""),"Sadiq Ilu")</f>
        <v>Sadiq Ilu</v>
      </c>
      <c r="D135" s="4" t="str">
        <f>IFERROR(__xludf.DUMMYFUNCTION("""COMPUTED_VALUE"""),"Cluster 8")</f>
        <v>Cluster 8</v>
      </c>
      <c r="E135" s="4"/>
      <c r="F135" s="4"/>
      <c r="G135" s="4" t="str">
        <f>IFERROR(__xludf.DUMMYFUNCTION("""COMPUTED_VALUE"""),"MUHAMMED ALI ROAD")</f>
        <v>MUHAMMED ALI ROAD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 t="str">
        <f>IFERROR(__xludf.DUMMYFUNCTION("""COMPUTED_VALUE"""),"Point 1")</f>
        <v>Point 1</v>
      </c>
      <c r="AC135" s="4">
        <f>IFERROR(__xludf.DUMMYFUNCTION("""COMPUTED_VALUE"""),12.008588)</f>
        <v>12.008588</v>
      </c>
      <c r="AD135" s="4">
        <f>IFERROR(__xludf.DUMMYFUNCTION("""COMPUTED_VALUE"""),8.556386)</f>
        <v>8.556386</v>
      </c>
      <c r="AE135" s="5" t="str">
        <f>IFERROR(__xludf.DUMMYFUNCTION("""COMPUTED_VALUE"""),"https://drive.google.com/open?id=1-DH1EMYm9pNJp_nShFgr_HgROLkgNGJC")</f>
        <v>https://drive.google.com/open?id=1-DH1EMYm9pNJp_nShFgr_HgROLkgNGJC</v>
      </c>
      <c r="AF135" s="4"/>
      <c r="AG135" s="4"/>
      <c r="AH135" s="4"/>
      <c r="AI135" s="4"/>
      <c r="AL135" s="4" t="str">
        <f t="shared" si="1"/>
        <v>Cluster 8</v>
      </c>
      <c r="AM135" s="4" t="str">
        <f t="shared" si="2"/>
        <v>MUHAMMED ALI ROAD</v>
      </c>
    </row>
    <row r="136">
      <c r="A136" s="3">
        <f>IFERROR(__xludf.DUMMYFUNCTION("""COMPUTED_VALUE"""),45876.94791224537)</f>
        <v>45876.94791</v>
      </c>
      <c r="B136" s="4" t="str">
        <f>IFERROR(__xludf.DUMMYFUNCTION("""COMPUTED_VALUE"""),"iahmadzakari@gmail.com")</f>
        <v>iahmadzakari@gmail.com</v>
      </c>
      <c r="C136" s="4" t="str">
        <f>IFERROR(__xludf.DUMMYFUNCTION("""COMPUTED_VALUE"""),"Sadiq Ilu")</f>
        <v>Sadiq Ilu</v>
      </c>
      <c r="D136" s="4" t="str">
        <f>IFERROR(__xludf.DUMMYFUNCTION("""COMPUTED_VALUE"""),"Cluster 8")</f>
        <v>Cluster 8</v>
      </c>
      <c r="E136" s="4"/>
      <c r="F136" s="4"/>
      <c r="G136" s="4" t="str">
        <f>IFERROR(__xludf.DUMMYFUNCTION("""COMPUTED_VALUE"""),"AVM. MUKHTAR MUHAMMAD CLOSE")</f>
        <v>AVM. MUKHTAR MUHAMMAD CLOSE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 t="str">
        <f>IFERROR(__xludf.DUMMYFUNCTION("""COMPUTED_VALUE"""),"Point 1")</f>
        <v>Point 1</v>
      </c>
      <c r="AC136" s="4">
        <f>IFERROR(__xludf.DUMMYFUNCTION("""COMPUTED_VALUE"""),12.003801)</f>
        <v>12.003801</v>
      </c>
      <c r="AD136" s="4">
        <f>IFERROR(__xludf.DUMMYFUNCTION("""COMPUTED_VALUE"""),8.561049)</f>
        <v>8.561049</v>
      </c>
      <c r="AE136" s="5" t="str">
        <f>IFERROR(__xludf.DUMMYFUNCTION("""COMPUTED_VALUE"""),"https://drive.google.com/open?id=1qH88Yowyfyn3d3DTGCOVireXGikZtHNq")</f>
        <v>https://drive.google.com/open?id=1qH88Yowyfyn3d3DTGCOVireXGikZtHNq</v>
      </c>
      <c r="AF136" s="4"/>
      <c r="AG136" s="4"/>
      <c r="AH136" s="4"/>
      <c r="AI136" s="4"/>
      <c r="AL136" s="4" t="str">
        <f t="shared" si="1"/>
        <v>Cluster 8</v>
      </c>
      <c r="AM136" s="4" t="str">
        <f t="shared" si="2"/>
        <v>AVM. MUKHTAR MUHAMMAD CLOSE</v>
      </c>
    </row>
    <row r="137">
      <c r="A137" s="3">
        <f>IFERROR(__xludf.DUMMYFUNCTION("""COMPUTED_VALUE"""),45876.931860717596)</f>
        <v>45876.93186</v>
      </c>
      <c r="B137" s="4" t="str">
        <f>IFERROR(__xludf.DUMMYFUNCTION("""COMPUTED_VALUE"""),"ajisadiqdala@gmail.com")</f>
        <v>ajisadiqdala@gmail.com</v>
      </c>
      <c r="C137" s="4" t="str">
        <f>IFERROR(__xludf.DUMMYFUNCTION("""COMPUTED_VALUE"""),"Sadiq Dala")</f>
        <v>Sadiq Dala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 t="str">
        <f>IFERROR(__xludf.DUMMYFUNCTION("""COMPUTED_VALUE"""),"Cluster 9")</f>
        <v>Cluster 9</v>
      </c>
      <c r="W137" s="4"/>
      <c r="X137" s="4" t="str">
        <f>IFERROR(__xludf.DUMMYFUNCTION("""COMPUTED_VALUE"""),"BELLO DAN DAGO ROAD")</f>
        <v>BELLO DAN DAGO ROAD</v>
      </c>
      <c r="Y137" s="4"/>
      <c r="Z137" s="4"/>
      <c r="AA137" s="4"/>
      <c r="AB137" s="4" t="str">
        <f>IFERROR(__xludf.DUMMYFUNCTION("""COMPUTED_VALUE"""),"Point 2")</f>
        <v>Point 2</v>
      </c>
      <c r="AC137" s="4">
        <f>IFERROR(__xludf.DUMMYFUNCTION("""COMPUTED_VALUE"""),12.007244)</f>
        <v>12.007244</v>
      </c>
      <c r="AD137" s="4">
        <f>IFERROR(__xludf.DUMMYFUNCTION("""COMPUTED_VALUE"""),8.532437)</f>
        <v>8.532437</v>
      </c>
      <c r="AE137" s="5" t="str">
        <f>IFERROR(__xludf.DUMMYFUNCTION("""COMPUTED_VALUE"""),"https://drive.google.com/open?id=1FSnCkXID0Gx9zxupZcUbZz55uSEzJtei")</f>
        <v>https://drive.google.com/open?id=1FSnCkXID0Gx9zxupZcUbZz55uSEzJtei</v>
      </c>
      <c r="AF137" s="4"/>
      <c r="AG137" s="4"/>
      <c r="AH137" s="4"/>
      <c r="AI137" s="4"/>
      <c r="AL137" s="4" t="str">
        <f t="shared" si="1"/>
        <v>Cluster 9</v>
      </c>
      <c r="AM137" s="4" t="str">
        <f t="shared" si="2"/>
        <v>BELLO DAN DAGO ROAD</v>
      </c>
    </row>
    <row r="138">
      <c r="A138" s="3">
        <f>IFERROR(__xludf.DUMMYFUNCTION("""COMPUTED_VALUE"""),45876.930618425926)</f>
        <v>45876.93062</v>
      </c>
      <c r="B138" s="4" t="str">
        <f>IFERROR(__xludf.DUMMYFUNCTION("""COMPUTED_VALUE"""),"ajisadiqdala@gmail.com")</f>
        <v>ajisadiqdala@gmail.com</v>
      </c>
      <c r="C138" s="4" t="str">
        <f>IFERROR(__xludf.DUMMYFUNCTION("""COMPUTED_VALUE"""),"Sadiq Dala")</f>
        <v>Sadiq Dala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 t="str">
        <f>IFERROR(__xludf.DUMMYFUNCTION("""COMPUTED_VALUE"""),"Cluster 9")</f>
        <v>Cluster 9</v>
      </c>
      <c r="W138" s="4"/>
      <c r="X138" s="4" t="str">
        <f>IFERROR(__xludf.DUMMYFUNCTION("""COMPUTED_VALUE"""),"BELLO DAN DAGO ROAD")</f>
        <v>BELLO DAN DAGO ROAD</v>
      </c>
      <c r="Y138" s="4"/>
      <c r="Z138" s="4"/>
      <c r="AA138" s="4"/>
      <c r="AB138" s="4" t="str">
        <f>IFERROR(__xludf.DUMMYFUNCTION("""COMPUTED_VALUE"""),"Point 1")</f>
        <v>Point 1</v>
      </c>
      <c r="AC138" s="4">
        <f>IFERROR(__xludf.DUMMYFUNCTION("""COMPUTED_VALUE"""),12.010563)</f>
        <v>12.010563</v>
      </c>
      <c r="AD138" s="4">
        <f>IFERROR(__xludf.DUMMYFUNCTION("""COMPUTED_VALUE"""),8.535244)</f>
        <v>8.535244</v>
      </c>
      <c r="AE138" s="5" t="str">
        <f>IFERROR(__xludf.DUMMYFUNCTION("""COMPUTED_VALUE"""),"https://drive.google.com/open?id=1ntNt89GOAvMaNb8Z8y9sDb_KvxgWP8-T")</f>
        <v>https://drive.google.com/open?id=1ntNt89GOAvMaNb8Z8y9sDb_KvxgWP8-T</v>
      </c>
      <c r="AF138" s="4"/>
      <c r="AG138" s="4"/>
      <c r="AH138" s="4"/>
      <c r="AI138" s="4"/>
      <c r="AL138" s="4" t="str">
        <f t="shared" si="1"/>
        <v>Cluster 9</v>
      </c>
      <c r="AM138" s="4" t="str">
        <f t="shared" si="2"/>
        <v>BELLO DAN DAGO ROAD</v>
      </c>
    </row>
    <row r="139">
      <c r="A139" s="3">
        <f>IFERROR(__xludf.DUMMYFUNCTION("""COMPUTED_VALUE"""),45876.92622738426)</f>
        <v>45876.92623</v>
      </c>
      <c r="B139" s="4" t="str">
        <f>IFERROR(__xludf.DUMMYFUNCTION("""COMPUTED_VALUE"""),"ajisadiqdala@gmail.com")</f>
        <v>ajisadiqdala@gmail.com</v>
      </c>
      <c r="C139" s="4" t="str">
        <f>IFERROR(__xludf.DUMMYFUNCTION("""COMPUTED_VALUE"""),"Sadiq Dala")</f>
        <v>Sadiq Dala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 t="str">
        <f>IFERROR(__xludf.DUMMYFUNCTION("""COMPUTED_VALUE"""),"Cluster 9")</f>
        <v>Cluster 9</v>
      </c>
      <c r="W139" s="4"/>
      <c r="X139" s="4" t="str">
        <f>IFERROR(__xludf.DUMMYFUNCTION("""COMPUTED_VALUE"""),"HAJIYA SA'A STREET")</f>
        <v>HAJIYA SA'A STREET</v>
      </c>
      <c r="Y139" s="4"/>
      <c r="Z139" s="4"/>
      <c r="AA139" s="4"/>
      <c r="AB139" s="4" t="str">
        <f>IFERROR(__xludf.DUMMYFUNCTION("""COMPUTED_VALUE"""),"Point 1")</f>
        <v>Point 1</v>
      </c>
      <c r="AC139" s="4">
        <f>IFERROR(__xludf.DUMMYFUNCTION("""COMPUTED_VALUE"""),12.01199)</f>
        <v>12.01199</v>
      </c>
      <c r="AD139" s="4">
        <f>IFERROR(__xludf.DUMMYFUNCTION("""COMPUTED_VALUE"""),8.533357)</f>
        <v>8.533357</v>
      </c>
      <c r="AE139" s="5" t="str">
        <f>IFERROR(__xludf.DUMMYFUNCTION("""COMPUTED_VALUE"""),"https://drive.google.com/open?id=1hfbCjL-caWisC35owzxtqar1mra1fTPR")</f>
        <v>https://drive.google.com/open?id=1hfbCjL-caWisC35owzxtqar1mra1fTPR</v>
      </c>
      <c r="AF139" s="4"/>
      <c r="AG139" s="4"/>
      <c r="AH139" s="4"/>
      <c r="AI139" s="4"/>
      <c r="AL139" s="4" t="str">
        <f t="shared" si="1"/>
        <v>Cluster 9</v>
      </c>
      <c r="AM139" s="4" t="str">
        <f t="shared" si="2"/>
        <v>HAJIYA SA'A STREET</v>
      </c>
    </row>
    <row r="140">
      <c r="A140" s="3">
        <f>IFERROR(__xludf.DUMMYFUNCTION("""COMPUTED_VALUE"""),45876.924841747685)</f>
        <v>45876.92484</v>
      </c>
      <c r="B140" s="4" t="str">
        <f>IFERROR(__xludf.DUMMYFUNCTION("""COMPUTED_VALUE"""),"ajisadiqdala@gmail.com")</f>
        <v>ajisadiqdala@gmail.com</v>
      </c>
      <c r="C140" s="4" t="str">
        <f>IFERROR(__xludf.DUMMYFUNCTION("""COMPUTED_VALUE"""),"Sadiq Dala")</f>
        <v>Sadiq Dala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 t="str">
        <f>IFERROR(__xludf.DUMMYFUNCTION("""COMPUTED_VALUE"""),"Cluster 9")</f>
        <v>Cluster 9</v>
      </c>
      <c r="W140" s="4"/>
      <c r="X140" s="4" t="str">
        <f>IFERROR(__xludf.DUMMYFUNCTION("""COMPUTED_VALUE"""),"ABBALE STREET")</f>
        <v>ABBALE STREET</v>
      </c>
      <c r="Y140" s="4"/>
      <c r="Z140" s="4"/>
      <c r="AA140" s="4"/>
      <c r="AB140" s="4" t="str">
        <f>IFERROR(__xludf.DUMMYFUNCTION("""COMPUTED_VALUE"""),"Point 1")</f>
        <v>Point 1</v>
      </c>
      <c r="AC140" s="4">
        <f>IFERROR(__xludf.DUMMYFUNCTION("""COMPUTED_VALUE"""),12.011523)</f>
        <v>12.011523</v>
      </c>
      <c r="AD140" s="4">
        <f>IFERROR(__xludf.DUMMYFUNCTION("""COMPUTED_VALUE"""),8.527867)</f>
        <v>8.527867</v>
      </c>
      <c r="AE140" s="5" t="str">
        <f>IFERROR(__xludf.DUMMYFUNCTION("""COMPUTED_VALUE"""),"https://drive.google.com/open?id=11UJoRm1BNHmzx7BqW7f7cSgDzJOiqGOV")</f>
        <v>https://drive.google.com/open?id=11UJoRm1BNHmzx7BqW7f7cSgDzJOiqGOV</v>
      </c>
      <c r="AF140" s="4"/>
      <c r="AG140" s="4"/>
      <c r="AH140" s="4"/>
      <c r="AI140" s="4"/>
      <c r="AL140" s="4" t="str">
        <f t="shared" si="1"/>
        <v>Cluster 9</v>
      </c>
      <c r="AM140" s="4" t="str">
        <f t="shared" si="2"/>
        <v>ABBALE STREET</v>
      </c>
    </row>
    <row r="141">
      <c r="A141" s="3">
        <f>IFERROR(__xludf.DUMMYFUNCTION("""COMPUTED_VALUE"""),45876.92336864583)</f>
        <v>45876.92337</v>
      </c>
      <c r="B141" s="4" t="str">
        <f>IFERROR(__xludf.DUMMYFUNCTION("""COMPUTED_VALUE"""),"ajisadiqdala@gmail.com")</f>
        <v>ajisadiqdala@gmail.com</v>
      </c>
      <c r="C141" s="4" t="str">
        <f>IFERROR(__xludf.DUMMYFUNCTION("""COMPUTED_VALUE"""),"Sadiq Dala")</f>
        <v>Sadiq Dala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 t="str">
        <f>IFERROR(__xludf.DUMMYFUNCTION("""COMPUTED_VALUE"""),"Cluster 9")</f>
        <v>Cluster 9</v>
      </c>
      <c r="W141" s="4"/>
      <c r="X141" s="4" t="str">
        <f>IFERROR(__xludf.DUMMYFUNCTION("""COMPUTED_VALUE"""),"ABDULLAHI WASE ROAD")</f>
        <v>ABDULLAHI WASE ROAD</v>
      </c>
      <c r="Y141" s="4"/>
      <c r="Z141" s="4"/>
      <c r="AA141" s="4"/>
      <c r="AB141" s="4" t="str">
        <f>IFERROR(__xludf.DUMMYFUNCTION("""COMPUTED_VALUE"""),"Point 1")</f>
        <v>Point 1</v>
      </c>
      <c r="AC141" s="4">
        <f>IFERROR(__xludf.DUMMYFUNCTION("""COMPUTED_VALUE"""),12.001056)</f>
        <v>12.001056</v>
      </c>
      <c r="AD141" s="4">
        <f>IFERROR(__xludf.DUMMYFUNCTION("""COMPUTED_VALUE"""),8.52684)</f>
        <v>8.52684</v>
      </c>
      <c r="AE141" s="5" t="str">
        <f>IFERROR(__xludf.DUMMYFUNCTION("""COMPUTED_VALUE"""),"https://drive.google.com/open?id=1m0axB0HrBwM6ryYvL2XZ67y6MUIu2EF3")</f>
        <v>https://drive.google.com/open?id=1m0axB0HrBwM6ryYvL2XZ67y6MUIu2EF3</v>
      </c>
      <c r="AF141" s="4"/>
      <c r="AG141" s="4"/>
      <c r="AH141" s="4"/>
      <c r="AI141" s="4"/>
      <c r="AL141" s="4" t="str">
        <f t="shared" si="1"/>
        <v>Cluster 9</v>
      </c>
      <c r="AM141" s="4" t="str">
        <f t="shared" si="2"/>
        <v>ABDULLAHI WASE ROAD</v>
      </c>
    </row>
    <row r="142">
      <c r="A142" s="3">
        <f>IFERROR(__xludf.DUMMYFUNCTION("""COMPUTED_VALUE"""),45876.92179734954)</f>
        <v>45876.9218</v>
      </c>
      <c r="B142" s="4" t="str">
        <f>IFERROR(__xludf.DUMMYFUNCTION("""COMPUTED_VALUE"""),"ajisadiqdala@gmail.com")</f>
        <v>ajisadiqdala@gmail.com</v>
      </c>
      <c r="C142" s="4" t="str">
        <f>IFERROR(__xludf.DUMMYFUNCTION("""COMPUTED_VALUE"""),"Sadiq Dala")</f>
        <v>Sadiq Dala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 t="str">
        <f>IFERROR(__xludf.DUMMYFUNCTION("""COMPUTED_VALUE"""),"Cluster 12")</f>
        <v>Cluster 12</v>
      </c>
      <c r="W142" s="4"/>
      <c r="X142" s="4"/>
      <c r="Y142" s="4"/>
      <c r="Z142" s="4" t="str">
        <f>IFERROR(__xludf.DUMMYFUNCTION("""COMPUTED_VALUE"""),"BUNA ROAD")</f>
        <v>BUNA ROAD</v>
      </c>
      <c r="AA142" s="4"/>
      <c r="AB142" s="4" t="str">
        <f>IFERROR(__xludf.DUMMYFUNCTION("""COMPUTED_VALUE"""),"Point 1")</f>
        <v>Point 1</v>
      </c>
      <c r="AC142" s="4">
        <f>IFERROR(__xludf.DUMMYFUNCTION("""COMPUTED_VALUE"""),12.006953)</f>
        <v>12.006953</v>
      </c>
      <c r="AD142" s="4">
        <f>IFERROR(__xludf.DUMMYFUNCTION("""COMPUTED_VALUE"""),8.52763)</f>
        <v>8.52763</v>
      </c>
      <c r="AE142" s="5" t="str">
        <f>IFERROR(__xludf.DUMMYFUNCTION("""COMPUTED_VALUE"""),"https://drive.google.com/open?id=10DKEO_piAGDf4HJCJp1OGy9Keg0p0PGW")</f>
        <v>https://drive.google.com/open?id=10DKEO_piAGDf4HJCJp1OGy9Keg0p0PGW</v>
      </c>
      <c r="AF142" s="4"/>
      <c r="AG142" s="4"/>
      <c r="AH142" s="4"/>
      <c r="AI142" s="4"/>
      <c r="AL142" s="4" t="str">
        <f t="shared" si="1"/>
        <v>Cluster 12</v>
      </c>
      <c r="AM142" s="4" t="str">
        <f t="shared" si="2"/>
        <v>BUNA ROAD</v>
      </c>
    </row>
    <row r="143">
      <c r="A143" s="3">
        <f>IFERROR(__xludf.DUMMYFUNCTION("""COMPUTED_VALUE"""),45876.920645474536)</f>
        <v>45876.92065</v>
      </c>
      <c r="B143" s="4" t="str">
        <f>IFERROR(__xludf.DUMMYFUNCTION("""COMPUTED_VALUE"""),"ajisadiqdala@gmail.com")</f>
        <v>ajisadiqdala@gmail.com</v>
      </c>
      <c r="C143" s="4" t="str">
        <f>IFERROR(__xludf.DUMMYFUNCTION("""COMPUTED_VALUE"""),"Sadiq Dala")</f>
        <v>Sadiq Dala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 t="str">
        <f>IFERROR(__xludf.DUMMYFUNCTION("""COMPUTED_VALUE"""),"Cluster 12")</f>
        <v>Cluster 12</v>
      </c>
      <c r="W143" s="4"/>
      <c r="X143" s="4"/>
      <c r="Y143" s="4"/>
      <c r="Z143" s="4" t="str">
        <f>IFERROR(__xludf.DUMMYFUNCTION("""COMPUTED_VALUE"""),"ABBA GANA STREET")</f>
        <v>ABBA GANA STREET</v>
      </c>
      <c r="AA143" s="4"/>
      <c r="AB143" s="4" t="str">
        <f>IFERROR(__xludf.DUMMYFUNCTION("""COMPUTED_VALUE"""),"Point 2")</f>
        <v>Point 2</v>
      </c>
      <c r="AC143" s="4">
        <f>IFERROR(__xludf.DUMMYFUNCTION("""COMPUTED_VALUE"""),12.007115)</f>
        <v>12.007115</v>
      </c>
      <c r="AD143" s="4">
        <f>IFERROR(__xludf.DUMMYFUNCTION("""COMPUTED_VALUE"""),8.525886)</f>
        <v>8.525886</v>
      </c>
      <c r="AE143" s="5" t="str">
        <f>IFERROR(__xludf.DUMMYFUNCTION("""COMPUTED_VALUE"""),"https://drive.google.com/open?id=1xrqnl5KpG24v6EJa6PQuk-vdAPtydLrY")</f>
        <v>https://drive.google.com/open?id=1xrqnl5KpG24v6EJa6PQuk-vdAPtydLrY</v>
      </c>
      <c r="AF143" s="4"/>
      <c r="AG143" s="4"/>
      <c r="AH143" s="4"/>
      <c r="AI143" s="4"/>
      <c r="AL143" s="4" t="str">
        <f t="shared" si="1"/>
        <v>Cluster 12</v>
      </c>
      <c r="AM143" s="4" t="str">
        <f t="shared" si="2"/>
        <v>ABBA GANA STREET</v>
      </c>
    </row>
    <row r="144">
      <c r="A144" s="3">
        <f>IFERROR(__xludf.DUMMYFUNCTION("""COMPUTED_VALUE"""),45876.91944730324)</f>
        <v>45876.91945</v>
      </c>
      <c r="B144" s="4" t="str">
        <f>IFERROR(__xludf.DUMMYFUNCTION("""COMPUTED_VALUE"""),"ajisadiqdala@gmail.com")</f>
        <v>ajisadiqdala@gmail.com</v>
      </c>
      <c r="C144" s="4" t="str">
        <f>IFERROR(__xludf.DUMMYFUNCTION("""COMPUTED_VALUE"""),"Sadiq Dala")</f>
        <v>Sadiq Dala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 t="str">
        <f>IFERROR(__xludf.DUMMYFUNCTION("""COMPUTED_VALUE"""),"Cluster 12")</f>
        <v>Cluster 12</v>
      </c>
      <c r="W144" s="4"/>
      <c r="X144" s="4"/>
      <c r="Y144" s="4"/>
      <c r="Z144" s="4" t="str">
        <f>IFERROR(__xludf.DUMMYFUNCTION("""COMPUTED_VALUE"""),"ABBA GANA STREET")</f>
        <v>ABBA GANA STREET</v>
      </c>
      <c r="AA144" s="4"/>
      <c r="AB144" s="4" t="str">
        <f>IFERROR(__xludf.DUMMYFUNCTION("""COMPUTED_VALUE"""),"Point 1")</f>
        <v>Point 1</v>
      </c>
      <c r="AC144" s="4">
        <f>IFERROR(__xludf.DUMMYFUNCTION("""COMPUTED_VALUE"""),12.008745)</f>
        <v>12.008745</v>
      </c>
      <c r="AD144" s="4">
        <f>IFERROR(__xludf.DUMMYFUNCTION("""COMPUTED_VALUE"""),8.529208)</f>
        <v>8.529208</v>
      </c>
      <c r="AE144" s="5" t="str">
        <f>IFERROR(__xludf.DUMMYFUNCTION("""COMPUTED_VALUE"""),"https://drive.google.com/open?id=17cUS1QzSVuehfMOKJMV75MDrUFwYaZ5A")</f>
        <v>https://drive.google.com/open?id=17cUS1QzSVuehfMOKJMV75MDrUFwYaZ5A</v>
      </c>
      <c r="AF144" s="4"/>
      <c r="AG144" s="4"/>
      <c r="AH144" s="4"/>
      <c r="AI144" s="4"/>
      <c r="AL144" s="4" t="str">
        <f t="shared" si="1"/>
        <v>Cluster 12</v>
      </c>
      <c r="AM144" s="4" t="str">
        <f t="shared" si="2"/>
        <v>ABBA GANA STREET</v>
      </c>
    </row>
    <row r="145">
      <c r="A145" s="3">
        <f>IFERROR(__xludf.DUMMYFUNCTION("""COMPUTED_VALUE"""),45876.71674483796)</f>
        <v>45876.71674</v>
      </c>
      <c r="B145" s="4" t="str">
        <f>IFERROR(__xludf.DUMMYFUNCTION("""COMPUTED_VALUE"""),"ajisadiqdala@gmail.com")</f>
        <v>ajisadiqdala@gmail.com</v>
      </c>
      <c r="C145" s="4" t="str">
        <f>IFERROR(__xludf.DUMMYFUNCTION("""COMPUTED_VALUE"""),"Sadiq Dala")</f>
        <v>Sadiq Dala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 t="str">
        <f>IFERROR(__xludf.DUMMYFUNCTION("""COMPUTED_VALUE"""),"Cluster 15")</f>
        <v>Cluster 15</v>
      </c>
      <c r="W145" s="4"/>
      <c r="X145" s="4"/>
      <c r="Y145" s="4" t="str">
        <f>IFERROR(__xludf.DUMMYFUNCTION("""COMPUTED_VALUE"""),"TANKO YAKASAI STREET")</f>
        <v>TANKO YAKASAI STREET</v>
      </c>
      <c r="Z145" s="4"/>
      <c r="AA145" s="4"/>
      <c r="AB145" s="4" t="str">
        <f>IFERROR(__xludf.DUMMYFUNCTION("""COMPUTED_VALUE"""),"Point 2")</f>
        <v>Point 2</v>
      </c>
      <c r="AC145" s="4">
        <f>IFERROR(__xludf.DUMMYFUNCTION("""COMPUTED_VALUE"""),12.006097)</f>
        <v>12.006097</v>
      </c>
      <c r="AD145" s="4">
        <f>IFERROR(__xludf.DUMMYFUNCTION("""COMPUTED_VALUE"""),8.576755)</f>
        <v>8.576755</v>
      </c>
      <c r="AE145" s="5" t="str">
        <f>IFERROR(__xludf.DUMMYFUNCTION("""COMPUTED_VALUE"""),"https://drive.google.com/open?id=1u2xPqOI6lSAZLDyA4DHznxVhLC-d0MrI")</f>
        <v>https://drive.google.com/open?id=1u2xPqOI6lSAZLDyA4DHznxVhLC-d0MrI</v>
      </c>
      <c r="AF145" s="4"/>
      <c r="AG145" s="4"/>
      <c r="AH145" s="4"/>
      <c r="AI145" s="4"/>
      <c r="AL145" s="4" t="str">
        <f t="shared" si="1"/>
        <v>Cluster 15</v>
      </c>
      <c r="AM145" s="4" t="str">
        <f t="shared" si="2"/>
        <v>TANKO YAKASAI STREET</v>
      </c>
    </row>
    <row r="146">
      <c r="A146" s="3">
        <f>IFERROR(__xludf.DUMMYFUNCTION("""COMPUTED_VALUE"""),45876.71238829861)</f>
        <v>45876.71239</v>
      </c>
      <c r="B146" s="4" t="str">
        <f>IFERROR(__xludf.DUMMYFUNCTION("""COMPUTED_VALUE"""),"ajisadiqdala@gmail.com")</f>
        <v>ajisadiqdala@gmail.com</v>
      </c>
      <c r="C146" s="4" t="str">
        <f>IFERROR(__xludf.DUMMYFUNCTION("""COMPUTED_VALUE"""),"Sadiq Dala")</f>
        <v>Sadiq Dala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tr">
        <f>IFERROR(__xludf.DUMMYFUNCTION("""COMPUTED_VALUE"""),"Cluster 15")</f>
        <v>Cluster 15</v>
      </c>
      <c r="W146" s="4"/>
      <c r="X146" s="4"/>
      <c r="Y146" s="4" t="str">
        <f>IFERROR(__xludf.DUMMYFUNCTION("""COMPUTED_VALUE"""),"TANKO YAKASAI STREET")</f>
        <v>TANKO YAKASAI STREET</v>
      </c>
      <c r="Z146" s="4"/>
      <c r="AA146" s="4"/>
      <c r="AB146" s="4" t="str">
        <f>IFERROR(__xludf.DUMMYFUNCTION("""COMPUTED_VALUE"""),"Point 1")</f>
        <v>Point 1</v>
      </c>
      <c r="AC146" s="4">
        <f>IFERROR(__xludf.DUMMYFUNCTION("""COMPUTED_VALUE"""),12.00586)</f>
        <v>12.00586</v>
      </c>
      <c r="AD146" s="4">
        <f>IFERROR(__xludf.DUMMYFUNCTION("""COMPUTED_VALUE"""),8.57106)</f>
        <v>8.57106</v>
      </c>
      <c r="AE146" s="5" t="str">
        <f>IFERROR(__xludf.DUMMYFUNCTION("""COMPUTED_VALUE"""),"https://drive.google.com/open?id=1F45QiIpOyJJapi-ICCxfDM1sG-oSACWM")</f>
        <v>https://drive.google.com/open?id=1F45QiIpOyJJapi-ICCxfDM1sG-oSACWM</v>
      </c>
      <c r="AF146" s="4"/>
      <c r="AG146" s="4"/>
      <c r="AH146" s="4"/>
      <c r="AI146" s="4"/>
      <c r="AL146" s="4" t="str">
        <f t="shared" si="1"/>
        <v>Cluster 15</v>
      </c>
      <c r="AM146" s="4" t="str">
        <f t="shared" si="2"/>
        <v>TANKO YAKASAI STREET</v>
      </c>
    </row>
    <row r="147">
      <c r="A147" s="3">
        <f>IFERROR(__xludf.DUMMYFUNCTION("""COMPUTED_VALUE"""),45876.669828240745)</f>
        <v>45876.66983</v>
      </c>
      <c r="B147" s="4" t="str">
        <f>IFERROR(__xludf.DUMMYFUNCTION("""COMPUTED_VALUE"""),"ajisadiqdala@gmail.com")</f>
        <v>ajisadiqdala@gmail.com</v>
      </c>
      <c r="C147" s="4" t="str">
        <f>IFERROR(__xludf.DUMMYFUNCTION("""COMPUTED_VALUE"""),"Sadiq Dala")</f>
        <v>Sadiq Dala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 t="str">
        <f>IFERROR(__xludf.DUMMYFUNCTION("""COMPUTED_VALUE"""),"Cluster 15")</f>
        <v>Cluster 15</v>
      </c>
      <c r="W147" s="4"/>
      <c r="X147" s="4"/>
      <c r="Y147" s="4" t="str">
        <f>IFERROR(__xludf.DUMMYFUNCTION("""COMPUTED_VALUE"""),"KABO AVENUE")</f>
        <v>KABO AVENUE</v>
      </c>
      <c r="Z147" s="4"/>
      <c r="AA147" s="4"/>
      <c r="AB147" s="4" t="str">
        <f>IFERROR(__xludf.DUMMYFUNCTION("""COMPUTED_VALUE"""),"Point 2")</f>
        <v>Point 2</v>
      </c>
      <c r="AC147" s="4">
        <f>IFERROR(__xludf.DUMMYFUNCTION("""COMPUTED_VALUE"""),12.011964)</f>
        <v>12.011964</v>
      </c>
      <c r="AD147" s="4">
        <f>IFERROR(__xludf.DUMMYFUNCTION("""COMPUTED_VALUE"""),8.573256)</f>
        <v>8.573256</v>
      </c>
      <c r="AE147" s="5" t="str">
        <f>IFERROR(__xludf.DUMMYFUNCTION("""COMPUTED_VALUE"""),"https://drive.google.com/open?id=1R4ZmyC-ipGNlmw8ID_bQ12YsvG-QLyFd")</f>
        <v>https://drive.google.com/open?id=1R4ZmyC-ipGNlmw8ID_bQ12YsvG-QLyFd</v>
      </c>
      <c r="AF147" s="4"/>
      <c r="AG147" s="4"/>
      <c r="AH147" s="4"/>
      <c r="AI147" s="4"/>
      <c r="AL147" s="4" t="str">
        <f t="shared" si="1"/>
        <v>Cluster 15</v>
      </c>
      <c r="AM147" s="4" t="str">
        <f t="shared" si="2"/>
        <v>KABO AVENUE</v>
      </c>
    </row>
    <row r="148">
      <c r="A148" s="3">
        <f>IFERROR(__xludf.DUMMYFUNCTION("""COMPUTED_VALUE"""),45876.665551134254)</f>
        <v>45876.66555</v>
      </c>
      <c r="B148" s="4" t="str">
        <f>IFERROR(__xludf.DUMMYFUNCTION("""COMPUTED_VALUE"""),"ajisadiqdala@gmail.com")</f>
        <v>ajisadiqdala@gmail.com</v>
      </c>
      <c r="C148" s="4" t="str">
        <f>IFERROR(__xludf.DUMMYFUNCTION("""COMPUTED_VALUE"""),"Sadiq Dala")</f>
        <v>Sadiq Dala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 t="str">
        <f>IFERROR(__xludf.DUMMYFUNCTION("""COMPUTED_VALUE"""),"Cluster 15")</f>
        <v>Cluster 15</v>
      </c>
      <c r="W148" s="4"/>
      <c r="X148" s="4"/>
      <c r="Y148" s="4" t="str">
        <f>IFERROR(__xludf.DUMMYFUNCTION("""COMPUTED_VALUE"""),"KABO AVENUE")</f>
        <v>KABO AVENUE</v>
      </c>
      <c r="Z148" s="4"/>
      <c r="AA148" s="4"/>
      <c r="AB148" s="4" t="str">
        <f>IFERROR(__xludf.DUMMYFUNCTION("""COMPUTED_VALUE"""),"Point 1")</f>
        <v>Point 1</v>
      </c>
      <c r="AC148" s="4">
        <f>IFERROR(__xludf.DUMMYFUNCTION("""COMPUTED_VALUE"""),12.010879)</f>
        <v>12.010879</v>
      </c>
      <c r="AD148" s="4">
        <f>IFERROR(__xludf.DUMMYFUNCTION("""COMPUTED_VALUE"""),8.573217)</f>
        <v>8.573217</v>
      </c>
      <c r="AE148" s="5" t="str">
        <f>IFERROR(__xludf.DUMMYFUNCTION("""COMPUTED_VALUE"""),"https://drive.google.com/open?id=1R5CVzyKGR8Fzo6cnQLWPA3LqpU_IbiwL")</f>
        <v>https://drive.google.com/open?id=1R5CVzyKGR8Fzo6cnQLWPA3LqpU_IbiwL</v>
      </c>
      <c r="AF148" s="4"/>
      <c r="AG148" s="4"/>
      <c r="AH148" s="4"/>
      <c r="AI148" s="4"/>
      <c r="AL148" s="4" t="str">
        <f t="shared" si="1"/>
        <v>Cluster 15</v>
      </c>
      <c r="AM148" s="4" t="str">
        <f t="shared" si="2"/>
        <v>KABO AVENUE</v>
      </c>
    </row>
    <row r="149">
      <c r="A149" s="3">
        <f>IFERROR(__xludf.DUMMYFUNCTION("""COMPUTED_VALUE"""),45876.66241600695)</f>
        <v>45876.66242</v>
      </c>
      <c r="B149" s="4" t="str">
        <f>IFERROR(__xludf.DUMMYFUNCTION("""COMPUTED_VALUE"""),"ajisadiqdala@gmail.com")</f>
        <v>ajisadiqdala@gmail.com</v>
      </c>
      <c r="C149" s="4" t="str">
        <f>IFERROR(__xludf.DUMMYFUNCTION("""COMPUTED_VALUE"""),"Sadiq Dala")</f>
        <v>Sadiq Dala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 t="str">
        <f>IFERROR(__xludf.DUMMYFUNCTION("""COMPUTED_VALUE"""),"Cluster 15")</f>
        <v>Cluster 15</v>
      </c>
      <c r="W149" s="4"/>
      <c r="X149" s="4"/>
      <c r="Y149" s="4" t="str">
        <f>IFERROR(__xludf.DUMMYFUNCTION("""COMPUTED_VALUE"""),"MAIDABINO AVENUE")</f>
        <v>MAIDABINO AVENUE</v>
      </c>
      <c r="Z149" s="4"/>
      <c r="AA149" s="4"/>
      <c r="AB149" s="4" t="str">
        <f>IFERROR(__xludf.DUMMYFUNCTION("""COMPUTED_VALUE"""),"Point 2")</f>
        <v>Point 2</v>
      </c>
      <c r="AC149" s="4">
        <f>IFERROR(__xludf.DUMMYFUNCTION("""COMPUTED_VALUE"""),12.007189)</f>
        <v>12.007189</v>
      </c>
      <c r="AD149" s="4">
        <f>IFERROR(__xludf.DUMMYFUNCTION("""COMPUTED_VALUE"""),8.572158)</f>
        <v>8.572158</v>
      </c>
      <c r="AE149" s="5" t="str">
        <f>IFERROR(__xludf.DUMMYFUNCTION("""COMPUTED_VALUE"""),"https://drive.google.com/open?id=1XPH2Wpob30Dj9b4ppsFa5FcALs76b4UU")</f>
        <v>https://drive.google.com/open?id=1XPH2Wpob30Dj9b4ppsFa5FcALs76b4UU</v>
      </c>
      <c r="AF149" s="4"/>
      <c r="AG149" s="4"/>
      <c r="AH149" s="4"/>
      <c r="AI149" s="4"/>
      <c r="AL149" s="4" t="str">
        <f t="shared" si="1"/>
        <v>Cluster 15</v>
      </c>
      <c r="AM149" s="4" t="str">
        <f t="shared" si="2"/>
        <v>MAIDABINO AVENUE</v>
      </c>
    </row>
    <row r="150">
      <c r="A150" s="3">
        <f>IFERROR(__xludf.DUMMYFUNCTION("""COMPUTED_VALUE"""),45876.65860372686)</f>
        <v>45876.6586</v>
      </c>
      <c r="B150" s="4" t="str">
        <f>IFERROR(__xludf.DUMMYFUNCTION("""COMPUTED_VALUE"""),"ajisadiqdala@gmail.com")</f>
        <v>ajisadiqdala@gmail.com</v>
      </c>
      <c r="C150" s="4" t="str">
        <f>IFERROR(__xludf.DUMMYFUNCTION("""COMPUTED_VALUE"""),"Sadiq Dala")</f>
        <v>Sadiq Dala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 t="str">
        <f>IFERROR(__xludf.DUMMYFUNCTION("""COMPUTED_VALUE"""),"Cluster 15")</f>
        <v>Cluster 15</v>
      </c>
      <c r="W150" s="4"/>
      <c r="X150" s="4"/>
      <c r="Y150" s="4" t="str">
        <f>IFERROR(__xludf.DUMMYFUNCTION("""COMPUTED_VALUE"""),"MAIDABINO AVENUE")</f>
        <v>MAIDABINO AVENUE</v>
      </c>
      <c r="Z150" s="4"/>
      <c r="AA150" s="4"/>
      <c r="AB150" s="4" t="str">
        <f>IFERROR(__xludf.DUMMYFUNCTION("""COMPUTED_VALUE"""),"Point 1")</f>
        <v>Point 1</v>
      </c>
      <c r="AC150" s="4">
        <f>IFERROR(__xludf.DUMMYFUNCTION("""COMPUTED_VALUE"""),12.007189)</f>
        <v>12.007189</v>
      </c>
      <c r="AD150" s="4">
        <f>IFERROR(__xludf.DUMMYFUNCTION("""COMPUTED_VALUE"""),8.72158)</f>
        <v>8.72158</v>
      </c>
      <c r="AE150" s="5" t="str">
        <f>IFERROR(__xludf.DUMMYFUNCTION("""COMPUTED_VALUE"""),"https://drive.google.com/open?id=1P2RxY6fBuJ-SVa3MA_58IePBEvYtPTKu")</f>
        <v>https://drive.google.com/open?id=1P2RxY6fBuJ-SVa3MA_58IePBEvYtPTKu</v>
      </c>
      <c r="AF150" s="4"/>
      <c r="AG150" s="4"/>
      <c r="AH150" s="4"/>
      <c r="AI150" s="4"/>
      <c r="AL150" s="4" t="str">
        <f t="shared" si="1"/>
        <v>Cluster 15</v>
      </c>
      <c r="AM150" s="4" t="str">
        <f t="shared" si="2"/>
        <v>MAIDABINO AVENUE</v>
      </c>
    </row>
    <row r="151">
      <c r="A151" s="3">
        <f>IFERROR(__xludf.DUMMYFUNCTION("""COMPUTED_VALUE"""),45875.89905353009)</f>
        <v>45875.89905</v>
      </c>
      <c r="B151" s="4" t="str">
        <f>IFERROR(__xludf.DUMMYFUNCTION("""COMPUTED_VALUE"""),"ajisadiqdala@gmail.com")</f>
        <v>ajisadiqdala@gmail.com</v>
      </c>
      <c r="C151" s="4" t="str">
        <f>IFERROR(__xludf.DUMMYFUNCTION("""COMPUTED_VALUE"""),"Sadiq Dala")</f>
        <v>Sadiq Dala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 t="str">
        <f>IFERROR(__xludf.DUMMYFUNCTION("""COMPUTED_VALUE"""),"Cluster 5")</f>
        <v>Cluster 5</v>
      </c>
      <c r="W151" s="4" t="str">
        <f>IFERROR(__xludf.DUMMYFUNCTION("""COMPUTED_VALUE"""),"LAYIN MAKABARTA ROAD")</f>
        <v>LAYIN MAKABARTA ROAD</v>
      </c>
      <c r="X151" s="4"/>
      <c r="Y151" s="4"/>
      <c r="Z151" s="4"/>
      <c r="AA151" s="4"/>
      <c r="AB151" s="4" t="str">
        <f>IFERROR(__xludf.DUMMYFUNCTION("""COMPUTED_VALUE"""),"Point 2")</f>
        <v>Point 2</v>
      </c>
      <c r="AC151" s="4">
        <f>IFERROR(__xludf.DUMMYFUNCTION("""COMPUTED_VALUE"""),11.949729)</f>
        <v>11.949729</v>
      </c>
      <c r="AD151" s="4">
        <f>IFERROR(__xludf.DUMMYFUNCTION("""COMPUTED_VALUE"""),8.55448)</f>
        <v>8.55448</v>
      </c>
      <c r="AE151" s="5" t="str">
        <f>IFERROR(__xludf.DUMMYFUNCTION("""COMPUTED_VALUE"""),"https://drive.google.com/open?id=1wWvz5u319fSoNPpyYTcghnSDHbgGEGWk")</f>
        <v>https://drive.google.com/open?id=1wWvz5u319fSoNPpyYTcghnSDHbgGEGWk</v>
      </c>
      <c r="AF151" s="4"/>
      <c r="AG151" s="4"/>
      <c r="AH151" s="4"/>
      <c r="AI151" s="4"/>
      <c r="AL151" s="4" t="str">
        <f t="shared" si="1"/>
        <v>Cluster 5</v>
      </c>
      <c r="AM151" s="4" t="str">
        <f t="shared" si="2"/>
        <v>LAYIN MAKABARTA ROAD</v>
      </c>
    </row>
    <row r="152">
      <c r="A152" s="3">
        <f>IFERROR(__xludf.DUMMYFUNCTION("""COMPUTED_VALUE"""),45875.897545810185)</f>
        <v>45875.89755</v>
      </c>
      <c r="B152" s="4" t="str">
        <f>IFERROR(__xludf.DUMMYFUNCTION("""COMPUTED_VALUE"""),"ajisadiqdala@gmail.com")</f>
        <v>ajisadiqdala@gmail.com</v>
      </c>
      <c r="C152" s="4" t="str">
        <f>IFERROR(__xludf.DUMMYFUNCTION("""COMPUTED_VALUE"""),"Sadiq Dala")</f>
        <v>Sadiq Dala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 t="str">
        <f>IFERROR(__xludf.DUMMYFUNCTION("""COMPUTED_VALUE"""),"Cluster 5")</f>
        <v>Cluster 5</v>
      </c>
      <c r="W152" s="4" t="str">
        <f>IFERROR(__xludf.DUMMYFUNCTION("""COMPUTED_VALUE"""),"LAYIN MAKABARTA ROAD")</f>
        <v>LAYIN MAKABARTA ROAD</v>
      </c>
      <c r="X152" s="4"/>
      <c r="Y152" s="4"/>
      <c r="Z152" s="4"/>
      <c r="AA152" s="4"/>
      <c r="AB152" s="4" t="str">
        <f>IFERROR(__xludf.DUMMYFUNCTION("""COMPUTED_VALUE"""),"Point 1")</f>
        <v>Point 1</v>
      </c>
      <c r="AC152" s="4">
        <f>IFERROR(__xludf.DUMMYFUNCTION("""COMPUTED_VALUE"""),11.947291)</f>
        <v>11.947291</v>
      </c>
      <c r="AD152" s="4">
        <f>IFERROR(__xludf.DUMMYFUNCTION("""COMPUTED_VALUE"""),8.556635)</f>
        <v>8.556635</v>
      </c>
      <c r="AE152" s="5" t="str">
        <f>IFERROR(__xludf.DUMMYFUNCTION("""COMPUTED_VALUE"""),"https://drive.google.com/open?id=11-p0IsHoLdbCs1YUSjbyltjYKV__P0BX")</f>
        <v>https://drive.google.com/open?id=11-p0IsHoLdbCs1YUSjbyltjYKV__P0BX</v>
      </c>
      <c r="AF152" s="4"/>
      <c r="AG152" s="4"/>
      <c r="AH152" s="4"/>
      <c r="AI152" s="4"/>
      <c r="AL152" s="4" t="str">
        <f t="shared" si="1"/>
        <v>Cluster 5</v>
      </c>
      <c r="AM152" s="4" t="str">
        <f t="shared" si="2"/>
        <v>LAYIN MAKABARTA ROAD</v>
      </c>
    </row>
    <row r="153">
      <c r="A153" s="3">
        <f>IFERROR(__xludf.DUMMYFUNCTION("""COMPUTED_VALUE"""),45875.89604025463)</f>
        <v>45875.89604</v>
      </c>
      <c r="B153" s="4" t="str">
        <f>IFERROR(__xludf.DUMMYFUNCTION("""COMPUTED_VALUE"""),"ajisadiqdala@gmail.com")</f>
        <v>ajisadiqdala@gmail.com</v>
      </c>
      <c r="C153" s="4" t="str">
        <f>IFERROR(__xludf.DUMMYFUNCTION("""COMPUTED_VALUE"""),"Sadiq Dala")</f>
        <v>Sadiq Dala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 t="str">
        <f>IFERROR(__xludf.DUMMYFUNCTION("""COMPUTED_VALUE"""),"Cluster 5")</f>
        <v>Cluster 5</v>
      </c>
      <c r="W153" s="4" t="str">
        <f>IFERROR(__xludf.DUMMYFUNCTION("""COMPUTED_VALUE"""),"FAROUK RABIU ROAD")</f>
        <v>FAROUK RABIU ROAD</v>
      </c>
      <c r="X153" s="4"/>
      <c r="Y153" s="4"/>
      <c r="Z153" s="4"/>
      <c r="AA153" s="4"/>
      <c r="AB153" s="4" t="str">
        <f>IFERROR(__xludf.DUMMYFUNCTION("""COMPUTED_VALUE"""),"Point 2")</f>
        <v>Point 2</v>
      </c>
      <c r="AC153" s="4">
        <f>IFERROR(__xludf.DUMMYFUNCTION("""COMPUTED_VALUE"""),11.942822)</f>
        <v>11.942822</v>
      </c>
      <c r="AD153" s="4">
        <f>IFERROR(__xludf.DUMMYFUNCTION("""COMPUTED_VALUE"""),8.557071)</f>
        <v>8.557071</v>
      </c>
      <c r="AE153" s="5" t="str">
        <f>IFERROR(__xludf.DUMMYFUNCTION("""COMPUTED_VALUE"""),"https://drive.google.com/open?id=1v5w263PoDFnxX_e1RcATObhG5ZtQkoCV")</f>
        <v>https://drive.google.com/open?id=1v5w263PoDFnxX_e1RcATObhG5ZtQkoCV</v>
      </c>
      <c r="AF153" s="4"/>
      <c r="AG153" s="4"/>
      <c r="AH153" s="4"/>
      <c r="AI153" s="4"/>
      <c r="AL153" s="4" t="str">
        <f t="shared" si="1"/>
        <v>Cluster 5</v>
      </c>
      <c r="AM153" s="4" t="str">
        <f t="shared" si="2"/>
        <v>FAROUK RABIU ROAD</v>
      </c>
    </row>
    <row r="154">
      <c r="A154" s="3">
        <f>IFERROR(__xludf.DUMMYFUNCTION("""COMPUTED_VALUE"""),45875.89475354167)</f>
        <v>45875.89475</v>
      </c>
      <c r="B154" s="4" t="str">
        <f>IFERROR(__xludf.DUMMYFUNCTION("""COMPUTED_VALUE"""),"ajisadiqdala@gmail.com")</f>
        <v>ajisadiqdala@gmail.com</v>
      </c>
      <c r="C154" s="4" t="str">
        <f>IFERROR(__xludf.DUMMYFUNCTION("""COMPUTED_VALUE"""),"Sadiq Dala")</f>
        <v>Sadiq Dala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 t="str">
        <f>IFERROR(__xludf.DUMMYFUNCTION("""COMPUTED_VALUE"""),"Cluster 5")</f>
        <v>Cluster 5</v>
      </c>
      <c r="W154" s="4" t="str">
        <f>IFERROR(__xludf.DUMMYFUNCTION("""COMPUTED_VALUE"""),"FAROUK RABIU ROAD")</f>
        <v>FAROUK RABIU ROAD</v>
      </c>
      <c r="X154" s="4"/>
      <c r="Y154" s="4"/>
      <c r="Z154" s="4"/>
      <c r="AA154" s="4"/>
      <c r="AB154" s="4" t="str">
        <f>IFERROR(__xludf.DUMMYFUNCTION("""COMPUTED_VALUE"""),"Point 1")</f>
        <v>Point 1</v>
      </c>
      <c r="AC154" s="4">
        <f>IFERROR(__xludf.DUMMYFUNCTION("""COMPUTED_VALUE"""),11.941604)</f>
        <v>11.941604</v>
      </c>
      <c r="AD154" s="4">
        <f>IFERROR(__xludf.DUMMYFUNCTION("""COMPUTED_VALUE"""),8.554541)</f>
        <v>8.554541</v>
      </c>
      <c r="AE154" s="5" t="str">
        <f>IFERROR(__xludf.DUMMYFUNCTION("""COMPUTED_VALUE"""),"https://drive.google.com/open?id=1ym0lcaLSUccIw1v9JX_O3unva6FSK9Eo")</f>
        <v>https://drive.google.com/open?id=1ym0lcaLSUccIw1v9JX_O3unva6FSK9Eo</v>
      </c>
      <c r="AF154" s="4"/>
      <c r="AG154" s="4"/>
      <c r="AH154" s="4"/>
      <c r="AI154" s="4"/>
      <c r="AL154" s="4" t="str">
        <f t="shared" si="1"/>
        <v>Cluster 5</v>
      </c>
      <c r="AM154" s="4" t="str">
        <f t="shared" si="2"/>
        <v>FAROUK RABIU ROAD</v>
      </c>
    </row>
    <row r="155">
      <c r="A155" s="3">
        <f>IFERROR(__xludf.DUMMYFUNCTION("""COMPUTED_VALUE"""),45875.89274964121)</f>
        <v>45875.89275</v>
      </c>
      <c r="B155" s="4" t="str">
        <f>IFERROR(__xludf.DUMMYFUNCTION("""COMPUTED_VALUE"""),"ajisadiqdala@gmail.com")</f>
        <v>ajisadiqdala@gmail.com</v>
      </c>
      <c r="C155" s="4" t="str">
        <f>IFERROR(__xludf.DUMMYFUNCTION("""COMPUTED_VALUE"""),"Sadiq Dala")</f>
        <v>Sadiq Dala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 t="str">
        <f>IFERROR(__xludf.DUMMYFUNCTION("""COMPUTED_VALUE"""),"Cluster 5")</f>
        <v>Cluster 5</v>
      </c>
      <c r="W155" s="4" t="str">
        <f>IFERROR(__xludf.DUMMYFUNCTION("""COMPUTED_VALUE"""),"BAYAN GANDU ROAD")</f>
        <v>BAYAN GANDU ROAD</v>
      </c>
      <c r="X155" s="4"/>
      <c r="Y155" s="4"/>
      <c r="Z155" s="4"/>
      <c r="AA155" s="4"/>
      <c r="AB155" s="4" t="str">
        <f>IFERROR(__xludf.DUMMYFUNCTION("""COMPUTED_VALUE"""),"Point 1")</f>
        <v>Point 1</v>
      </c>
      <c r="AC155" s="4">
        <f>IFERROR(__xludf.DUMMYFUNCTION("""COMPUTED_VALUE"""),11.941058)</f>
        <v>11.941058</v>
      </c>
      <c r="AD155" s="4">
        <f>IFERROR(__xludf.DUMMYFUNCTION("""COMPUTED_VALUE"""),8.554809)</f>
        <v>8.554809</v>
      </c>
      <c r="AE155" s="5" t="str">
        <f>IFERROR(__xludf.DUMMYFUNCTION("""COMPUTED_VALUE"""),"https://drive.google.com/open?id=1G0D4A2PFSNZzOrqfKls2mDZE1Z9rh7wT")</f>
        <v>https://drive.google.com/open?id=1G0D4A2PFSNZzOrqfKls2mDZE1Z9rh7wT</v>
      </c>
      <c r="AF155" s="4"/>
      <c r="AG155" s="4"/>
      <c r="AH155" s="4"/>
      <c r="AI155" s="4"/>
      <c r="AL155" s="4" t="str">
        <f t="shared" si="1"/>
        <v>Cluster 5</v>
      </c>
      <c r="AM155" s="4" t="str">
        <f t="shared" si="2"/>
        <v>BAYAN GANDU ROAD</v>
      </c>
    </row>
    <row r="156">
      <c r="A156" s="3">
        <f>IFERROR(__xludf.DUMMYFUNCTION("""COMPUTED_VALUE"""),45875.890146481484)</f>
        <v>45875.89015</v>
      </c>
      <c r="B156" s="4" t="str">
        <f>IFERROR(__xludf.DUMMYFUNCTION("""COMPUTED_VALUE"""),"ajisadiqdala@gmail.com")</f>
        <v>ajisadiqdala@gmail.com</v>
      </c>
      <c r="C156" s="4" t="str">
        <f>IFERROR(__xludf.DUMMYFUNCTION("""COMPUTED_VALUE"""),"Sadiq Dala")</f>
        <v>Sadiq Dala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 t="str">
        <f>IFERROR(__xludf.DUMMYFUNCTION("""COMPUTED_VALUE"""),"Cluster 5")</f>
        <v>Cluster 5</v>
      </c>
      <c r="W156" s="4" t="str">
        <f>IFERROR(__xludf.DUMMYFUNCTION("""COMPUTED_VALUE"""),"MAL. KHIDIR BASHIR STREET")</f>
        <v>MAL. KHIDIR BASHIR STREET</v>
      </c>
      <c r="X156" s="4"/>
      <c r="Y156" s="4"/>
      <c r="Z156" s="4"/>
      <c r="AA156" s="4"/>
      <c r="AB156" s="4" t="str">
        <f>IFERROR(__xludf.DUMMYFUNCTION("""COMPUTED_VALUE"""),"Point 2")</f>
        <v>Point 2</v>
      </c>
      <c r="AC156" s="4">
        <f>IFERROR(__xludf.DUMMYFUNCTION("""COMPUTED_VALUE"""),11.941005)</f>
        <v>11.941005</v>
      </c>
      <c r="AD156" s="4">
        <f>IFERROR(__xludf.DUMMYFUNCTION("""COMPUTED_VALUE"""),8.555391)</f>
        <v>8.555391</v>
      </c>
      <c r="AE156" s="5" t="str">
        <f>IFERROR(__xludf.DUMMYFUNCTION("""COMPUTED_VALUE"""),"https://drive.google.com/open?id=1oLVttsQSaWybSzJD8tTGAAro3wjRuyad")</f>
        <v>https://drive.google.com/open?id=1oLVttsQSaWybSzJD8tTGAAro3wjRuyad</v>
      </c>
      <c r="AF156" s="4"/>
      <c r="AG156" s="4"/>
      <c r="AH156" s="4"/>
      <c r="AI156" s="4"/>
      <c r="AL156" s="4" t="str">
        <f t="shared" si="1"/>
        <v>Cluster 5</v>
      </c>
      <c r="AM156" s="4" t="str">
        <f t="shared" si="2"/>
        <v>MAL. KHIDIR BASHIR STREET</v>
      </c>
    </row>
    <row r="157">
      <c r="A157" s="3">
        <f>IFERROR(__xludf.DUMMYFUNCTION("""COMPUTED_VALUE"""),45875.888596296296)</f>
        <v>45875.8886</v>
      </c>
      <c r="B157" s="4" t="str">
        <f>IFERROR(__xludf.DUMMYFUNCTION("""COMPUTED_VALUE"""),"ajisadiqdala@gmail.com")</f>
        <v>ajisadiqdala@gmail.com</v>
      </c>
      <c r="C157" s="4" t="str">
        <f>IFERROR(__xludf.DUMMYFUNCTION("""COMPUTED_VALUE"""),"Sadiq Dala")</f>
        <v>Sadiq Dala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 t="str">
        <f>IFERROR(__xludf.DUMMYFUNCTION("""COMPUTED_VALUE"""),"Cluster 5")</f>
        <v>Cluster 5</v>
      </c>
      <c r="W157" s="4" t="str">
        <f>IFERROR(__xludf.DUMMYFUNCTION("""COMPUTED_VALUE"""),"MAL. KHIDIR BASHIR STREET")</f>
        <v>MAL. KHIDIR BASHIR STREET</v>
      </c>
      <c r="X157" s="4"/>
      <c r="Y157" s="4"/>
      <c r="Z157" s="4"/>
      <c r="AA157" s="4"/>
      <c r="AB157" s="4" t="str">
        <f>IFERROR(__xludf.DUMMYFUNCTION("""COMPUTED_VALUE"""),"Point 1")</f>
        <v>Point 1</v>
      </c>
      <c r="AC157" s="4">
        <f>IFERROR(__xludf.DUMMYFUNCTION("""COMPUTED_VALUE"""),11.939752)</f>
        <v>11.939752</v>
      </c>
      <c r="AD157" s="4">
        <f>IFERROR(__xludf.DUMMYFUNCTION("""COMPUTED_VALUE"""),8.555388)</f>
        <v>8.555388</v>
      </c>
      <c r="AE157" s="5" t="str">
        <f>IFERROR(__xludf.DUMMYFUNCTION("""COMPUTED_VALUE"""),"https://drive.google.com/open?id=1-4FRY_H6MmnXqkQ8qjNNI9cKqmN_yLyy")</f>
        <v>https://drive.google.com/open?id=1-4FRY_H6MmnXqkQ8qjNNI9cKqmN_yLyy</v>
      </c>
      <c r="AF157" s="4"/>
      <c r="AG157" s="4"/>
      <c r="AH157" s="4"/>
      <c r="AI157" s="4"/>
      <c r="AL157" s="4" t="str">
        <f t="shared" si="1"/>
        <v>Cluster 5</v>
      </c>
      <c r="AM157" s="4" t="str">
        <f t="shared" si="2"/>
        <v>MAL. KHIDIR BASHIR STREET</v>
      </c>
    </row>
    <row r="158">
      <c r="A158" s="3">
        <f>IFERROR(__xludf.DUMMYFUNCTION("""COMPUTED_VALUE"""),45875.88706313657)</f>
        <v>45875.88706</v>
      </c>
      <c r="B158" s="4" t="str">
        <f>IFERROR(__xludf.DUMMYFUNCTION("""COMPUTED_VALUE"""),"ajisadiqdala@gmail.com")</f>
        <v>ajisadiqdala@gmail.com</v>
      </c>
      <c r="C158" s="4" t="str">
        <f>IFERROR(__xludf.DUMMYFUNCTION("""COMPUTED_VALUE"""),"Sadiq Dala")</f>
        <v>Sadiq Dala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 t="str">
        <f>IFERROR(__xludf.DUMMYFUNCTION("""COMPUTED_VALUE"""),"Cluster 5")</f>
        <v>Cluster 5</v>
      </c>
      <c r="W158" s="4" t="str">
        <f>IFERROR(__xludf.DUMMYFUNCTION("""COMPUTED_VALUE"""),"YAKUBU BOKOTI STREET")</f>
        <v>YAKUBU BOKOTI STREET</v>
      </c>
      <c r="X158" s="4"/>
      <c r="Y158" s="4"/>
      <c r="Z158" s="4"/>
      <c r="AA158" s="4"/>
      <c r="AB158" s="4" t="str">
        <f>IFERROR(__xludf.DUMMYFUNCTION("""COMPUTED_VALUE"""),"Point 2")</f>
        <v>Point 2</v>
      </c>
      <c r="AC158" s="4">
        <f>IFERROR(__xludf.DUMMYFUNCTION("""COMPUTED_VALUE"""),11.939236)</f>
        <v>11.939236</v>
      </c>
      <c r="AD158" s="4">
        <f>IFERROR(__xludf.DUMMYFUNCTION("""COMPUTED_VALUE"""),8.559017)</f>
        <v>8.559017</v>
      </c>
      <c r="AE158" s="5" t="str">
        <f>IFERROR(__xludf.DUMMYFUNCTION("""COMPUTED_VALUE"""),"https://drive.google.com/open?id=1fau6EF2CLDg91eQlfIUL3sW3qs2fRN1s")</f>
        <v>https://drive.google.com/open?id=1fau6EF2CLDg91eQlfIUL3sW3qs2fRN1s</v>
      </c>
      <c r="AF158" s="4"/>
      <c r="AG158" s="4"/>
      <c r="AH158" s="4"/>
      <c r="AI158" s="4"/>
      <c r="AL158" s="4" t="str">
        <f t="shared" si="1"/>
        <v>Cluster 5</v>
      </c>
      <c r="AM158" s="4" t="str">
        <f t="shared" si="2"/>
        <v>YAKUBU BOKOTI STREET</v>
      </c>
    </row>
    <row r="159">
      <c r="A159" s="3">
        <f>IFERROR(__xludf.DUMMYFUNCTION("""COMPUTED_VALUE"""),45875.88580674768)</f>
        <v>45875.88581</v>
      </c>
      <c r="B159" s="4" t="str">
        <f>IFERROR(__xludf.DUMMYFUNCTION("""COMPUTED_VALUE"""),"ajisadiqdala@gmail.com")</f>
        <v>ajisadiqdala@gmail.com</v>
      </c>
      <c r="C159" s="4" t="str">
        <f>IFERROR(__xludf.DUMMYFUNCTION("""COMPUTED_VALUE"""),"Sadiq Dala")</f>
        <v>Sadiq Dala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 t="str">
        <f>IFERROR(__xludf.DUMMYFUNCTION("""COMPUTED_VALUE"""),"Cluster 5")</f>
        <v>Cluster 5</v>
      </c>
      <c r="W159" s="4" t="str">
        <f>IFERROR(__xludf.DUMMYFUNCTION("""COMPUTED_VALUE"""),"YAKUBU BOKOTI STREET")</f>
        <v>YAKUBU BOKOTI STREET</v>
      </c>
      <c r="X159" s="4"/>
      <c r="Y159" s="4"/>
      <c r="Z159" s="4"/>
      <c r="AA159" s="4"/>
      <c r="AB159" s="4" t="str">
        <f>IFERROR(__xludf.DUMMYFUNCTION("""COMPUTED_VALUE"""),"Point 1")</f>
        <v>Point 1</v>
      </c>
      <c r="AC159" s="4">
        <f>IFERROR(__xludf.DUMMYFUNCTION("""COMPUTED_VALUE"""),11.938153)</f>
        <v>11.938153</v>
      </c>
      <c r="AD159" s="4">
        <f>IFERROR(__xludf.DUMMYFUNCTION("""COMPUTED_VALUE"""),8.559406)</f>
        <v>8.559406</v>
      </c>
      <c r="AE159" s="5" t="str">
        <f>IFERROR(__xludf.DUMMYFUNCTION("""COMPUTED_VALUE"""),"https://drive.google.com/open?id=1yS4FaEcDNNYhUYyZax55_KB7bubnbrMw")</f>
        <v>https://drive.google.com/open?id=1yS4FaEcDNNYhUYyZax55_KB7bubnbrMw</v>
      </c>
      <c r="AF159" s="4"/>
      <c r="AG159" s="4"/>
      <c r="AH159" s="4"/>
      <c r="AI159" s="4"/>
      <c r="AL159" s="4" t="str">
        <f t="shared" si="1"/>
        <v>Cluster 5</v>
      </c>
      <c r="AM159" s="4" t="str">
        <f t="shared" si="2"/>
        <v>YAKUBU BOKOTI STREET</v>
      </c>
    </row>
    <row r="160">
      <c r="A160" s="3">
        <f>IFERROR(__xludf.DUMMYFUNCTION("""COMPUTED_VALUE"""),45875.884050567125)</f>
        <v>45875.88405</v>
      </c>
      <c r="B160" s="4" t="str">
        <f>IFERROR(__xludf.DUMMYFUNCTION("""COMPUTED_VALUE"""),"ajisadiqdala@gmail.com")</f>
        <v>ajisadiqdala@gmail.com</v>
      </c>
      <c r="C160" s="4" t="str">
        <f>IFERROR(__xludf.DUMMYFUNCTION("""COMPUTED_VALUE"""),"Sadiq Dala")</f>
        <v>Sadiq Dala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 t="str">
        <f>IFERROR(__xludf.DUMMYFUNCTION("""COMPUTED_VALUE"""),"Cluster 5")</f>
        <v>Cluster 5</v>
      </c>
      <c r="W160" s="4" t="str">
        <f>IFERROR(__xludf.DUMMYFUNCTION("""COMPUTED_VALUE"""),"MAL ADAM STREET")</f>
        <v>MAL ADAM STREET</v>
      </c>
      <c r="X160" s="4"/>
      <c r="Y160" s="4"/>
      <c r="Z160" s="4"/>
      <c r="AA160" s="4"/>
      <c r="AB160" s="4" t="str">
        <f>IFERROR(__xludf.DUMMYFUNCTION("""COMPUTED_VALUE"""),"Point 2")</f>
        <v>Point 2</v>
      </c>
      <c r="AC160" s="4">
        <f>IFERROR(__xludf.DUMMYFUNCTION("""COMPUTED_VALUE"""),11.941359)</f>
        <v>11.941359</v>
      </c>
      <c r="AD160" s="4">
        <f>IFERROR(__xludf.DUMMYFUNCTION("""COMPUTED_VALUE"""),8.560149)</f>
        <v>8.560149</v>
      </c>
      <c r="AE160" s="5" t="str">
        <f>IFERROR(__xludf.DUMMYFUNCTION("""COMPUTED_VALUE"""),"https://drive.google.com/open?id=1iD-_VNbKJ7Ev9jtKRoDKpMM7D8R1FvWL")</f>
        <v>https://drive.google.com/open?id=1iD-_VNbKJ7Ev9jtKRoDKpMM7D8R1FvWL</v>
      </c>
      <c r="AF160" s="4"/>
      <c r="AG160" s="4"/>
      <c r="AH160" s="4"/>
      <c r="AI160" s="4"/>
      <c r="AL160" s="4" t="str">
        <f t="shared" si="1"/>
        <v>Cluster 5</v>
      </c>
      <c r="AM160" s="4" t="str">
        <f t="shared" si="2"/>
        <v>MAL ADAM STREET</v>
      </c>
    </row>
    <row r="161">
      <c r="A161" s="3">
        <f>IFERROR(__xludf.DUMMYFUNCTION("""COMPUTED_VALUE"""),45875.88267842593)</f>
        <v>45875.88268</v>
      </c>
      <c r="B161" s="4" t="str">
        <f>IFERROR(__xludf.DUMMYFUNCTION("""COMPUTED_VALUE"""),"ajisadiqdala@gmail.com")</f>
        <v>ajisadiqdala@gmail.com</v>
      </c>
      <c r="C161" s="4" t="str">
        <f>IFERROR(__xludf.DUMMYFUNCTION("""COMPUTED_VALUE"""),"Sadiq Dala")</f>
        <v>Sadiq Dala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 t="str">
        <f>IFERROR(__xludf.DUMMYFUNCTION("""COMPUTED_VALUE"""),"Cluster 5")</f>
        <v>Cluster 5</v>
      </c>
      <c r="W161" s="4" t="str">
        <f>IFERROR(__xludf.DUMMYFUNCTION("""COMPUTED_VALUE"""),"MAL ADAM STREET")</f>
        <v>MAL ADAM STREET</v>
      </c>
      <c r="X161" s="4"/>
      <c r="Y161" s="4"/>
      <c r="Z161" s="4"/>
      <c r="AA161" s="4"/>
      <c r="AB161" s="4" t="str">
        <f>IFERROR(__xludf.DUMMYFUNCTION("""COMPUTED_VALUE"""),"Point 1")</f>
        <v>Point 1</v>
      </c>
      <c r="AC161" s="4">
        <f>IFERROR(__xludf.DUMMYFUNCTION("""COMPUTED_VALUE"""),11.94274)</f>
        <v>11.94274</v>
      </c>
      <c r="AD161" s="4">
        <f>IFERROR(__xludf.DUMMYFUNCTION("""COMPUTED_VALUE"""),8.55963)</f>
        <v>8.55963</v>
      </c>
      <c r="AE161" s="5" t="str">
        <f>IFERROR(__xludf.DUMMYFUNCTION("""COMPUTED_VALUE"""),"https://drive.google.com/open?id=1V6qZGcPNt-jMErt7VgkKLAHvPuAGAHc2")</f>
        <v>https://drive.google.com/open?id=1V6qZGcPNt-jMErt7VgkKLAHvPuAGAHc2</v>
      </c>
      <c r="AF161" s="4"/>
      <c r="AG161" s="4"/>
      <c r="AH161" s="4"/>
      <c r="AI161" s="4"/>
      <c r="AL161" s="4" t="str">
        <f t="shared" si="1"/>
        <v>Cluster 5</v>
      </c>
      <c r="AM161" s="4" t="str">
        <f t="shared" si="2"/>
        <v>MAL ADAM STREET</v>
      </c>
    </row>
    <row r="162">
      <c r="A162" s="3">
        <f>IFERROR(__xludf.DUMMYFUNCTION("""COMPUTED_VALUE"""),45875.88083928241)</f>
        <v>45875.88084</v>
      </c>
      <c r="B162" s="4" t="str">
        <f>IFERROR(__xludf.DUMMYFUNCTION("""COMPUTED_VALUE"""),"ajisadiqdala@gmail.com")</f>
        <v>ajisadiqdala@gmail.com</v>
      </c>
      <c r="C162" s="4" t="str">
        <f>IFERROR(__xludf.DUMMYFUNCTION("""COMPUTED_VALUE"""),"Sadiq Dala")</f>
        <v>Sadiq Dala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 t="str">
        <f>IFERROR(__xludf.DUMMYFUNCTION("""COMPUTED_VALUE"""),"Cluster 5")</f>
        <v>Cluster 5</v>
      </c>
      <c r="W162" s="4" t="str">
        <f>IFERROR(__xludf.DUMMYFUNCTION("""COMPUTED_VALUE"""),"YAR AKWA LAYIN CEMENT STREET")</f>
        <v>YAR AKWA LAYIN CEMENT STREET</v>
      </c>
      <c r="X162" s="4"/>
      <c r="Y162" s="4"/>
      <c r="Z162" s="4"/>
      <c r="AA162" s="4"/>
      <c r="AB162" s="4" t="str">
        <f>IFERROR(__xludf.DUMMYFUNCTION("""COMPUTED_VALUE"""),"Point 2")</f>
        <v>Point 2</v>
      </c>
      <c r="AC162" s="4">
        <f>IFERROR(__xludf.DUMMYFUNCTION("""COMPUTED_VALUE"""),11.941608)</f>
        <v>11.941608</v>
      </c>
      <c r="AD162" s="4">
        <f>IFERROR(__xludf.DUMMYFUNCTION("""COMPUTED_VALUE"""),8.556957)</f>
        <v>8.556957</v>
      </c>
      <c r="AE162" s="5" t="str">
        <f>IFERROR(__xludf.DUMMYFUNCTION("""COMPUTED_VALUE"""),"https://drive.google.com/open?id=1pZ9IwaarWEZr3ulQdprw74Yv2zh0xWQa")</f>
        <v>https://drive.google.com/open?id=1pZ9IwaarWEZr3ulQdprw74Yv2zh0xWQa</v>
      </c>
      <c r="AF162" s="4"/>
      <c r="AG162" s="4"/>
      <c r="AH162" s="4"/>
      <c r="AI162" s="4"/>
      <c r="AL162" s="4" t="str">
        <f t="shared" si="1"/>
        <v>Cluster 5</v>
      </c>
      <c r="AM162" s="4" t="str">
        <f t="shared" si="2"/>
        <v>YAR AKWA LAYIN CEMENT STREET</v>
      </c>
    </row>
    <row r="163">
      <c r="A163" s="3">
        <f>IFERROR(__xludf.DUMMYFUNCTION("""COMPUTED_VALUE"""),45875.87937589121)</f>
        <v>45875.87938</v>
      </c>
      <c r="B163" s="4" t="str">
        <f>IFERROR(__xludf.DUMMYFUNCTION("""COMPUTED_VALUE"""),"ajisadiqdala@gmail.com")</f>
        <v>ajisadiqdala@gmail.com</v>
      </c>
      <c r="C163" s="4" t="str">
        <f>IFERROR(__xludf.DUMMYFUNCTION("""COMPUTED_VALUE"""),"Sadiq Dala")</f>
        <v>Sadiq Dala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 t="str">
        <f>IFERROR(__xludf.DUMMYFUNCTION("""COMPUTED_VALUE"""),"Cluster 5")</f>
        <v>Cluster 5</v>
      </c>
      <c r="W163" s="4" t="str">
        <f>IFERROR(__xludf.DUMMYFUNCTION("""COMPUTED_VALUE"""),"YAR AKWA LAYIN CEMENT STREET")</f>
        <v>YAR AKWA LAYIN CEMENT STREET</v>
      </c>
      <c r="X163" s="4"/>
      <c r="Y163" s="4"/>
      <c r="Z163" s="4"/>
      <c r="AA163" s="4"/>
      <c r="AB163" s="4" t="str">
        <f>IFERROR(__xludf.DUMMYFUNCTION("""COMPUTED_VALUE"""),"Point 1")</f>
        <v>Point 1</v>
      </c>
      <c r="AC163" s="4">
        <f>IFERROR(__xludf.DUMMYFUNCTION("""COMPUTED_VALUE"""),11.940429)</f>
        <v>11.940429</v>
      </c>
      <c r="AD163" s="4">
        <f>IFERROR(__xludf.DUMMYFUNCTION("""COMPUTED_VALUE"""),8.557428)</f>
        <v>8.557428</v>
      </c>
      <c r="AE163" s="5" t="str">
        <f>IFERROR(__xludf.DUMMYFUNCTION("""COMPUTED_VALUE"""),"https://drive.google.com/open?id=1zRI-9znm1_P4SP1ScR9ToF_9v0xlj4ZA")</f>
        <v>https://drive.google.com/open?id=1zRI-9znm1_P4SP1ScR9ToF_9v0xlj4ZA</v>
      </c>
      <c r="AF163" s="4"/>
      <c r="AG163" s="4"/>
      <c r="AH163" s="4"/>
      <c r="AI163" s="4"/>
      <c r="AL163" s="4" t="str">
        <f t="shared" si="1"/>
        <v>Cluster 5</v>
      </c>
      <c r="AM163" s="4" t="str">
        <f t="shared" si="2"/>
        <v>YAR AKWA LAYIN CEMENT STREET</v>
      </c>
    </row>
    <row r="164">
      <c r="A164" s="3">
        <f>IFERROR(__xludf.DUMMYFUNCTION("""COMPUTED_VALUE"""),45875.58894457176)</f>
        <v>45875.58894</v>
      </c>
      <c r="B164" s="4" t="str">
        <f>IFERROR(__xludf.DUMMYFUNCTION("""COMPUTED_VALUE"""),"elhabs256@gmail.com")</f>
        <v>elhabs256@gmail.com</v>
      </c>
      <c r="C164" s="4" t="str">
        <f>IFERROR(__xludf.DUMMYFUNCTION("""COMPUTED_VALUE"""),"Abdullahi Elhabeeb")</f>
        <v>Abdullahi Elhabeeb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tr">
        <f>IFERROR(__xludf.DUMMYFUNCTION("""COMPUTED_VALUE"""),"Cluster 16")</f>
        <v>Cluster 16</v>
      </c>
      <c r="Q164" s="4"/>
      <c r="R164" s="4"/>
      <c r="S164" s="4" t="str">
        <f>IFERROR(__xludf.DUMMYFUNCTION("""COMPUTED_VALUE"""),"MOHAMMED MOHAMMED AVENUE")</f>
        <v>MOHAMMED MOHAMMED AVENUE</v>
      </c>
      <c r="T164" s="4"/>
      <c r="U164" s="4"/>
      <c r="V164" s="4"/>
      <c r="W164" s="4"/>
      <c r="X164" s="4"/>
      <c r="Y164" s="4"/>
      <c r="Z164" s="4"/>
      <c r="AA164" s="4"/>
      <c r="AB164" s="4" t="str">
        <f>IFERROR(__xludf.DUMMYFUNCTION("""COMPUTED_VALUE"""),"Point 1")</f>
        <v>Point 1</v>
      </c>
      <c r="AC164" s="4">
        <f>IFERROR(__xludf.DUMMYFUNCTION("""COMPUTED_VALUE"""),11.97496389)</f>
        <v>11.97496389</v>
      </c>
      <c r="AD164" s="4">
        <f>IFERROR(__xludf.DUMMYFUNCTION("""COMPUTED_VALUE"""),8.562019444)</f>
        <v>8.562019444</v>
      </c>
      <c r="AE164" s="5" t="str">
        <f>IFERROR(__xludf.DUMMYFUNCTION("""COMPUTED_VALUE"""),"https://drive.google.com/open?id=1O-3dwLNOmh3Zh1RnXNw6ZTAnw93wB2PY")</f>
        <v>https://drive.google.com/open?id=1O-3dwLNOmh3Zh1RnXNw6ZTAnw93wB2PY</v>
      </c>
      <c r="AF164" s="4"/>
      <c r="AG164" s="4"/>
      <c r="AH164" s="4"/>
      <c r="AI164" s="4"/>
      <c r="AL164" s="4" t="str">
        <f t="shared" si="1"/>
        <v>Cluster 16</v>
      </c>
      <c r="AM164" s="4" t="str">
        <f t="shared" si="2"/>
        <v>MOHAMMED MOHAMMED AVENUE</v>
      </c>
    </row>
    <row r="165">
      <c r="A165" s="3">
        <f>IFERROR(__xludf.DUMMYFUNCTION("""COMPUTED_VALUE"""),45875.5687925463)</f>
        <v>45875.56879</v>
      </c>
      <c r="B165" s="4" t="str">
        <f>IFERROR(__xludf.DUMMYFUNCTION("""COMPUTED_VALUE"""),"elhabs256@gmail.com")</f>
        <v>elhabs256@gmail.com</v>
      </c>
      <c r="C165" s="4" t="str">
        <f>IFERROR(__xludf.DUMMYFUNCTION("""COMPUTED_VALUE"""),"Abdullahi Elhabeeb")</f>
        <v>Abdullahi Elhabeeb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tr">
        <f>IFERROR(__xludf.DUMMYFUNCTION("""COMPUTED_VALUE"""),"Cluster 16")</f>
        <v>Cluster 16</v>
      </c>
      <c r="Q165" s="4"/>
      <c r="R165" s="4"/>
      <c r="S165" s="4" t="str">
        <f>IFERROR(__xludf.DUMMYFUNCTION("""COMPUTED_VALUE"""),"MOHAMMED MOHAMMED AVENUE")</f>
        <v>MOHAMMED MOHAMMED AVENUE</v>
      </c>
      <c r="T165" s="4"/>
      <c r="U165" s="4"/>
      <c r="V165" s="4"/>
      <c r="W165" s="4"/>
      <c r="X165" s="4"/>
      <c r="Y165" s="4"/>
      <c r="Z165" s="4"/>
      <c r="AA165" s="4"/>
      <c r="AB165" s="4" t="str">
        <f>IFERROR(__xludf.DUMMYFUNCTION("""COMPUTED_VALUE"""),"Point 1")</f>
        <v>Point 1</v>
      </c>
      <c r="AC165" s="4">
        <f>IFERROR(__xludf.DUMMYFUNCTION("""COMPUTED_VALUE"""),11.975042)</f>
        <v>11.975042</v>
      </c>
      <c r="AD165" s="4">
        <f>IFERROR(__xludf.DUMMYFUNCTION("""COMPUTED_VALUE"""),8.562106)</f>
        <v>8.562106</v>
      </c>
      <c r="AE165" s="5" t="str">
        <f>IFERROR(__xludf.DUMMYFUNCTION("""COMPUTED_VALUE"""),"https://drive.google.com/open?id=1N9HeHl0CDLBd7v02mjJUzrF7QgFzWdUK")</f>
        <v>https://drive.google.com/open?id=1N9HeHl0CDLBd7v02mjJUzrF7QgFzWdUK</v>
      </c>
      <c r="AF165" s="4"/>
      <c r="AG165" s="4"/>
      <c r="AH165" s="4"/>
      <c r="AI165" s="4"/>
      <c r="AL165" s="4" t="str">
        <f t="shared" si="1"/>
        <v>Cluster 16</v>
      </c>
      <c r="AM165" s="4" t="str">
        <f t="shared" si="2"/>
        <v>MOHAMMED MOHAMMED AVENUE</v>
      </c>
    </row>
    <row r="166">
      <c r="A166" s="3">
        <f>IFERROR(__xludf.DUMMYFUNCTION("""COMPUTED_VALUE"""),45875.56385524306)</f>
        <v>45875.56386</v>
      </c>
      <c r="B166" s="4" t="str">
        <f>IFERROR(__xludf.DUMMYFUNCTION("""COMPUTED_VALUE"""),"elhabs256@gmail.com")</f>
        <v>elhabs256@gmail.com</v>
      </c>
      <c r="C166" s="4" t="str">
        <f>IFERROR(__xludf.DUMMYFUNCTION("""COMPUTED_VALUE"""),"Abdullahi Elhabeeb")</f>
        <v>Abdullahi Elhabeeb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tr">
        <f>IFERROR(__xludf.DUMMYFUNCTION("""COMPUTED_VALUE"""),"Cluster 2")</f>
        <v>Cluster 2</v>
      </c>
      <c r="Q166" s="4"/>
      <c r="R166" s="4" t="str">
        <f>IFERROR(__xludf.DUMMYFUNCTION("""COMPUTED_VALUE"""),"USMANIYYA LINK")</f>
        <v>USMANIYYA LINK</v>
      </c>
      <c r="S166" s="4"/>
      <c r="T166" s="4"/>
      <c r="U166" s="4"/>
      <c r="V166" s="4"/>
      <c r="W166" s="4"/>
      <c r="X166" s="4"/>
      <c r="Y166" s="4"/>
      <c r="Z166" s="4"/>
      <c r="AA166" s="4"/>
      <c r="AB166" s="4" t="str">
        <f>IFERROR(__xludf.DUMMYFUNCTION("""COMPUTED_VALUE"""),"Point 2")</f>
        <v>Point 2</v>
      </c>
      <c r="AC166" s="4">
        <f>IFERROR(__xludf.DUMMYFUNCTION("""COMPUTED_VALUE"""),11.991738)</f>
        <v>11.991738</v>
      </c>
      <c r="AD166" s="4">
        <f>IFERROR(__xludf.DUMMYFUNCTION("""COMPUTED_VALUE"""),8.536749)</f>
        <v>8.536749</v>
      </c>
      <c r="AE166" s="5" t="str">
        <f>IFERROR(__xludf.DUMMYFUNCTION("""COMPUTED_VALUE"""),"https://drive.google.com/open?id=1D3yKi9j1ZISwZpiQ0DxR95TMJ-pSFJgW")</f>
        <v>https://drive.google.com/open?id=1D3yKi9j1ZISwZpiQ0DxR95TMJ-pSFJgW</v>
      </c>
      <c r="AF166" s="4"/>
      <c r="AG166" s="4"/>
      <c r="AH166" s="4"/>
      <c r="AI166" s="4"/>
      <c r="AL166" s="4" t="str">
        <f t="shared" si="1"/>
        <v>Cluster 2</v>
      </c>
      <c r="AM166" s="4" t="str">
        <f t="shared" si="2"/>
        <v>USMANIYYA LINK</v>
      </c>
    </row>
    <row r="167">
      <c r="A167" s="3">
        <f>IFERROR(__xludf.DUMMYFUNCTION("""COMPUTED_VALUE"""),45875.56255341435)</f>
        <v>45875.56255</v>
      </c>
      <c r="B167" s="4" t="str">
        <f>IFERROR(__xludf.DUMMYFUNCTION("""COMPUTED_VALUE"""),"elhabs256@gmail.com")</f>
        <v>elhabs256@gmail.com</v>
      </c>
      <c r="C167" s="4" t="str">
        <f>IFERROR(__xludf.DUMMYFUNCTION("""COMPUTED_VALUE"""),"Abdullahi Elhabeeb")</f>
        <v>Abdullahi Elhabeeb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tr">
        <f>IFERROR(__xludf.DUMMYFUNCTION("""COMPUTED_VALUE"""),"Cluster 2")</f>
        <v>Cluster 2</v>
      </c>
      <c r="Q167" s="4"/>
      <c r="R167" s="4" t="str">
        <f>IFERROR(__xludf.DUMMYFUNCTION("""COMPUTED_VALUE"""),"USMANIYYA LINK")</f>
        <v>USMANIYYA LINK</v>
      </c>
      <c r="S167" s="4"/>
      <c r="T167" s="4"/>
      <c r="U167" s="4"/>
      <c r="V167" s="4"/>
      <c r="W167" s="4"/>
      <c r="X167" s="4"/>
      <c r="Y167" s="4"/>
      <c r="Z167" s="4"/>
      <c r="AA167" s="4"/>
      <c r="AB167" s="4" t="str">
        <f>IFERROR(__xludf.DUMMYFUNCTION("""COMPUTED_VALUE"""),"Point 1")</f>
        <v>Point 1</v>
      </c>
      <c r="AC167" s="4">
        <f>IFERROR(__xludf.DUMMYFUNCTION("""COMPUTED_VALUE"""),11.992681)</f>
        <v>11.992681</v>
      </c>
      <c r="AD167" s="4">
        <f>IFERROR(__xludf.DUMMYFUNCTION("""COMPUTED_VALUE"""),8.536534)</f>
        <v>8.536534</v>
      </c>
      <c r="AE167" s="5" t="str">
        <f>IFERROR(__xludf.DUMMYFUNCTION("""COMPUTED_VALUE"""),"https://drive.google.com/open?id=10rBGEK-SP0MAxQhXyuZ20TQgm_iu-yAt")</f>
        <v>https://drive.google.com/open?id=10rBGEK-SP0MAxQhXyuZ20TQgm_iu-yAt</v>
      </c>
      <c r="AF167" s="4"/>
      <c r="AG167" s="4"/>
      <c r="AH167" s="4"/>
      <c r="AI167" s="4"/>
      <c r="AL167" s="4" t="str">
        <f t="shared" si="1"/>
        <v>Cluster 2</v>
      </c>
      <c r="AM167" s="4" t="str">
        <f t="shared" si="2"/>
        <v>USMANIYYA LINK</v>
      </c>
    </row>
    <row r="168">
      <c r="A168" s="3">
        <f>IFERROR(__xludf.DUMMYFUNCTION("""COMPUTED_VALUE"""),45875.5543221875)</f>
        <v>45875.55432</v>
      </c>
      <c r="B168" s="4" t="str">
        <f>IFERROR(__xludf.DUMMYFUNCTION("""COMPUTED_VALUE"""),"elhabs256@gmail.com")</f>
        <v>elhabs256@gmail.com</v>
      </c>
      <c r="C168" s="4" t="str">
        <f>IFERROR(__xludf.DUMMYFUNCTION("""COMPUTED_VALUE"""),"Abdullahi Elhabeeb")</f>
        <v>Abdullahi Elhabeeb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tr">
        <f>IFERROR(__xludf.DUMMYFUNCTION("""COMPUTED_VALUE"""),"Cluster 6")</f>
        <v>Cluster 6</v>
      </c>
      <c r="Q168" s="4" t="str">
        <f>IFERROR(__xludf.DUMMYFUNCTION("""COMPUTED_VALUE"""),"SABO BAKIN ZUWO ROAD")</f>
        <v>SABO BAKIN ZUWO ROAD</v>
      </c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 t="str">
        <f>IFERROR(__xludf.DUMMYFUNCTION("""COMPUTED_VALUE"""),"Point 2")</f>
        <v>Point 2</v>
      </c>
      <c r="AC168" s="4">
        <f>IFERROR(__xludf.DUMMYFUNCTION("""COMPUTED_VALUE"""),11.976742)</f>
        <v>11.976742</v>
      </c>
      <c r="AD168" s="4">
        <f>IFERROR(__xludf.DUMMYFUNCTION("""COMPUTED_VALUE"""),8.56527)</f>
        <v>8.56527</v>
      </c>
      <c r="AE168" s="5" t="str">
        <f>IFERROR(__xludf.DUMMYFUNCTION("""COMPUTED_VALUE"""),"https://drive.google.com/open?id=1ow3rMXNu6z6OKL4xh0qjY2ofMNPZmq38")</f>
        <v>https://drive.google.com/open?id=1ow3rMXNu6z6OKL4xh0qjY2ofMNPZmq38</v>
      </c>
      <c r="AF168" s="4"/>
      <c r="AG168" s="4"/>
      <c r="AH168" s="4"/>
      <c r="AI168" s="4"/>
      <c r="AL168" s="4" t="str">
        <f t="shared" si="1"/>
        <v>Cluster 6</v>
      </c>
      <c r="AM168" s="4" t="str">
        <f t="shared" si="2"/>
        <v>SABO BAKIN ZUWO ROAD</v>
      </c>
    </row>
    <row r="169">
      <c r="A169" s="3">
        <f>IFERROR(__xludf.DUMMYFUNCTION("""COMPUTED_VALUE"""),45874.667700763894)</f>
        <v>45874.6677</v>
      </c>
      <c r="B169" s="4" t="str">
        <f>IFERROR(__xludf.DUMMYFUNCTION("""COMPUTED_VALUE"""),"umrdalhatu@gmail.com")</f>
        <v>umrdalhatu@gmail.com</v>
      </c>
      <c r="C169" s="4" t="str">
        <f>IFERROR(__xludf.DUMMYFUNCTION("""COMPUTED_VALUE"""),"Umar Dalhatu")</f>
        <v>Umar Dalhatu</v>
      </c>
      <c r="D169" s="4"/>
      <c r="E169" s="4"/>
      <c r="F169" s="4"/>
      <c r="G169" s="4"/>
      <c r="H169" s="4"/>
      <c r="I169" s="4"/>
      <c r="J169" s="4" t="str">
        <f>IFERROR(__xludf.DUMMYFUNCTION("""COMPUTED_VALUE"""),"Cluster 1")</f>
        <v>Cluster 1</v>
      </c>
      <c r="K169" s="4" t="str">
        <f>IFERROR(__xludf.DUMMYFUNCTION("""COMPUTED_VALUE"""),"A.M. PANDA STREET")</f>
        <v>A.M. PANDA STREET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 t="str">
        <f>IFERROR(__xludf.DUMMYFUNCTION("""COMPUTED_VALUE"""),"Point 2")</f>
        <v>Point 2</v>
      </c>
      <c r="AC169" s="4">
        <f>IFERROR(__xludf.DUMMYFUNCTION("""COMPUTED_VALUE"""),11.99703724)</f>
        <v>11.99703724</v>
      </c>
      <c r="AD169" s="4">
        <f>IFERROR(__xludf.DUMMYFUNCTION("""COMPUTED_VALUE"""),8.575485903)</f>
        <v>8.575485903</v>
      </c>
      <c r="AE169" s="5" t="str">
        <f>IFERROR(__xludf.DUMMYFUNCTION("""COMPUTED_VALUE"""),"https://drive.google.com/open?id=1OhqaU_pB5Jp_ZGgoEdpzrUyKodp_rXNw")</f>
        <v>https://drive.google.com/open?id=1OhqaU_pB5Jp_ZGgoEdpzrUyKodp_rXNw</v>
      </c>
      <c r="AF169" s="4"/>
      <c r="AG169" s="4"/>
      <c r="AH169" s="4"/>
      <c r="AI169" s="4"/>
      <c r="AL169" s="4" t="str">
        <f t="shared" si="1"/>
        <v>Cluster 1</v>
      </c>
      <c r="AM169" s="4" t="str">
        <f t="shared" si="2"/>
        <v>A.M. PANDA STREET</v>
      </c>
    </row>
    <row r="170">
      <c r="A170" s="3">
        <f>IFERROR(__xludf.DUMMYFUNCTION("""COMPUTED_VALUE"""),45874.665960266204)</f>
        <v>45874.66596</v>
      </c>
      <c r="B170" s="4" t="str">
        <f>IFERROR(__xludf.DUMMYFUNCTION("""COMPUTED_VALUE"""),"umrdalhatu@gmail.com")</f>
        <v>umrdalhatu@gmail.com</v>
      </c>
      <c r="C170" s="4" t="str">
        <f>IFERROR(__xludf.DUMMYFUNCTION("""COMPUTED_VALUE"""),"Umar Dalhatu")</f>
        <v>Umar Dalhatu</v>
      </c>
      <c r="D170" s="4"/>
      <c r="E170" s="4"/>
      <c r="F170" s="4"/>
      <c r="G170" s="4"/>
      <c r="H170" s="4"/>
      <c r="I170" s="4"/>
      <c r="J170" s="4" t="str">
        <f>IFERROR(__xludf.DUMMYFUNCTION("""COMPUTED_VALUE"""),"Cluster 7")</f>
        <v>Cluster 7</v>
      </c>
      <c r="K170" s="4"/>
      <c r="L170" s="4" t="str">
        <f>IFERROR(__xludf.DUMMYFUNCTION("""COMPUTED_VALUE"""),"AMINU DANWAWU STREET")</f>
        <v>AMINU DANWAWU STREET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 t="str">
        <f>IFERROR(__xludf.DUMMYFUNCTION("""COMPUTED_VALUE"""),"Point 2")</f>
        <v>Point 2</v>
      </c>
      <c r="AC170" s="4">
        <f>IFERROR(__xludf.DUMMYFUNCTION("""COMPUTED_VALUE"""),12.007482)</f>
        <v>12.007482</v>
      </c>
      <c r="AD170" s="4">
        <f>IFERROR(__xludf.DUMMYFUNCTION("""COMPUTED_VALUE"""),8.579565)</f>
        <v>8.579565</v>
      </c>
      <c r="AE170" s="5" t="str">
        <f>IFERROR(__xludf.DUMMYFUNCTION("""COMPUTED_VALUE"""),"https://drive.google.com/open?id=1Fs4w0rauXvnMik0RPHMnubLKx6P8DYK0")</f>
        <v>https://drive.google.com/open?id=1Fs4w0rauXvnMik0RPHMnubLKx6P8DYK0</v>
      </c>
      <c r="AF170" s="4"/>
      <c r="AG170" s="4"/>
      <c r="AH170" s="4"/>
      <c r="AI170" s="4"/>
      <c r="AL170" s="4" t="str">
        <f t="shared" si="1"/>
        <v>Cluster 7</v>
      </c>
      <c r="AM170" s="4" t="str">
        <f t="shared" si="2"/>
        <v>AMINU DANWAWU STREET</v>
      </c>
    </row>
    <row r="171">
      <c r="A171" s="3">
        <f>IFERROR(__xludf.DUMMYFUNCTION("""COMPUTED_VALUE"""),45874.66437134259)</f>
        <v>45874.66437</v>
      </c>
      <c r="B171" s="4" t="str">
        <f>IFERROR(__xludf.DUMMYFUNCTION("""COMPUTED_VALUE"""),"umrdalhatu@gmail.com")</f>
        <v>umrdalhatu@gmail.com</v>
      </c>
      <c r="C171" s="4" t="str">
        <f>IFERROR(__xludf.DUMMYFUNCTION("""COMPUTED_VALUE"""),"Umar Dalhatu")</f>
        <v>Umar Dalhatu</v>
      </c>
      <c r="D171" s="4"/>
      <c r="E171" s="4"/>
      <c r="F171" s="4"/>
      <c r="G171" s="4"/>
      <c r="H171" s="4"/>
      <c r="I171" s="4"/>
      <c r="J171" s="4" t="str">
        <f>IFERROR(__xludf.DUMMYFUNCTION("""COMPUTED_VALUE"""),"Cluster 7")</f>
        <v>Cluster 7</v>
      </c>
      <c r="K171" s="4"/>
      <c r="L171" s="4" t="str">
        <f>IFERROR(__xludf.DUMMYFUNCTION("""COMPUTED_VALUE"""),"AMINU MODI STREET")</f>
        <v>AMINU MODI STREET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 t="str">
        <f>IFERROR(__xludf.DUMMYFUNCTION("""COMPUTED_VALUE"""),"Point 2")</f>
        <v>Point 2</v>
      </c>
      <c r="AC171" s="4">
        <f>IFERROR(__xludf.DUMMYFUNCTION("""COMPUTED_VALUE"""),12.00677333)</f>
        <v>12.00677333</v>
      </c>
      <c r="AD171" s="4">
        <f>IFERROR(__xludf.DUMMYFUNCTION("""COMPUTED_VALUE"""),8.579671587)</f>
        <v>8.579671587</v>
      </c>
      <c r="AE171" s="5" t="str">
        <f>IFERROR(__xludf.DUMMYFUNCTION("""COMPUTED_VALUE"""),"https://drive.google.com/open?id=1AGMaXHvr8bKw6ptGdyL5rjKo7m_Iw2Wu")</f>
        <v>https://drive.google.com/open?id=1AGMaXHvr8bKw6ptGdyL5rjKo7m_Iw2Wu</v>
      </c>
      <c r="AF171" s="4"/>
      <c r="AG171" s="4"/>
      <c r="AH171" s="4"/>
      <c r="AI171" s="4"/>
      <c r="AL171" s="4" t="str">
        <f t="shared" si="1"/>
        <v>Cluster 7</v>
      </c>
      <c r="AM171" s="4" t="str">
        <f t="shared" si="2"/>
        <v>AMINU MODI STREET</v>
      </c>
    </row>
    <row r="172">
      <c r="A172" s="3">
        <f>IFERROR(__xludf.DUMMYFUNCTION("""COMPUTED_VALUE"""),45874.66263207176)</f>
        <v>45874.66263</v>
      </c>
      <c r="B172" s="4" t="str">
        <f>IFERROR(__xludf.DUMMYFUNCTION("""COMPUTED_VALUE"""),"umrdalhatu@gmail.com")</f>
        <v>umrdalhatu@gmail.com</v>
      </c>
      <c r="C172" s="4" t="str">
        <f>IFERROR(__xludf.DUMMYFUNCTION("""COMPUTED_VALUE"""),"Umar Dalhatu")</f>
        <v>Umar Dalhatu</v>
      </c>
      <c r="D172" s="4"/>
      <c r="E172" s="4"/>
      <c r="F172" s="4"/>
      <c r="G172" s="4"/>
      <c r="H172" s="4"/>
      <c r="I172" s="4"/>
      <c r="J172" s="4" t="str">
        <f>IFERROR(__xludf.DUMMYFUNCTION("""COMPUTED_VALUE"""),"Cluster 14")</f>
        <v>Cluster 14</v>
      </c>
      <c r="K172" s="4"/>
      <c r="L172" s="4"/>
      <c r="M172" s="4"/>
      <c r="N172" s="4" t="str">
        <f>IFERROR(__xludf.DUMMYFUNCTION("""COMPUTED_VALUE"""),"LARABA CLOSE")</f>
        <v>LARABA CLOSE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 t="str">
        <f>IFERROR(__xludf.DUMMYFUNCTION("""COMPUTED_VALUE"""),"Point 1")</f>
        <v>Point 1</v>
      </c>
      <c r="AC172" s="4">
        <f>IFERROR(__xludf.DUMMYFUNCTION("""COMPUTED_VALUE"""),11.9856943)</f>
        <v>11.9856943</v>
      </c>
      <c r="AD172" s="4">
        <f>IFERROR(__xludf.DUMMYFUNCTION("""COMPUTED_VALUE"""),8.582618228)</f>
        <v>8.582618228</v>
      </c>
      <c r="AE172" s="5" t="str">
        <f>IFERROR(__xludf.DUMMYFUNCTION("""COMPUTED_VALUE"""),"https://drive.google.com/open?id=1a9XQ9yvcnNQIjfd8_ynmBG0VEqIy3S9V")</f>
        <v>https://drive.google.com/open?id=1a9XQ9yvcnNQIjfd8_ynmBG0VEqIy3S9V</v>
      </c>
      <c r="AF172" s="4"/>
      <c r="AG172" s="4"/>
      <c r="AH172" s="4"/>
      <c r="AI172" s="4"/>
      <c r="AL172" s="4" t="str">
        <f t="shared" si="1"/>
        <v>Cluster 14</v>
      </c>
      <c r="AM172" s="4" t="str">
        <f t="shared" si="2"/>
        <v>LARABA CLOSE</v>
      </c>
    </row>
    <row r="173">
      <c r="A173" s="3">
        <f>IFERROR(__xludf.DUMMYFUNCTION("""COMPUTED_VALUE"""),45874.65959729167)</f>
        <v>45874.6596</v>
      </c>
      <c r="B173" s="4" t="str">
        <f>IFERROR(__xludf.DUMMYFUNCTION("""COMPUTED_VALUE"""),"umrdalhatu@gmail.com")</f>
        <v>umrdalhatu@gmail.com</v>
      </c>
      <c r="C173" s="4" t="str">
        <f>IFERROR(__xludf.DUMMYFUNCTION("""COMPUTED_VALUE"""),"Umar Dalhatu")</f>
        <v>Umar Dalhatu</v>
      </c>
      <c r="D173" s="4"/>
      <c r="E173" s="4"/>
      <c r="F173" s="4"/>
      <c r="G173" s="4"/>
      <c r="H173" s="4"/>
      <c r="I173" s="4"/>
      <c r="J173" s="4" t="str">
        <f>IFERROR(__xludf.DUMMYFUNCTION("""COMPUTED_VALUE"""),"Cluster 14")</f>
        <v>Cluster 14</v>
      </c>
      <c r="K173" s="4"/>
      <c r="L173" s="4"/>
      <c r="M173" s="4"/>
      <c r="N173" s="4" t="str">
        <f>IFERROR(__xludf.DUMMYFUNCTION("""COMPUTED_VALUE"""),"UNITY COMPREHENSIVE STREET")</f>
        <v>UNITY COMPREHENSIVE STREET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 t="str">
        <f>IFERROR(__xludf.DUMMYFUNCTION("""COMPUTED_VALUE"""),"Point 2")</f>
        <v>Point 2</v>
      </c>
      <c r="AC173" s="4">
        <f>IFERROR(__xludf.DUMMYFUNCTION("""COMPUTED_VALUE"""),11.98317949)</f>
        <v>11.98317949</v>
      </c>
      <c r="AD173" s="4">
        <f>IFERROR(__xludf.DUMMYFUNCTION("""COMPUTED_VALUE"""),8.584282433)</f>
        <v>8.584282433</v>
      </c>
      <c r="AE173" s="5" t="str">
        <f>IFERROR(__xludf.DUMMYFUNCTION("""COMPUTED_VALUE"""),"https://drive.google.com/open?id=1fiN07bf3H_L8Li65C378sXOzN1RdYs2V")</f>
        <v>https://drive.google.com/open?id=1fiN07bf3H_L8Li65C378sXOzN1RdYs2V</v>
      </c>
      <c r="AF173" s="4"/>
      <c r="AG173" s="4"/>
      <c r="AH173" s="4"/>
      <c r="AI173" s="4"/>
      <c r="AL173" s="4" t="str">
        <f t="shared" si="1"/>
        <v>Cluster 14</v>
      </c>
      <c r="AM173" s="4" t="str">
        <f t="shared" si="2"/>
        <v>UNITY COMPREHENSIVE STREET</v>
      </c>
    </row>
    <row r="174">
      <c r="A174" s="3">
        <f>IFERROR(__xludf.DUMMYFUNCTION("""COMPUTED_VALUE"""),45874.65815416667)</f>
        <v>45874.65815</v>
      </c>
      <c r="B174" s="4" t="str">
        <f>IFERROR(__xludf.DUMMYFUNCTION("""COMPUTED_VALUE"""),"umrdalhatu@gmail.com")</f>
        <v>umrdalhatu@gmail.com</v>
      </c>
      <c r="C174" s="4" t="str">
        <f>IFERROR(__xludf.DUMMYFUNCTION("""COMPUTED_VALUE"""),"Umar Dalhatu")</f>
        <v>Umar Dalhatu</v>
      </c>
      <c r="D174" s="4"/>
      <c r="E174" s="4"/>
      <c r="F174" s="4"/>
      <c r="G174" s="4"/>
      <c r="H174" s="4"/>
      <c r="I174" s="4"/>
      <c r="J174" s="4" t="str">
        <f>IFERROR(__xludf.DUMMYFUNCTION("""COMPUTED_VALUE"""),"Cluster 14")</f>
        <v>Cluster 14</v>
      </c>
      <c r="K174" s="4"/>
      <c r="L174" s="4"/>
      <c r="M174" s="4"/>
      <c r="N174" s="4" t="str">
        <f>IFERROR(__xludf.DUMMYFUNCTION("""COMPUTED_VALUE"""),"UNITY COMPREHENSIVE STREET")</f>
        <v>UNITY COMPREHENSIVE STREET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 t="str">
        <f>IFERROR(__xludf.DUMMYFUNCTION("""COMPUTED_VALUE"""),"Point 1")</f>
        <v>Point 1</v>
      </c>
      <c r="AC174" s="4">
        <f>IFERROR(__xludf.DUMMYFUNCTION("""COMPUTED_VALUE"""),11.98421072)</f>
        <v>11.98421072</v>
      </c>
      <c r="AD174" s="4">
        <f>IFERROR(__xludf.DUMMYFUNCTION("""COMPUTED_VALUE"""),8.584107723)</f>
        <v>8.584107723</v>
      </c>
      <c r="AE174" s="5" t="str">
        <f>IFERROR(__xludf.DUMMYFUNCTION("""COMPUTED_VALUE"""),"https://drive.google.com/open?id=1E2GfgG6eSYbIVbcjokqi06iSAjnKSrJb")</f>
        <v>https://drive.google.com/open?id=1E2GfgG6eSYbIVbcjokqi06iSAjnKSrJb</v>
      </c>
      <c r="AF174" s="4"/>
      <c r="AG174" s="4"/>
      <c r="AH174" s="4"/>
      <c r="AI174" s="4"/>
      <c r="AL174" s="4" t="str">
        <f t="shared" si="1"/>
        <v>Cluster 14</v>
      </c>
      <c r="AM174" s="4" t="str">
        <f t="shared" si="2"/>
        <v>UNITY COMPREHENSIVE STREET</v>
      </c>
    </row>
    <row r="175">
      <c r="A175" s="3">
        <f>IFERROR(__xludf.DUMMYFUNCTION("""COMPUTED_VALUE"""),45874.65650332176)</f>
        <v>45874.6565</v>
      </c>
      <c r="B175" s="4" t="str">
        <f>IFERROR(__xludf.DUMMYFUNCTION("""COMPUTED_VALUE"""),"umrdalhatu@gmail.com")</f>
        <v>umrdalhatu@gmail.com</v>
      </c>
      <c r="C175" s="4" t="str">
        <f>IFERROR(__xludf.DUMMYFUNCTION("""COMPUTED_VALUE"""),"Umar Dalhatu")</f>
        <v>Umar Dalhatu</v>
      </c>
      <c r="D175" s="4"/>
      <c r="E175" s="4"/>
      <c r="F175" s="4"/>
      <c r="G175" s="4"/>
      <c r="H175" s="4"/>
      <c r="I175" s="4"/>
      <c r="J175" s="4" t="str">
        <f>IFERROR(__xludf.DUMMYFUNCTION("""COMPUTED_VALUE"""),"Cluster 10")</f>
        <v>Cluster 10</v>
      </c>
      <c r="K175" s="4"/>
      <c r="L175" s="4"/>
      <c r="M175" s="4" t="str">
        <f>IFERROR(__xludf.DUMMYFUNCTION("""COMPUTED_VALUE"""),"NASIR WANZAN STREET")</f>
        <v>NASIR WANZAN STREET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 t="str">
        <f>IFERROR(__xludf.DUMMYFUNCTION("""COMPUTED_VALUE"""),"Point 2")</f>
        <v>Point 2</v>
      </c>
      <c r="AC175" s="4">
        <f>IFERROR(__xludf.DUMMYFUNCTION("""COMPUTED_VALUE"""),11.98164142)</f>
        <v>11.98164142</v>
      </c>
      <c r="AD175" s="4">
        <f>IFERROR(__xludf.DUMMYFUNCTION("""COMPUTED_VALUE"""),8.574736837)</f>
        <v>8.574736837</v>
      </c>
      <c r="AE175" s="5" t="str">
        <f>IFERROR(__xludf.DUMMYFUNCTION("""COMPUTED_VALUE"""),"https://drive.google.com/open?id=1gzu-n_4nCTdAKzxUGijWBXecjJZPxeQn")</f>
        <v>https://drive.google.com/open?id=1gzu-n_4nCTdAKzxUGijWBXecjJZPxeQn</v>
      </c>
      <c r="AF175" s="4"/>
      <c r="AG175" s="4"/>
      <c r="AH175" s="4"/>
      <c r="AI175" s="4"/>
      <c r="AL175" s="4" t="str">
        <f t="shared" si="1"/>
        <v>Cluster 10</v>
      </c>
      <c r="AM175" s="4" t="str">
        <f t="shared" si="2"/>
        <v>NASIR WANZAN STREETUMAR GALADIMA ROAD</v>
      </c>
    </row>
    <row r="176">
      <c r="A176" s="3">
        <f>IFERROR(__xludf.DUMMYFUNCTION("""COMPUTED_VALUE"""),45874.65482697917)</f>
        <v>45874.65483</v>
      </c>
      <c r="B176" s="4" t="str">
        <f>IFERROR(__xludf.DUMMYFUNCTION("""COMPUTED_VALUE"""),"umrdalhatu@gmail.com")</f>
        <v>umrdalhatu@gmail.com</v>
      </c>
      <c r="C176" s="4" t="str">
        <f>IFERROR(__xludf.DUMMYFUNCTION("""COMPUTED_VALUE"""),"Umar Dalhatu")</f>
        <v>Umar Dalhatu</v>
      </c>
      <c r="D176" s="4"/>
      <c r="E176" s="4"/>
      <c r="F176" s="4"/>
      <c r="G176" s="4"/>
      <c r="H176" s="4"/>
      <c r="I176" s="4"/>
      <c r="J176" s="4" t="str">
        <f>IFERROR(__xludf.DUMMYFUNCTION("""COMPUTED_VALUE"""),"Cluster 10")</f>
        <v>Cluster 10</v>
      </c>
      <c r="K176" s="4"/>
      <c r="L176" s="4"/>
      <c r="M176" s="4" t="str">
        <f>IFERROR(__xludf.DUMMYFUNCTION("""COMPUTED_VALUE"""),"NASIR WANZAN STREET")</f>
        <v>NASIR WANZAN STREET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 t="str">
        <f>IFERROR(__xludf.DUMMYFUNCTION("""COMPUTED_VALUE"""),"Point 1")</f>
        <v>Point 1</v>
      </c>
      <c r="AC176" s="4">
        <f>IFERROR(__xludf.DUMMYFUNCTION("""COMPUTED_VALUE"""),11.981627)</f>
        <v>11.981627</v>
      </c>
      <c r="AD176" s="4">
        <f>IFERROR(__xludf.DUMMYFUNCTION("""COMPUTED_VALUE"""),8.574221)</f>
        <v>8.574221</v>
      </c>
      <c r="AE176" s="5" t="str">
        <f>IFERROR(__xludf.DUMMYFUNCTION("""COMPUTED_VALUE"""),"https://drive.google.com/open?id=1cnobpEVoL-5jQ4eM5-XjqW2oUvoGkbsW")</f>
        <v>https://drive.google.com/open?id=1cnobpEVoL-5jQ4eM5-XjqW2oUvoGkbsW</v>
      </c>
      <c r="AF176" s="4"/>
      <c r="AG176" s="4"/>
      <c r="AH176" s="4"/>
      <c r="AI176" s="4"/>
      <c r="AL176" s="4" t="str">
        <f t="shared" si="1"/>
        <v>Cluster 10</v>
      </c>
      <c r="AM176" s="4" t="str">
        <f t="shared" si="2"/>
        <v>NASIR WANZAN STREETASMA'U LINK</v>
      </c>
    </row>
    <row r="177">
      <c r="A177" s="3">
        <f>IFERROR(__xludf.DUMMYFUNCTION("""COMPUTED_VALUE"""),45874.65036233796)</f>
        <v>45874.65036</v>
      </c>
      <c r="B177" s="4" t="str">
        <f>IFERROR(__xludf.DUMMYFUNCTION("""COMPUTED_VALUE"""),"umrdalhatu@gmail.com")</f>
        <v>umrdalhatu@gmail.com</v>
      </c>
      <c r="C177" s="4" t="str">
        <f>IFERROR(__xludf.DUMMYFUNCTION("""COMPUTED_VALUE"""),"Umar Dalhatu")</f>
        <v>Umar Dalhatu</v>
      </c>
      <c r="D177" s="4"/>
      <c r="E177" s="4"/>
      <c r="F177" s="4"/>
      <c r="G177" s="4"/>
      <c r="H177" s="4"/>
      <c r="I177" s="4"/>
      <c r="J177" s="4" t="str">
        <f>IFERROR(__xludf.DUMMYFUNCTION("""COMPUTED_VALUE"""),"Cluster 1")</f>
        <v>Cluster 1</v>
      </c>
      <c r="K177" s="4" t="str">
        <f>IFERROR(__xludf.DUMMYFUNCTION("""COMPUTED_VALUE"""),"RABI'U SULAIMAN CLOSE")</f>
        <v>RABI'U SULAIMAN CLOSE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 t="str">
        <f>IFERROR(__xludf.DUMMYFUNCTION("""COMPUTED_VALUE"""),"Point 1")</f>
        <v>Point 1</v>
      </c>
      <c r="AC177" s="4">
        <f>IFERROR(__xludf.DUMMYFUNCTION("""COMPUTED_VALUE"""),11.99437793)</f>
        <v>11.99437793</v>
      </c>
      <c r="AD177" s="4">
        <f>IFERROR(__xludf.DUMMYFUNCTION("""COMPUTED_VALUE"""),8.541771922)</f>
        <v>8.541771922</v>
      </c>
      <c r="AE177" s="5" t="str">
        <f>IFERROR(__xludf.DUMMYFUNCTION("""COMPUTED_VALUE"""),"https://drive.google.com/open?id=1NinuJ5kPYHH9RG2axe1pzXtjHNeh4Gdo")</f>
        <v>https://drive.google.com/open?id=1NinuJ5kPYHH9RG2axe1pzXtjHNeh4Gdo</v>
      </c>
      <c r="AF177" s="4"/>
      <c r="AG177" s="4"/>
      <c r="AH177" s="4"/>
      <c r="AI177" s="4"/>
      <c r="AL177" s="4" t="str">
        <f t="shared" si="1"/>
        <v>Cluster 1</v>
      </c>
      <c r="AM177" s="4" t="str">
        <f t="shared" si="2"/>
        <v>RABI'U SULAIMAN CLOSEDAN WUDIL LINK</v>
      </c>
    </row>
    <row r="178">
      <c r="A178" s="3">
        <f>IFERROR(__xludf.DUMMYFUNCTION("""COMPUTED_VALUE"""),45874.648068877315)</f>
        <v>45874.64807</v>
      </c>
      <c r="B178" s="4" t="str">
        <f>IFERROR(__xludf.DUMMYFUNCTION("""COMPUTED_VALUE"""),"umrdalhatu@gmail.com")</f>
        <v>umrdalhatu@gmail.com</v>
      </c>
      <c r="C178" s="4" t="str">
        <f>IFERROR(__xludf.DUMMYFUNCTION("""COMPUTED_VALUE"""),"Umar Dalhatu")</f>
        <v>Umar Dalhatu</v>
      </c>
      <c r="D178" s="4"/>
      <c r="E178" s="4"/>
      <c r="F178" s="4"/>
      <c r="G178" s="4"/>
      <c r="H178" s="4"/>
      <c r="I178" s="4"/>
      <c r="J178" s="4" t="str">
        <f>IFERROR(__xludf.DUMMYFUNCTION("""COMPUTED_VALUE"""),"Cluster 10")</f>
        <v>Cluster 10</v>
      </c>
      <c r="K178" s="4"/>
      <c r="L178" s="4"/>
      <c r="M178" s="4" t="str">
        <f>IFERROR(__xludf.DUMMYFUNCTION("""COMPUTED_VALUE"""),"BABBAN LAYI ROAD")</f>
        <v>BABBAN LAYI ROAD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 t="str">
        <f>IFERROR(__xludf.DUMMYFUNCTION("""COMPUTED_VALUE"""),"Point 1")</f>
        <v>Point 1</v>
      </c>
      <c r="AC178" s="4">
        <f>IFERROR(__xludf.DUMMYFUNCTION("""COMPUTED_VALUE"""),11.96976137)</f>
        <v>11.96976137</v>
      </c>
      <c r="AD178" s="4">
        <f>IFERROR(__xludf.DUMMYFUNCTION("""COMPUTED_VALUE"""),8.542606866)</f>
        <v>8.542606866</v>
      </c>
      <c r="AE178" s="5" t="str">
        <f>IFERROR(__xludf.DUMMYFUNCTION("""COMPUTED_VALUE"""),"https://drive.google.com/open?id=1wJOSdymV924F1Qj3ibkdFcqPGryrnKvx")</f>
        <v>https://drive.google.com/open?id=1wJOSdymV924F1Qj3ibkdFcqPGryrnKvx</v>
      </c>
      <c r="AF178" s="4"/>
      <c r="AG178" s="4"/>
      <c r="AH178" s="4"/>
      <c r="AI178" s="4"/>
      <c r="AL178" s="4" t="str">
        <f t="shared" si="1"/>
        <v>Cluster 10</v>
      </c>
      <c r="AM178" s="4" t="str">
        <f t="shared" si="2"/>
        <v>BABBAN LAYI ROADADAKAWA LINK</v>
      </c>
    </row>
    <row r="179">
      <c r="A179" s="3">
        <f>IFERROR(__xludf.DUMMYFUNCTION("""COMPUTED_VALUE"""),45874.646203888886)</f>
        <v>45874.6462</v>
      </c>
      <c r="B179" s="4" t="str">
        <f>IFERROR(__xludf.DUMMYFUNCTION("""COMPUTED_VALUE"""),"umrdalhatu@gmail.com")</f>
        <v>umrdalhatu@gmail.com</v>
      </c>
      <c r="C179" s="4" t="str">
        <f>IFERROR(__xludf.DUMMYFUNCTION("""COMPUTED_VALUE"""),"Umar Dalhatu")</f>
        <v>Umar Dalhatu</v>
      </c>
      <c r="D179" s="4"/>
      <c r="E179" s="4"/>
      <c r="F179" s="4"/>
      <c r="G179" s="4"/>
      <c r="H179" s="4"/>
      <c r="I179" s="4"/>
      <c r="J179" s="4" t="str">
        <f>IFERROR(__xludf.DUMMYFUNCTION("""COMPUTED_VALUE"""),"Cluster 14")</f>
        <v>Cluster 14</v>
      </c>
      <c r="K179" s="4"/>
      <c r="L179" s="4"/>
      <c r="M179" s="4"/>
      <c r="N179" s="4" t="str">
        <f>IFERROR(__xludf.DUMMYFUNCTION("""COMPUTED_VALUE"""),"ISUHU ROBA STREET")</f>
        <v>ISUHU ROBA STREET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 t="str">
        <f>IFERROR(__xludf.DUMMYFUNCTION("""COMPUTED_VALUE"""),"Point 2")</f>
        <v>Point 2</v>
      </c>
      <c r="AC179" s="4">
        <f>IFERROR(__xludf.DUMMYFUNCTION("""COMPUTED_VALUE"""),11.98184005)</f>
        <v>11.98184005</v>
      </c>
      <c r="AD179" s="4">
        <f>IFERROR(__xludf.DUMMYFUNCTION("""COMPUTED_VALUE"""),8.580200096)</f>
        <v>8.580200096</v>
      </c>
      <c r="AE179" s="5" t="str">
        <f>IFERROR(__xludf.DUMMYFUNCTION("""COMPUTED_VALUE"""),"https://drive.google.com/open?id=1Hn089hYy9ym5amvIbjSuqsOd60D-sk7I")</f>
        <v>https://drive.google.com/open?id=1Hn089hYy9ym5amvIbjSuqsOd60D-sk7I</v>
      </c>
      <c r="AF179" s="4"/>
      <c r="AG179" s="4"/>
      <c r="AH179" s="4"/>
      <c r="AI179" s="4"/>
      <c r="AL179" s="4" t="str">
        <f t="shared" si="1"/>
        <v>Cluster 14</v>
      </c>
      <c r="AM179" s="4" t="str">
        <f t="shared" si="2"/>
        <v>ISUHU ROBA STREETAHAD CRESCENT</v>
      </c>
    </row>
    <row r="180">
      <c r="A180" s="3">
        <f>IFERROR(__xludf.DUMMYFUNCTION("""COMPUTED_VALUE"""),45874.64509387732)</f>
        <v>45874.64509</v>
      </c>
      <c r="B180" s="4" t="str">
        <f>IFERROR(__xludf.DUMMYFUNCTION("""COMPUTED_VALUE"""),"umrdalhatu@gmail.com")</f>
        <v>umrdalhatu@gmail.com</v>
      </c>
      <c r="C180" s="4" t="str">
        <f>IFERROR(__xludf.DUMMYFUNCTION("""COMPUTED_VALUE"""),"Umar Dalhatu")</f>
        <v>Umar Dalhatu</v>
      </c>
      <c r="D180" s="4"/>
      <c r="E180" s="4"/>
      <c r="F180" s="4"/>
      <c r="G180" s="4"/>
      <c r="H180" s="4"/>
      <c r="I180" s="4"/>
      <c r="J180" s="4" t="str">
        <f>IFERROR(__xludf.DUMMYFUNCTION("""COMPUTED_VALUE"""),"Cluster 14")</f>
        <v>Cluster 14</v>
      </c>
      <c r="K180" s="4"/>
      <c r="L180" s="4"/>
      <c r="M180" s="4"/>
      <c r="N180" s="4" t="str">
        <f>IFERROR(__xludf.DUMMYFUNCTION("""COMPUTED_VALUE"""),"ISUHU ROBA STREET")</f>
        <v>ISUHU ROBA STREET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 t="str">
        <f>IFERROR(__xludf.DUMMYFUNCTION("""COMPUTED_VALUE"""),"Point 1")</f>
        <v>Point 1</v>
      </c>
      <c r="AC180" s="4">
        <f>IFERROR(__xludf.DUMMYFUNCTION("""COMPUTED_VALUE"""),11.98239081)</f>
        <v>11.98239081</v>
      </c>
      <c r="AD180" s="4">
        <f>IFERROR(__xludf.DUMMYFUNCTION("""COMPUTED_VALUE"""),8.582112687)</f>
        <v>8.582112687</v>
      </c>
      <c r="AE180" s="5" t="str">
        <f>IFERROR(__xludf.DUMMYFUNCTION("""COMPUTED_VALUE"""),"https://drive.google.com/open?id=1ptvHaMOvJMZuXOGHbkCH6yJRdH_ri34h")</f>
        <v>https://drive.google.com/open?id=1ptvHaMOvJMZuXOGHbkCH6yJRdH_ri34h</v>
      </c>
      <c r="AF180" s="4"/>
      <c r="AG180" s="4"/>
      <c r="AH180" s="4"/>
      <c r="AI180" s="4"/>
      <c r="AL180" s="4" t="str">
        <f t="shared" si="1"/>
        <v>Cluster 14</v>
      </c>
      <c r="AM180" s="4" t="str">
        <f t="shared" si="2"/>
        <v>ISUHU ROBA STREETYOLAWA LINK</v>
      </c>
    </row>
    <row r="181">
      <c r="A181" s="3">
        <f>IFERROR(__xludf.DUMMYFUNCTION("""COMPUTED_VALUE"""),45874.63354417824)</f>
        <v>45874.63354</v>
      </c>
      <c r="B181" s="4" t="str">
        <f>IFERROR(__xludf.DUMMYFUNCTION("""COMPUTED_VALUE"""),"umrdalhatu@gmail.com")</f>
        <v>umrdalhatu@gmail.com</v>
      </c>
      <c r="C181" s="4" t="str">
        <f>IFERROR(__xludf.DUMMYFUNCTION("""COMPUTED_VALUE"""),"Umar Dalhatu")</f>
        <v>Umar Dalhatu</v>
      </c>
      <c r="D181" s="4"/>
      <c r="E181" s="4"/>
      <c r="F181" s="4"/>
      <c r="G181" s="4"/>
      <c r="H181" s="4"/>
      <c r="I181" s="4"/>
      <c r="J181" s="4" t="str">
        <f>IFERROR(__xludf.DUMMYFUNCTION("""COMPUTED_VALUE"""),"Cluster 10")</f>
        <v>Cluster 10</v>
      </c>
      <c r="K181" s="4"/>
      <c r="L181" s="4"/>
      <c r="M181" s="4" t="str">
        <f>IFERROR(__xludf.DUMMYFUNCTION("""COMPUTED_VALUE"""),"ABBAS MAI WANKI STREET")</f>
        <v>ABBAS MAI WANKI STREET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 t="str">
        <f>IFERROR(__xludf.DUMMYFUNCTION("""COMPUTED_VALUE"""),"Point 2")</f>
        <v>Point 2</v>
      </c>
      <c r="AC181" s="4">
        <f>IFERROR(__xludf.DUMMYFUNCTION("""COMPUTED_VALUE"""),11.9772418)</f>
        <v>11.9772418</v>
      </c>
      <c r="AD181" s="4">
        <f>IFERROR(__xludf.DUMMYFUNCTION("""COMPUTED_VALUE"""),8.577316331)</f>
        <v>8.577316331</v>
      </c>
      <c r="AE181" s="5" t="str">
        <f>IFERROR(__xludf.DUMMYFUNCTION("""COMPUTED_VALUE"""),"https://drive.google.com/open?id=1HjK_KT6P6GwHbJks1wCk11EQyfEA6D8Z")</f>
        <v>https://drive.google.com/open?id=1HjK_KT6P6GwHbJks1wCk11EQyfEA6D8Z</v>
      </c>
      <c r="AF181" s="4"/>
      <c r="AG181" s="4"/>
      <c r="AH181" s="4"/>
      <c r="AI181" s="4"/>
      <c r="AL181" s="4" t="str">
        <f t="shared" si="1"/>
        <v>Cluster 10</v>
      </c>
      <c r="AM181" s="4" t="str">
        <f t="shared" si="2"/>
        <v>ABBAS MAI WANKI STREETYOLAWA LINK</v>
      </c>
    </row>
    <row r="182">
      <c r="A182" s="3">
        <f>IFERROR(__xludf.DUMMYFUNCTION("""COMPUTED_VALUE"""),45874.63241347222)</f>
        <v>45874.63241</v>
      </c>
      <c r="B182" s="4" t="str">
        <f>IFERROR(__xludf.DUMMYFUNCTION("""COMPUTED_VALUE"""),"umrdalhatu@gmail.com")</f>
        <v>umrdalhatu@gmail.com</v>
      </c>
      <c r="C182" s="4" t="str">
        <f>IFERROR(__xludf.DUMMYFUNCTION("""COMPUTED_VALUE"""),"Umar Dalhatu")</f>
        <v>Umar Dalhatu</v>
      </c>
      <c r="D182" s="4"/>
      <c r="E182" s="4"/>
      <c r="F182" s="4"/>
      <c r="G182" s="4"/>
      <c r="H182" s="4"/>
      <c r="I182" s="4"/>
      <c r="J182" s="4" t="str">
        <f>IFERROR(__xludf.DUMMYFUNCTION("""COMPUTED_VALUE"""),"Cluster 10")</f>
        <v>Cluster 10</v>
      </c>
      <c r="K182" s="4"/>
      <c r="L182" s="4"/>
      <c r="M182" s="4" t="str">
        <f>IFERROR(__xludf.DUMMYFUNCTION("""COMPUTED_VALUE"""),"ABBAS MAI WANKI STREET")</f>
        <v>ABBAS MAI WANKI STREET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 t="str">
        <f>IFERROR(__xludf.DUMMYFUNCTION("""COMPUTED_VALUE"""),"Point 1")</f>
        <v>Point 1</v>
      </c>
      <c r="AC182" s="4">
        <f>IFERROR(__xludf.DUMMYFUNCTION("""COMPUTED_VALUE"""),11.98058)</f>
        <v>11.98058</v>
      </c>
      <c r="AD182" s="4">
        <f>IFERROR(__xludf.DUMMYFUNCTION("""COMPUTED_VALUE"""),8.579276)</f>
        <v>8.579276</v>
      </c>
      <c r="AE182" s="5" t="str">
        <f>IFERROR(__xludf.DUMMYFUNCTION("""COMPUTED_VALUE"""),"https://drive.google.com/open?id=1CO8eqBrCLV5fTJVjvOC2Ij5H_aTGb_a3")</f>
        <v>https://drive.google.com/open?id=1CO8eqBrCLV5fTJVjvOC2Ij5H_aTGb_a3</v>
      </c>
      <c r="AF182" s="4"/>
      <c r="AG182" s="4"/>
      <c r="AH182" s="4"/>
      <c r="AI182" s="4"/>
      <c r="AL182" s="4" t="str">
        <f t="shared" si="1"/>
        <v>Cluster 10</v>
      </c>
      <c r="AM182" s="4" t="str">
        <f t="shared" si="2"/>
        <v>ABBAS MAI WANKI STREETKABO LINK</v>
      </c>
    </row>
    <row r="183">
      <c r="A183" s="3">
        <f>IFERROR(__xludf.DUMMYFUNCTION("""COMPUTED_VALUE"""),45874.629734201386)</f>
        <v>45874.62973</v>
      </c>
      <c r="B183" s="4" t="str">
        <f>IFERROR(__xludf.DUMMYFUNCTION("""COMPUTED_VALUE"""),"umrdalhatu@gmail.com")</f>
        <v>umrdalhatu@gmail.com</v>
      </c>
      <c r="C183" s="4" t="str">
        <f>IFERROR(__xludf.DUMMYFUNCTION("""COMPUTED_VALUE"""),"Umar Dalhatu")</f>
        <v>Umar Dalhatu</v>
      </c>
      <c r="D183" s="4"/>
      <c r="E183" s="4"/>
      <c r="F183" s="4"/>
      <c r="G183" s="4"/>
      <c r="H183" s="4"/>
      <c r="I183" s="4"/>
      <c r="J183" s="4" t="str">
        <f>IFERROR(__xludf.DUMMYFUNCTION("""COMPUTED_VALUE"""),"Cluster 14")</f>
        <v>Cluster 14</v>
      </c>
      <c r="K183" s="4"/>
      <c r="L183" s="4"/>
      <c r="M183" s="4"/>
      <c r="N183" s="4" t="str">
        <f>IFERROR(__xludf.DUMMYFUNCTION("""COMPUTED_VALUE"""),"BALA SHOE SHINER STREET")</f>
        <v>BALA SHOE SHINER STREET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 t="str">
        <f>IFERROR(__xludf.DUMMYFUNCTION("""COMPUTED_VALUE"""),"Point 2")</f>
        <v>Point 2</v>
      </c>
      <c r="AC183" s="4">
        <f>IFERROR(__xludf.DUMMYFUNCTION("""COMPUTED_VALUE"""),11.98520526)</f>
        <v>11.98520526</v>
      </c>
      <c r="AD183" s="4">
        <f>IFERROR(__xludf.DUMMYFUNCTION("""COMPUTED_VALUE"""),8.581861492)</f>
        <v>8.581861492</v>
      </c>
      <c r="AE183" s="5" t="str">
        <f>IFERROR(__xludf.DUMMYFUNCTION("""COMPUTED_VALUE"""),"https://drive.google.com/open?id=1hLscsIhBhaJUEedvrrL2yYHnG_q7QIcW")</f>
        <v>https://drive.google.com/open?id=1hLscsIhBhaJUEedvrrL2yYHnG_q7QIcW</v>
      </c>
      <c r="AF183" s="4"/>
      <c r="AG183" s="4"/>
      <c r="AH183" s="4"/>
      <c r="AI183" s="4"/>
      <c r="AL183" s="4" t="str">
        <f t="shared" si="1"/>
        <v>Cluster 14</v>
      </c>
      <c r="AM183" s="4" t="str">
        <f t="shared" si="2"/>
        <v>BALA SHOE SHINER STREETKABO LINK</v>
      </c>
    </row>
    <row r="184">
      <c r="A184" s="3">
        <f>IFERROR(__xludf.DUMMYFUNCTION("""COMPUTED_VALUE"""),45874.628643958335)</f>
        <v>45874.62864</v>
      </c>
      <c r="B184" s="4" t="str">
        <f>IFERROR(__xludf.DUMMYFUNCTION("""COMPUTED_VALUE"""),"umrdalhatu@gmail.com")</f>
        <v>umrdalhatu@gmail.com</v>
      </c>
      <c r="C184" s="4" t="str">
        <f>IFERROR(__xludf.DUMMYFUNCTION("""COMPUTED_VALUE"""),"Umar Dalhatu")</f>
        <v>Umar Dalhatu</v>
      </c>
      <c r="D184" s="4"/>
      <c r="E184" s="4"/>
      <c r="F184" s="4"/>
      <c r="G184" s="4"/>
      <c r="H184" s="4"/>
      <c r="I184" s="4"/>
      <c r="J184" s="4" t="str">
        <f>IFERROR(__xludf.DUMMYFUNCTION("""COMPUTED_VALUE"""),"Cluster 14")</f>
        <v>Cluster 14</v>
      </c>
      <c r="K184" s="4"/>
      <c r="L184" s="4"/>
      <c r="M184" s="4"/>
      <c r="N184" s="4" t="str">
        <f>IFERROR(__xludf.DUMMYFUNCTION("""COMPUTED_VALUE"""),"BALA SHOE SHINER STREET")</f>
        <v>BALA SHOE SHINER STREET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 t="str">
        <f>IFERROR(__xludf.DUMMYFUNCTION("""COMPUTED_VALUE"""),"Point 1")</f>
        <v>Point 1</v>
      </c>
      <c r="AC184" s="4">
        <f>IFERROR(__xludf.DUMMYFUNCTION("""COMPUTED_VALUE"""),11.98184005)</f>
        <v>11.98184005</v>
      </c>
      <c r="AD184" s="4">
        <f>IFERROR(__xludf.DUMMYFUNCTION("""COMPUTED_VALUE"""),8.580200096)</f>
        <v>8.580200096</v>
      </c>
      <c r="AE184" s="5" t="str">
        <f>IFERROR(__xludf.DUMMYFUNCTION("""COMPUTED_VALUE"""),"https://drive.google.com/open?id=1Bo7gLP8vp2Q44vvxRL8jVqTrqOrNa4KO")</f>
        <v>https://drive.google.com/open?id=1Bo7gLP8vp2Q44vvxRL8jVqTrqOrNa4KO</v>
      </c>
      <c r="AF184" s="4"/>
      <c r="AG184" s="4"/>
      <c r="AH184" s="4"/>
      <c r="AI184" s="4"/>
      <c r="AL184" s="4" t="str">
        <f t="shared" si="1"/>
        <v>Cluster 14</v>
      </c>
      <c r="AM184" s="4" t="str">
        <f t="shared" si="2"/>
        <v>BALA SHOE SHINER STREETZUBAIRU INUWA LINK</v>
      </c>
    </row>
    <row r="185">
      <c r="A185" s="3">
        <f>IFERROR(__xludf.DUMMYFUNCTION("""COMPUTED_VALUE"""),45874.625794155094)</f>
        <v>45874.62579</v>
      </c>
      <c r="B185" s="4" t="str">
        <f>IFERROR(__xludf.DUMMYFUNCTION("""COMPUTED_VALUE"""),"umrdalhatu@gmail.com")</f>
        <v>umrdalhatu@gmail.com</v>
      </c>
      <c r="C185" s="4" t="str">
        <f>IFERROR(__xludf.DUMMYFUNCTION("""COMPUTED_VALUE"""),"Umar Dalhatu")</f>
        <v>Umar Dalhatu</v>
      </c>
      <c r="D185" s="4"/>
      <c r="E185" s="4"/>
      <c r="F185" s="4"/>
      <c r="G185" s="4"/>
      <c r="H185" s="4"/>
      <c r="I185" s="4"/>
      <c r="J185" s="4" t="str">
        <f>IFERROR(__xludf.DUMMYFUNCTION("""COMPUTED_VALUE"""),"Cluster 14")</f>
        <v>Cluster 14</v>
      </c>
      <c r="K185" s="4"/>
      <c r="L185" s="4"/>
      <c r="M185" s="4"/>
      <c r="N185" s="4" t="str">
        <f>IFERROR(__xludf.DUMMYFUNCTION("""COMPUTED_VALUE"""),"DAN MADARI STREET")</f>
        <v>DAN MADARI STREET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 t="str">
        <f>IFERROR(__xludf.DUMMYFUNCTION("""COMPUTED_VALUE"""),"Point 2")</f>
        <v>Point 2</v>
      </c>
      <c r="AC185" s="4">
        <f>IFERROR(__xludf.DUMMYFUNCTION("""COMPUTED_VALUE"""),11.98472698)</f>
        <v>11.98472698</v>
      </c>
      <c r="AD185" s="4">
        <f>IFERROR(__xludf.DUMMYFUNCTION("""COMPUTED_VALUE"""),8.586025012)</f>
        <v>8.586025012</v>
      </c>
      <c r="AE185" s="5" t="str">
        <f>IFERROR(__xludf.DUMMYFUNCTION("""COMPUTED_VALUE"""),"https://drive.google.com/open?id=1t8WlTxBXycKYBvW9cc9eQWpxfuaNbRvb")</f>
        <v>https://drive.google.com/open?id=1t8WlTxBXycKYBvW9cc9eQWpxfuaNbRvb</v>
      </c>
      <c r="AF185" s="4"/>
      <c r="AG185" s="4"/>
      <c r="AH185" s="4"/>
      <c r="AI185" s="4"/>
      <c r="AL185" s="4" t="str">
        <f t="shared" si="1"/>
        <v>Cluster 14</v>
      </c>
      <c r="AM185" s="4" t="str">
        <f t="shared" si="2"/>
        <v>DAN MADARI STREETZUBAIRU INUWA LINK</v>
      </c>
    </row>
    <row r="186">
      <c r="A186" s="3">
        <f>IFERROR(__xludf.DUMMYFUNCTION("""COMPUTED_VALUE"""),45874.62472961805)</f>
        <v>45874.62473</v>
      </c>
      <c r="B186" s="4" t="str">
        <f>IFERROR(__xludf.DUMMYFUNCTION("""COMPUTED_VALUE"""),"umrdalhatu@gmail.com")</f>
        <v>umrdalhatu@gmail.com</v>
      </c>
      <c r="C186" s="4" t="str">
        <f>IFERROR(__xludf.DUMMYFUNCTION("""COMPUTED_VALUE"""),"Umar Dalhatu")</f>
        <v>Umar Dalhatu</v>
      </c>
      <c r="D186" s="4"/>
      <c r="E186" s="4"/>
      <c r="F186" s="4"/>
      <c r="G186" s="4"/>
      <c r="H186" s="4"/>
      <c r="I186" s="4"/>
      <c r="J186" s="4" t="str">
        <f>IFERROR(__xludf.DUMMYFUNCTION("""COMPUTED_VALUE"""),"Cluster 14")</f>
        <v>Cluster 14</v>
      </c>
      <c r="K186" s="4"/>
      <c r="L186" s="4"/>
      <c r="M186" s="4"/>
      <c r="N186" s="4" t="str">
        <f>IFERROR(__xludf.DUMMYFUNCTION("""COMPUTED_VALUE"""),"DAN MADARI STREET")</f>
        <v>DAN MADARI STREET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 t="str">
        <f>IFERROR(__xludf.DUMMYFUNCTION("""COMPUTED_VALUE"""),"Point 1")</f>
        <v>Point 1</v>
      </c>
      <c r="AC186" s="4">
        <f>IFERROR(__xludf.DUMMYFUNCTION("""COMPUTED_VALUE"""),11.98317949)</f>
        <v>11.98317949</v>
      </c>
      <c r="AD186" s="4">
        <f>IFERROR(__xludf.DUMMYFUNCTION("""COMPUTED_VALUE"""),8.584282433)</f>
        <v>8.584282433</v>
      </c>
      <c r="AE186" s="5" t="str">
        <f>IFERROR(__xludf.DUMMYFUNCTION("""COMPUTED_VALUE"""),"https://drive.google.com/open?id=1-lU1veyPQ-ZLUtsqdJmdI2lI4DK7DTcT")</f>
        <v>https://drive.google.com/open?id=1-lU1veyPQ-ZLUtsqdJmdI2lI4DK7DTcT</v>
      </c>
      <c r="AF186" s="4"/>
      <c r="AG186" s="4"/>
      <c r="AH186" s="4"/>
      <c r="AI186" s="4"/>
      <c r="AL186" s="4" t="str">
        <f t="shared" si="1"/>
        <v>Cluster 14</v>
      </c>
      <c r="AM186" s="4" t="str">
        <f t="shared" si="2"/>
        <v>DAN MADARI STREETWRECCA ROAD</v>
      </c>
    </row>
    <row r="187">
      <c r="A187" s="3">
        <f>IFERROR(__xludf.DUMMYFUNCTION("""COMPUTED_VALUE"""),45874.622115763894)</f>
        <v>45874.62212</v>
      </c>
      <c r="B187" s="4" t="str">
        <f>IFERROR(__xludf.DUMMYFUNCTION("""COMPUTED_VALUE"""),"umrdalhatu@gmail.com")</f>
        <v>umrdalhatu@gmail.com</v>
      </c>
      <c r="C187" s="4" t="str">
        <f>IFERROR(__xludf.DUMMYFUNCTION("""COMPUTED_VALUE"""),"Umar Dalhatu")</f>
        <v>Umar Dalhatu</v>
      </c>
      <c r="D187" s="4"/>
      <c r="E187" s="4"/>
      <c r="F187" s="4"/>
      <c r="G187" s="4"/>
      <c r="H187" s="4"/>
      <c r="I187" s="4"/>
      <c r="J187" s="4" t="str">
        <f>IFERROR(__xludf.DUMMYFUNCTION("""COMPUTED_VALUE"""),"Cluster 14")</f>
        <v>Cluster 14</v>
      </c>
      <c r="K187" s="4"/>
      <c r="L187" s="4"/>
      <c r="M187" s="4"/>
      <c r="N187" s="4" t="str">
        <f>IFERROR(__xludf.DUMMYFUNCTION("""COMPUTED_VALUE"""),"GIDAN GERO STREET")</f>
        <v>GIDAN GERO STREET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 t="str">
        <f>IFERROR(__xludf.DUMMYFUNCTION("""COMPUTED_VALUE"""),"Point 2")</f>
        <v>Point 2</v>
      </c>
      <c r="AC187" s="4">
        <f>IFERROR(__xludf.DUMMYFUNCTION("""COMPUTED_VALUE"""),11.9856943)</f>
        <v>11.9856943</v>
      </c>
      <c r="AD187" s="4">
        <f>IFERROR(__xludf.DUMMYFUNCTION("""COMPUTED_VALUE"""),8.582618228)</f>
        <v>8.582618228</v>
      </c>
      <c r="AE187" s="5" t="str">
        <f>IFERROR(__xludf.DUMMYFUNCTION("""COMPUTED_VALUE"""),"https://drive.google.com/open?id=1BI2uhUuFFoOBEni28jc0ziHJm1vOg9QS")</f>
        <v>https://drive.google.com/open?id=1BI2uhUuFFoOBEni28jc0ziHJm1vOg9QS</v>
      </c>
      <c r="AF187" s="4"/>
      <c r="AG187" s="4"/>
      <c r="AH187" s="4"/>
      <c r="AI187" s="4"/>
      <c r="AL187" s="4" t="str">
        <f t="shared" si="1"/>
        <v>Cluster 14</v>
      </c>
      <c r="AM187" s="4" t="str">
        <f t="shared" si="2"/>
        <v>GIDAN GERO STREETWRECCA ROAD</v>
      </c>
    </row>
    <row r="188">
      <c r="A188" s="3">
        <f>IFERROR(__xludf.DUMMYFUNCTION("""COMPUTED_VALUE"""),45874.62105079861)</f>
        <v>45874.62105</v>
      </c>
      <c r="B188" s="4" t="str">
        <f>IFERROR(__xludf.DUMMYFUNCTION("""COMPUTED_VALUE"""),"umrdalhatu@gmail.com")</f>
        <v>umrdalhatu@gmail.com</v>
      </c>
      <c r="C188" s="4" t="str">
        <f>IFERROR(__xludf.DUMMYFUNCTION("""COMPUTED_VALUE"""),"Umar Dalhatu")</f>
        <v>Umar Dalhatu</v>
      </c>
      <c r="D188" s="4"/>
      <c r="E188" s="4"/>
      <c r="F188" s="4"/>
      <c r="G188" s="4"/>
      <c r="H188" s="4"/>
      <c r="I188" s="4"/>
      <c r="J188" s="4" t="str">
        <f>IFERROR(__xludf.DUMMYFUNCTION("""COMPUTED_VALUE"""),"Cluster 14")</f>
        <v>Cluster 14</v>
      </c>
      <c r="K188" s="4"/>
      <c r="L188" s="4"/>
      <c r="M188" s="4"/>
      <c r="N188" s="4" t="str">
        <f>IFERROR(__xludf.DUMMYFUNCTION("""COMPUTED_VALUE"""),"GIDAN GERO STREET")</f>
        <v>GIDAN GERO STREET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 t="str">
        <f>IFERROR(__xludf.DUMMYFUNCTION("""COMPUTED_VALUE"""),"Point 1")</f>
        <v>Point 1</v>
      </c>
      <c r="AC188" s="4">
        <f>IFERROR(__xludf.DUMMYFUNCTION("""COMPUTED_VALUE"""),11.98520526)</f>
        <v>11.98520526</v>
      </c>
      <c r="AD188" s="4">
        <f>IFERROR(__xludf.DUMMYFUNCTION("""COMPUTED_VALUE"""),8.581861492)</f>
        <v>8.581861492</v>
      </c>
      <c r="AE188" s="5" t="str">
        <f>IFERROR(__xludf.DUMMYFUNCTION("""COMPUTED_VALUE"""),"https://drive.google.com/open?id=1neg2NypIeb7g5zwCVZUOA3e5zYHkFzQP")</f>
        <v>https://drive.google.com/open?id=1neg2NypIeb7g5zwCVZUOA3e5zYHkFzQP</v>
      </c>
      <c r="AF188" s="4"/>
      <c r="AG188" s="4"/>
      <c r="AH188" s="4"/>
      <c r="AI188" s="4"/>
      <c r="AL188" s="4" t="str">
        <f t="shared" si="1"/>
        <v>Cluster 14</v>
      </c>
      <c r="AM188" s="4" t="str">
        <f t="shared" si="2"/>
        <v>GIDAN GERO STREETMALAM BUHARI LINK</v>
      </c>
    </row>
    <row r="189">
      <c r="A189" s="3">
        <f>IFERROR(__xludf.DUMMYFUNCTION("""COMPUTED_VALUE"""),45874.61408423611)</f>
        <v>45874.61408</v>
      </c>
      <c r="B189" s="4" t="str">
        <f>IFERROR(__xludf.DUMMYFUNCTION("""COMPUTED_VALUE"""),"umrdalhatu@gmail.com")</f>
        <v>umrdalhatu@gmail.com</v>
      </c>
      <c r="C189" s="4" t="str">
        <f>IFERROR(__xludf.DUMMYFUNCTION("""COMPUTED_VALUE"""),"Umar Dalhatu")</f>
        <v>Umar Dalhatu</v>
      </c>
      <c r="D189" s="4"/>
      <c r="E189" s="4"/>
      <c r="F189" s="4"/>
      <c r="G189" s="4"/>
      <c r="H189" s="4"/>
      <c r="I189" s="4"/>
      <c r="J189" s="4" t="str">
        <f>IFERROR(__xludf.DUMMYFUNCTION("""COMPUTED_VALUE"""),"Cluster 10")</f>
        <v>Cluster 10</v>
      </c>
      <c r="K189" s="4"/>
      <c r="L189" s="4"/>
      <c r="M189" s="4" t="str">
        <f>IFERROR(__xludf.DUMMYFUNCTION("""COMPUTED_VALUE"""),"SANI GWARZO STREET")</f>
        <v>SANI GWARZO STREET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 t="str">
        <f>IFERROR(__xludf.DUMMYFUNCTION("""COMPUTED_VALUE"""),"Point 2")</f>
        <v>Point 2</v>
      </c>
      <c r="AC189" s="4">
        <f>IFERROR(__xludf.DUMMYFUNCTION("""COMPUTED_VALUE"""),11.97607144)</f>
        <v>11.97607144</v>
      </c>
      <c r="AD189" s="4">
        <f>IFERROR(__xludf.DUMMYFUNCTION("""COMPUTED_VALUE"""),8.57441855)</f>
        <v>8.57441855</v>
      </c>
      <c r="AE189" s="5" t="str">
        <f>IFERROR(__xludf.DUMMYFUNCTION("""COMPUTED_VALUE"""),"https://drive.google.com/open?id=110AkPug0nNqoEzp_kxvSJnwH3HekslAg")</f>
        <v>https://drive.google.com/open?id=110AkPug0nNqoEzp_kxvSJnwH3HekslAg</v>
      </c>
      <c r="AF189" s="4"/>
      <c r="AG189" s="4"/>
      <c r="AH189" s="4"/>
      <c r="AI189" s="4"/>
      <c r="AL189" s="4" t="str">
        <f t="shared" si="1"/>
        <v>Cluster 10</v>
      </c>
      <c r="AM189" s="4" t="str">
        <f t="shared" si="2"/>
        <v>SANI GWARZO STREETMALAM BUHARI LINK</v>
      </c>
    </row>
    <row r="190">
      <c r="A190" s="3">
        <f>IFERROR(__xludf.DUMMYFUNCTION("""COMPUTED_VALUE"""),45874.613026527775)</f>
        <v>45874.61303</v>
      </c>
      <c r="B190" s="4" t="str">
        <f>IFERROR(__xludf.DUMMYFUNCTION("""COMPUTED_VALUE"""),"umrdalhatu@gmail.com")</f>
        <v>umrdalhatu@gmail.com</v>
      </c>
      <c r="C190" s="4" t="str">
        <f>IFERROR(__xludf.DUMMYFUNCTION("""COMPUTED_VALUE"""),"Umar Dalhatu")</f>
        <v>Umar Dalhatu</v>
      </c>
      <c r="D190" s="4"/>
      <c r="E190" s="4"/>
      <c r="F190" s="4"/>
      <c r="G190" s="4"/>
      <c r="H190" s="4"/>
      <c r="I190" s="4"/>
      <c r="J190" s="4" t="str">
        <f>IFERROR(__xludf.DUMMYFUNCTION("""COMPUTED_VALUE"""),"Cluster 10")</f>
        <v>Cluster 10</v>
      </c>
      <c r="K190" s="4"/>
      <c r="L190" s="4"/>
      <c r="M190" s="4" t="str">
        <f>IFERROR(__xludf.DUMMYFUNCTION("""COMPUTED_VALUE"""),"SANI GWARZO STREET")</f>
        <v>SANI GWARZO STREET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 t="str">
        <f>IFERROR(__xludf.DUMMYFUNCTION("""COMPUTED_VALUE"""),"Point 1")</f>
        <v>Point 1</v>
      </c>
      <c r="AC190" s="4">
        <f>IFERROR(__xludf.DUMMYFUNCTION("""COMPUTED_VALUE"""),11.97544946)</f>
        <v>11.97544946</v>
      </c>
      <c r="AD190" s="4">
        <f>IFERROR(__xludf.DUMMYFUNCTION("""COMPUTED_VALUE"""),8.574808166)</f>
        <v>8.574808166</v>
      </c>
      <c r="AE190" s="5" t="str">
        <f>IFERROR(__xludf.DUMMYFUNCTION("""COMPUTED_VALUE"""),"https://drive.google.com/open?id=1ZeyAF_J0DxKecZqIT_6jy1hFE__Sf-iC")</f>
        <v>https://drive.google.com/open?id=1ZeyAF_J0DxKecZqIT_6jy1hFE__Sf-iC</v>
      </c>
      <c r="AF190" s="4"/>
      <c r="AG190" s="4"/>
      <c r="AH190" s="4"/>
      <c r="AI190" s="4"/>
      <c r="AL190" s="4" t="str">
        <f t="shared" si="1"/>
        <v>Cluster 10</v>
      </c>
      <c r="AM190" s="4" t="str">
        <f t="shared" si="2"/>
        <v>SANI GWARZO STREETBABAN KWARI ROAD</v>
      </c>
    </row>
    <row r="191">
      <c r="A191" s="3">
        <f>IFERROR(__xludf.DUMMYFUNCTION("""COMPUTED_VALUE"""),45874.5950899537)</f>
        <v>45874.59509</v>
      </c>
      <c r="B191" s="4" t="str">
        <f>IFERROR(__xludf.DUMMYFUNCTION("""COMPUTED_VALUE"""),"umrdalhatu@gmail.com")</f>
        <v>umrdalhatu@gmail.com</v>
      </c>
      <c r="C191" s="4" t="str">
        <f>IFERROR(__xludf.DUMMYFUNCTION("""COMPUTED_VALUE"""),"Umar Dalhatu")</f>
        <v>Umar Dalhatu</v>
      </c>
      <c r="D191" s="4"/>
      <c r="E191" s="4"/>
      <c r="F191" s="4"/>
      <c r="G191" s="4"/>
      <c r="H191" s="4"/>
      <c r="I191" s="4"/>
      <c r="J191" s="4" t="str">
        <f>IFERROR(__xludf.DUMMYFUNCTION("""COMPUTED_VALUE"""),"Cluster 20")</f>
        <v>Cluster 20</v>
      </c>
      <c r="K191" s="4"/>
      <c r="L191" s="4"/>
      <c r="M191" s="4"/>
      <c r="N191" s="4"/>
      <c r="O191" s="4" t="str">
        <f>IFERROR(__xludf.DUMMYFUNCTION("""COMPUTED_VALUE"""),"MAI GATARI STREET")</f>
        <v>MAI GATARI STREET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 t="str">
        <f>IFERROR(__xludf.DUMMYFUNCTION("""COMPUTED_VALUE"""),"Point 2")</f>
        <v>Point 2</v>
      </c>
      <c r="AC191" s="4">
        <f>IFERROR(__xludf.DUMMYFUNCTION("""COMPUTED_VALUE"""),11.98359918)</f>
        <v>11.98359918</v>
      </c>
      <c r="AD191" s="4">
        <f>IFERROR(__xludf.DUMMYFUNCTION("""COMPUTED_VALUE"""),8.582608444)</f>
        <v>8.582608444</v>
      </c>
      <c r="AE191" s="5" t="str">
        <f>IFERROR(__xludf.DUMMYFUNCTION("""COMPUTED_VALUE"""),"https://drive.google.com/open?id=1TxrlkE3sOxpWzQZj5a0OuCvlJynlz_5b")</f>
        <v>https://drive.google.com/open?id=1TxrlkE3sOxpWzQZj5a0OuCvlJynlz_5b</v>
      </c>
      <c r="AF191" s="4"/>
      <c r="AG191" s="4"/>
      <c r="AH191" s="4"/>
      <c r="AI191" s="4"/>
      <c r="AL191" s="4" t="str">
        <f t="shared" si="1"/>
        <v>Cluster 20</v>
      </c>
      <c r="AM191" s="4" t="str">
        <f t="shared" si="2"/>
        <v>MAI GATARI STREETBABAN KWARI ROAD</v>
      </c>
    </row>
    <row r="192">
      <c r="A192" s="3">
        <f>IFERROR(__xludf.DUMMYFUNCTION("""COMPUTED_VALUE"""),45874.59382407407)</f>
        <v>45874.59382</v>
      </c>
      <c r="B192" s="4" t="str">
        <f>IFERROR(__xludf.DUMMYFUNCTION("""COMPUTED_VALUE"""),"umrdalhatu@gmail.com")</f>
        <v>umrdalhatu@gmail.com</v>
      </c>
      <c r="C192" s="4" t="str">
        <f>IFERROR(__xludf.DUMMYFUNCTION("""COMPUTED_VALUE"""),"Umar Dalhatu")</f>
        <v>Umar Dalhatu</v>
      </c>
      <c r="D192" s="4"/>
      <c r="E192" s="4"/>
      <c r="F192" s="4"/>
      <c r="G192" s="4"/>
      <c r="H192" s="4"/>
      <c r="I192" s="4"/>
      <c r="J192" s="4" t="str">
        <f>IFERROR(__xludf.DUMMYFUNCTION("""COMPUTED_VALUE"""),"Cluster 20")</f>
        <v>Cluster 20</v>
      </c>
      <c r="K192" s="4"/>
      <c r="L192" s="4"/>
      <c r="M192" s="4"/>
      <c r="N192" s="4"/>
      <c r="O192" s="4" t="str">
        <f>IFERROR(__xludf.DUMMYFUNCTION("""COMPUTED_VALUE"""),"MAI GATARI STREET")</f>
        <v>MAI GATARI STREET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 t="str">
        <f>IFERROR(__xludf.DUMMYFUNCTION("""COMPUTED_VALUE"""),"Point 1")</f>
        <v>Point 1</v>
      </c>
      <c r="AC192" s="4">
        <f>IFERROR(__xludf.DUMMYFUNCTION("""COMPUTED_VALUE"""),11.985094)</f>
        <v>11.985094</v>
      </c>
      <c r="AD192" s="4">
        <f>IFERROR(__xludf.DUMMYFUNCTION("""COMPUTED_VALUE"""),8.581287)</f>
        <v>8.581287</v>
      </c>
      <c r="AE192" s="5" t="str">
        <f>IFERROR(__xludf.DUMMYFUNCTION("""COMPUTED_VALUE"""),"https://drive.google.com/open?id=182iJjt0r5VKWpKflmeye0PTq-mqmPyac")</f>
        <v>https://drive.google.com/open?id=182iJjt0r5VKWpKflmeye0PTq-mqmPyac</v>
      </c>
      <c r="AF192" s="4"/>
      <c r="AG192" s="4"/>
      <c r="AH192" s="4"/>
      <c r="AI192" s="4"/>
      <c r="AL192" s="4" t="str">
        <f t="shared" si="1"/>
        <v>Cluster 20</v>
      </c>
      <c r="AM192" s="4" t="str">
        <f t="shared" si="2"/>
        <v>MAI GATARI STREET</v>
      </c>
    </row>
    <row r="193">
      <c r="A193" s="3">
        <f>IFERROR(__xludf.DUMMYFUNCTION("""COMPUTED_VALUE"""),45874.59188533565)</f>
        <v>45874.59189</v>
      </c>
      <c r="B193" s="4" t="str">
        <f>IFERROR(__xludf.DUMMYFUNCTION("""COMPUTED_VALUE"""),"umrdalhatu@gmail.com")</f>
        <v>umrdalhatu@gmail.com</v>
      </c>
      <c r="C193" s="4" t="str">
        <f>IFERROR(__xludf.DUMMYFUNCTION("""COMPUTED_VALUE"""),"Umar Dalhatu")</f>
        <v>Umar Dalhatu</v>
      </c>
      <c r="D193" s="4"/>
      <c r="E193" s="4"/>
      <c r="F193" s="4"/>
      <c r="G193" s="4"/>
      <c r="H193" s="4"/>
      <c r="I193" s="4"/>
      <c r="J193" s="4" t="str">
        <f>IFERROR(__xludf.DUMMYFUNCTION("""COMPUTED_VALUE"""),"Cluster 1")</f>
        <v>Cluster 1</v>
      </c>
      <c r="K193" s="4" t="str">
        <f>IFERROR(__xludf.DUMMYFUNCTION("""COMPUTED_VALUE"""),"BARRISTER ISA BELLO STREET")</f>
        <v>BARRISTER ISA BELLO STREET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 t="str">
        <f>IFERROR(__xludf.DUMMYFUNCTION("""COMPUTED_VALUE"""),"Point 2")</f>
        <v>Point 2</v>
      </c>
      <c r="AC193" s="4">
        <f>IFERROR(__xludf.DUMMYFUNCTION("""COMPUTED_VALUE"""),11.9944188)</f>
        <v>11.9944188</v>
      </c>
      <c r="AD193" s="4">
        <f>IFERROR(__xludf.DUMMYFUNCTION("""COMPUTED_VALUE"""),8.576738)</f>
        <v>8.576738</v>
      </c>
      <c r="AE193" s="5" t="str">
        <f>IFERROR(__xludf.DUMMYFUNCTION("""COMPUTED_VALUE"""),"https://drive.google.com/open?id=1omLFIN-eP7uwNT2GwE1lHgE2P7KW-Xwr")</f>
        <v>https://drive.google.com/open?id=1omLFIN-eP7uwNT2GwE1lHgE2P7KW-Xwr</v>
      </c>
      <c r="AF193" s="4"/>
      <c r="AG193" s="4"/>
      <c r="AH193" s="4"/>
      <c r="AI193" s="4"/>
      <c r="AL193" s="4" t="str">
        <f t="shared" si="1"/>
        <v>Cluster 1</v>
      </c>
      <c r="AM193" s="4" t="str">
        <f t="shared" si="2"/>
        <v>BARRISTER ISA BELLO STREET</v>
      </c>
    </row>
    <row r="194">
      <c r="A194" s="3">
        <f>IFERROR(__xludf.DUMMYFUNCTION("""COMPUTED_VALUE"""),45874.588162569446)</f>
        <v>45874.58816</v>
      </c>
      <c r="B194" s="4" t="str">
        <f>IFERROR(__xludf.DUMMYFUNCTION("""COMPUTED_VALUE"""),"umrdalhatu@gmail.com")</f>
        <v>umrdalhatu@gmail.com</v>
      </c>
      <c r="C194" s="4" t="str">
        <f>IFERROR(__xludf.DUMMYFUNCTION("""COMPUTED_VALUE"""),"Umar Dalhatu")</f>
        <v>Umar Dalhatu</v>
      </c>
      <c r="D194" s="4"/>
      <c r="E194" s="4"/>
      <c r="F194" s="4"/>
      <c r="G194" s="4"/>
      <c r="H194" s="4"/>
      <c r="I194" s="4"/>
      <c r="J194" s="4" t="str">
        <f>IFERROR(__xludf.DUMMYFUNCTION("""COMPUTED_VALUE"""),"Cluster 1")</f>
        <v>Cluster 1</v>
      </c>
      <c r="K194" s="4" t="str">
        <f>IFERROR(__xludf.DUMMYFUNCTION("""COMPUTED_VALUE"""),"B Z TAGWAI STREET")</f>
        <v>B Z TAGWAI STREET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 t="str">
        <f>IFERROR(__xludf.DUMMYFUNCTION("""COMPUTED_VALUE"""),"Point 1")</f>
        <v>Point 1</v>
      </c>
      <c r="AC194" s="4">
        <f>IFERROR(__xludf.DUMMYFUNCTION("""COMPUTED_VALUE"""),11.99355)</f>
        <v>11.99355</v>
      </c>
      <c r="AD194" s="4">
        <f>IFERROR(__xludf.DUMMYFUNCTION("""COMPUTED_VALUE"""),8.575157)</f>
        <v>8.575157</v>
      </c>
      <c r="AE194" s="5" t="str">
        <f>IFERROR(__xludf.DUMMYFUNCTION("""COMPUTED_VALUE"""),"https://drive.google.com/open?id=1Qz6NtFDzt8xSiEWR4B4Wf3yh89cluof5")</f>
        <v>https://drive.google.com/open?id=1Qz6NtFDzt8xSiEWR4B4Wf3yh89cluof5</v>
      </c>
      <c r="AF194" s="4"/>
      <c r="AG194" s="4"/>
      <c r="AH194" s="4"/>
      <c r="AI194" s="4"/>
      <c r="AL194" s="4" t="str">
        <f t="shared" si="1"/>
        <v>Cluster 1</v>
      </c>
      <c r="AM194" s="4" t="str">
        <f t="shared" si="2"/>
        <v>B Z TAGWAI STREET</v>
      </c>
    </row>
    <row r="195">
      <c r="A195" s="3">
        <f>IFERROR(__xludf.DUMMYFUNCTION("""COMPUTED_VALUE"""),45874.586363888884)</f>
        <v>45874.58636</v>
      </c>
      <c r="B195" s="4" t="str">
        <f>IFERROR(__xludf.DUMMYFUNCTION("""COMPUTED_VALUE"""),"umrdalhatu@gmail.com")</f>
        <v>umrdalhatu@gmail.com</v>
      </c>
      <c r="C195" s="4" t="str">
        <f>IFERROR(__xludf.DUMMYFUNCTION("""COMPUTED_VALUE"""),"Umar Dalhatu")</f>
        <v>Umar Dalhatu</v>
      </c>
      <c r="D195" s="4"/>
      <c r="E195" s="4"/>
      <c r="F195" s="4"/>
      <c r="G195" s="4"/>
      <c r="H195" s="4"/>
      <c r="I195" s="4"/>
      <c r="J195" s="4" t="str">
        <f>IFERROR(__xludf.DUMMYFUNCTION("""COMPUTED_VALUE"""),"Cluster 1")</f>
        <v>Cluster 1</v>
      </c>
      <c r="K195" s="4" t="str">
        <f>IFERROR(__xludf.DUMMYFUNCTION("""COMPUTED_VALUE"""),"SANI SHUAIBU STREET")</f>
        <v>SANI SHUAIBU STREET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 t="str">
        <f>IFERROR(__xludf.DUMMYFUNCTION("""COMPUTED_VALUE"""),"Point 2")</f>
        <v>Point 2</v>
      </c>
      <c r="AC195" s="4">
        <f>IFERROR(__xludf.DUMMYFUNCTION("""COMPUTED_VALUE"""),8.57793499)</f>
        <v>8.57793499</v>
      </c>
      <c r="AD195" s="4">
        <f>IFERROR(__xludf.DUMMYFUNCTION("""COMPUTED_VALUE"""),8.57793499)</f>
        <v>8.57793499</v>
      </c>
      <c r="AE195" s="5" t="str">
        <f>IFERROR(__xludf.DUMMYFUNCTION("""COMPUTED_VALUE"""),"https://drive.google.com/open?id=1Kf6tg_U5I2zVtDywJ__YCZJ1MF2P0ZOn")</f>
        <v>https://drive.google.com/open?id=1Kf6tg_U5I2zVtDywJ__YCZJ1MF2P0ZOn</v>
      </c>
      <c r="AF195" s="4"/>
      <c r="AG195" s="4"/>
      <c r="AH195" s="4"/>
      <c r="AI195" s="4"/>
      <c r="AL195" s="4" t="str">
        <f t="shared" si="1"/>
        <v>Cluster 1</v>
      </c>
      <c r="AM195" s="4" t="str">
        <f t="shared" si="2"/>
        <v>SANI SHUAIBU STREET</v>
      </c>
    </row>
    <row r="196">
      <c r="A196" s="3">
        <f>IFERROR(__xludf.DUMMYFUNCTION("""COMPUTED_VALUE"""),45874.5851234838)</f>
        <v>45874.58512</v>
      </c>
      <c r="B196" s="4" t="str">
        <f>IFERROR(__xludf.DUMMYFUNCTION("""COMPUTED_VALUE"""),"umrdalhatu@gmail.com")</f>
        <v>umrdalhatu@gmail.com</v>
      </c>
      <c r="C196" s="4" t="str">
        <f>IFERROR(__xludf.DUMMYFUNCTION("""COMPUTED_VALUE"""),"Umar Dalhatu")</f>
        <v>Umar Dalhatu</v>
      </c>
      <c r="D196" s="4"/>
      <c r="E196" s="4"/>
      <c r="F196" s="4"/>
      <c r="G196" s="4"/>
      <c r="H196" s="4"/>
      <c r="I196" s="4"/>
      <c r="J196" s="4" t="str">
        <f>IFERROR(__xludf.DUMMYFUNCTION("""COMPUTED_VALUE"""),"Cluster 1")</f>
        <v>Cluster 1</v>
      </c>
      <c r="K196" s="4" t="str">
        <f>IFERROR(__xludf.DUMMYFUNCTION("""COMPUTED_VALUE"""),"SANI SHUAIBU STREET")</f>
        <v>SANI SHUAIBU STREET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 t="str">
        <f>IFERROR(__xludf.DUMMYFUNCTION("""COMPUTED_VALUE"""),"Point 1")</f>
        <v>Point 1</v>
      </c>
      <c r="AC196" s="4">
        <f>IFERROR(__xludf.DUMMYFUNCTION("""COMPUTED_VALUE"""),11.99412319)</f>
        <v>11.99412319</v>
      </c>
      <c r="AD196" s="4">
        <f>IFERROR(__xludf.DUMMYFUNCTION("""COMPUTED_VALUE"""),8.57793499)</f>
        <v>8.57793499</v>
      </c>
      <c r="AE196" s="5" t="str">
        <f>IFERROR(__xludf.DUMMYFUNCTION("""COMPUTED_VALUE"""),"https://drive.google.com/open?id=1sN46O2g0lqgmLileEc57l1ZXmQaM8D2Y")</f>
        <v>https://drive.google.com/open?id=1sN46O2g0lqgmLileEc57l1ZXmQaM8D2Y</v>
      </c>
      <c r="AF196" s="4"/>
      <c r="AG196" s="4"/>
      <c r="AH196" s="4"/>
      <c r="AI196" s="4"/>
      <c r="AL196" s="4" t="str">
        <f t="shared" si="1"/>
        <v>Cluster 1</v>
      </c>
      <c r="AM196" s="4" t="str">
        <f t="shared" si="2"/>
        <v>SANI SHUAIBU STREET</v>
      </c>
    </row>
    <row r="197">
      <c r="A197" s="3">
        <f>IFERROR(__xludf.DUMMYFUNCTION("""COMPUTED_VALUE"""),45874.583416875)</f>
        <v>45874.58342</v>
      </c>
      <c r="B197" s="4" t="str">
        <f>IFERROR(__xludf.DUMMYFUNCTION("""COMPUTED_VALUE"""),"umrdalhatu@gmail.com")</f>
        <v>umrdalhatu@gmail.com</v>
      </c>
      <c r="C197" s="4" t="str">
        <f>IFERROR(__xludf.DUMMYFUNCTION("""COMPUTED_VALUE"""),"Umar Dalhatu")</f>
        <v>Umar Dalhatu</v>
      </c>
      <c r="D197" s="4"/>
      <c r="E197" s="4"/>
      <c r="F197" s="4"/>
      <c r="G197" s="4"/>
      <c r="H197" s="4"/>
      <c r="I197" s="4"/>
      <c r="J197" s="4" t="str">
        <f>IFERROR(__xludf.DUMMYFUNCTION("""COMPUTED_VALUE"""),"Cluster 1")</f>
        <v>Cluster 1</v>
      </c>
      <c r="K197" s="4" t="str">
        <f>IFERROR(__xludf.DUMMYFUNCTION("""COMPUTED_VALUE"""),"MUSA KALLA STREET")</f>
        <v>MUSA KALLA STREET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 t="str">
        <f>IFERROR(__xludf.DUMMYFUNCTION("""COMPUTED_VALUE"""),"Point 2")</f>
        <v>Point 2</v>
      </c>
      <c r="AC197" s="4">
        <f>IFERROR(__xludf.DUMMYFUNCTION("""COMPUTED_VALUE"""),11.9944188)</f>
        <v>11.9944188</v>
      </c>
      <c r="AD197" s="4">
        <f>IFERROR(__xludf.DUMMYFUNCTION("""COMPUTED_VALUE"""),8.576851271)</f>
        <v>8.576851271</v>
      </c>
      <c r="AE197" s="5" t="str">
        <f>IFERROR(__xludf.DUMMYFUNCTION("""COMPUTED_VALUE"""),"https://drive.google.com/open?id=15MclmnPhIc6NWQoNtQvW-f_QPn4q7Qs9")</f>
        <v>https://drive.google.com/open?id=15MclmnPhIc6NWQoNtQvW-f_QPn4q7Qs9</v>
      </c>
      <c r="AF197" s="4"/>
      <c r="AG197" s="4"/>
      <c r="AH197" s="4"/>
      <c r="AI197" s="4"/>
      <c r="AL197" s="4" t="str">
        <f t="shared" si="1"/>
        <v>Cluster 1</v>
      </c>
      <c r="AM197" s="4" t="str">
        <f t="shared" si="2"/>
        <v>MUSA KALLA STREET</v>
      </c>
    </row>
    <row r="198">
      <c r="A198" s="3">
        <f>IFERROR(__xludf.DUMMYFUNCTION("""COMPUTED_VALUE"""),45874.57837996528)</f>
        <v>45874.57838</v>
      </c>
      <c r="B198" s="4" t="str">
        <f>IFERROR(__xludf.DUMMYFUNCTION("""COMPUTED_VALUE"""),"umrdalhatu@gmail.com")</f>
        <v>umrdalhatu@gmail.com</v>
      </c>
      <c r="C198" s="4" t="str">
        <f>IFERROR(__xludf.DUMMYFUNCTION("""COMPUTED_VALUE"""),"Umar Dalhatu")</f>
        <v>Umar Dalhatu</v>
      </c>
      <c r="D198" s="4"/>
      <c r="E198" s="4"/>
      <c r="F198" s="4"/>
      <c r="G198" s="4"/>
      <c r="H198" s="4"/>
      <c r="I198" s="4"/>
      <c r="J198" s="4" t="str">
        <f>IFERROR(__xludf.DUMMYFUNCTION("""COMPUTED_VALUE"""),"Cluster 1")</f>
        <v>Cluster 1</v>
      </c>
      <c r="K198" s="4" t="str">
        <f>IFERROR(__xludf.DUMMYFUNCTION("""COMPUTED_VALUE"""),"MUSA KALLA STREET")</f>
        <v>MUSA KALLA STREET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 t="str">
        <f>IFERROR(__xludf.DUMMYFUNCTION("""COMPUTED_VALUE"""),"Point 1")</f>
        <v>Point 1</v>
      </c>
      <c r="AC198" s="4">
        <f>IFERROR(__xludf.DUMMYFUNCTION("""COMPUTED_VALUE"""),11.99387107)</f>
        <v>11.99387107</v>
      </c>
      <c r="AD198" s="4">
        <f>IFERROR(__xludf.DUMMYFUNCTION("""COMPUTED_VALUE"""),8.576851271)</f>
        <v>8.576851271</v>
      </c>
      <c r="AE198" s="5" t="str">
        <f>IFERROR(__xludf.DUMMYFUNCTION("""COMPUTED_VALUE"""),"https://drive.google.com/open?id=1fBf1dykF4Iuuazzk1Ceo-qgtQacIgHOx")</f>
        <v>https://drive.google.com/open?id=1fBf1dykF4Iuuazzk1Ceo-qgtQacIgHOx</v>
      </c>
      <c r="AF198" s="4"/>
      <c r="AG198" s="4"/>
      <c r="AH198" s="4"/>
      <c r="AI198" s="4"/>
      <c r="AL198" s="4" t="str">
        <f t="shared" si="1"/>
        <v>Cluster 1</v>
      </c>
      <c r="AM198" s="4" t="str">
        <f t="shared" si="2"/>
        <v>MUSA KALLA STREET</v>
      </c>
    </row>
    <row r="199">
      <c r="A199" s="3">
        <f>IFERROR(__xludf.DUMMYFUNCTION("""COMPUTED_VALUE"""),45874.53971243056)</f>
        <v>45874.53971</v>
      </c>
      <c r="B199" s="4" t="str">
        <f>IFERROR(__xludf.DUMMYFUNCTION("""COMPUTED_VALUE"""),"ajisadiqdala@gmail.com")</f>
        <v>ajisadiqdala@gmail.com</v>
      </c>
      <c r="C199" s="4" t="str">
        <f>IFERROR(__xludf.DUMMYFUNCTION("""COMPUTED_VALUE"""),"Sadiq Dala")</f>
        <v>Sadiq Dala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 t="str">
        <f>IFERROR(__xludf.DUMMYFUNCTION("""COMPUTED_VALUE"""),"Cluster 19")</f>
        <v>Cluster 19</v>
      </c>
      <c r="W199" s="4"/>
      <c r="X199" s="4"/>
      <c r="Y199" s="4"/>
      <c r="Z199" s="4"/>
      <c r="AA199" s="4" t="str">
        <f>IFERROR(__xludf.DUMMYFUNCTION("""COMPUTED_VALUE"""),"UMAR GALADIMA ROAD")</f>
        <v>UMAR GALADIMA ROAD</v>
      </c>
      <c r="AB199" s="4" t="str">
        <f>IFERROR(__xludf.DUMMYFUNCTION("""COMPUTED_VALUE"""),"Point 1")</f>
        <v>Point 1</v>
      </c>
      <c r="AC199" s="4">
        <f>IFERROR(__xludf.DUMMYFUNCTION("""COMPUTED_VALUE"""),11.992978)</f>
        <v>11.992978</v>
      </c>
      <c r="AD199" s="4">
        <f>IFERROR(__xludf.DUMMYFUNCTION("""COMPUTED_VALUE"""),8.571336)</f>
        <v>8.571336</v>
      </c>
      <c r="AE199" s="5" t="str">
        <f>IFERROR(__xludf.DUMMYFUNCTION("""COMPUTED_VALUE"""),"https://drive.google.com/open?id=1oIx-Y3lpo1uulAzWzH4koUIxrIHV1gO7")</f>
        <v>https://drive.google.com/open?id=1oIx-Y3lpo1uulAzWzH4koUIxrIHV1gO7</v>
      </c>
      <c r="AF199" s="4"/>
      <c r="AG199" s="4"/>
      <c r="AH199" s="4"/>
      <c r="AI199" s="4"/>
      <c r="AL199" s="4" t="str">
        <f t="shared" si="1"/>
        <v>Cluster 19</v>
      </c>
      <c r="AM199" s="4" t="str">
        <f t="shared" si="2"/>
        <v>UMAR GALADIMA ROAD</v>
      </c>
    </row>
    <row r="200">
      <c r="A200" s="3">
        <f>IFERROR(__xludf.DUMMYFUNCTION("""COMPUTED_VALUE"""),45874.538036805556)</f>
        <v>45874.53804</v>
      </c>
      <c r="B200" s="4" t="str">
        <f>IFERROR(__xludf.DUMMYFUNCTION("""COMPUTED_VALUE"""),"ajisadiqdala@gmail.com")</f>
        <v>ajisadiqdala@gmail.com</v>
      </c>
      <c r="C200" s="4" t="str">
        <f>IFERROR(__xludf.DUMMYFUNCTION("""COMPUTED_VALUE"""),"Sadiq Dala")</f>
        <v>Sadiq Dala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 t="str">
        <f>IFERROR(__xludf.DUMMYFUNCTION("""COMPUTED_VALUE"""),"Cluster 19")</f>
        <v>Cluster 19</v>
      </c>
      <c r="W200" s="4"/>
      <c r="X200" s="4"/>
      <c r="Y200" s="4"/>
      <c r="Z200" s="4"/>
      <c r="AA200" s="4" t="str">
        <f>IFERROR(__xludf.DUMMYFUNCTION("""COMPUTED_VALUE"""),"ASMA'U LINK")</f>
        <v>ASMA'U LINK</v>
      </c>
      <c r="AB200" s="4" t="str">
        <f>IFERROR(__xludf.DUMMYFUNCTION("""COMPUTED_VALUE"""),"Point 1")</f>
        <v>Point 1</v>
      </c>
      <c r="AC200" s="4">
        <f>IFERROR(__xludf.DUMMYFUNCTION("""COMPUTED_VALUE"""),11.990878)</f>
        <v>11.990878</v>
      </c>
      <c r="AD200" s="4">
        <f>IFERROR(__xludf.DUMMYFUNCTION("""COMPUTED_VALUE"""),8.571197)</f>
        <v>8.571197</v>
      </c>
      <c r="AE200" s="5" t="str">
        <f>IFERROR(__xludf.DUMMYFUNCTION("""COMPUTED_VALUE"""),"https://drive.google.com/open?id=1L5zdjBEghrvffRR_0v_eYk4hM31NKUqT")</f>
        <v>https://drive.google.com/open?id=1L5zdjBEghrvffRR_0v_eYk4hM31NKUqT</v>
      </c>
      <c r="AF200" s="4"/>
      <c r="AG200" s="4"/>
      <c r="AH200" s="4"/>
      <c r="AI200" s="4"/>
      <c r="AL200" s="4" t="str">
        <f t="shared" si="1"/>
        <v>Cluster 19</v>
      </c>
      <c r="AM200" s="4" t="str">
        <f t="shared" si="2"/>
        <v>ASMA'U LINK</v>
      </c>
    </row>
    <row r="201">
      <c r="A201" s="3">
        <f>IFERROR(__xludf.DUMMYFUNCTION("""COMPUTED_VALUE"""),45874.53622190972)</f>
        <v>45874.53622</v>
      </c>
      <c r="B201" s="4" t="str">
        <f>IFERROR(__xludf.DUMMYFUNCTION("""COMPUTED_VALUE"""),"ajisadiqdala@gmail.com")</f>
        <v>ajisadiqdala@gmail.com</v>
      </c>
      <c r="C201" s="4" t="str">
        <f>IFERROR(__xludf.DUMMYFUNCTION("""COMPUTED_VALUE"""),"Sadiq Dala")</f>
        <v>Sadiq Dala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 t="str">
        <f>IFERROR(__xludf.DUMMYFUNCTION("""COMPUTED_VALUE"""),"Cluster 19")</f>
        <v>Cluster 19</v>
      </c>
      <c r="W201" s="4"/>
      <c r="X201" s="4"/>
      <c r="Y201" s="4"/>
      <c r="Z201" s="4"/>
      <c r="AA201" s="4" t="str">
        <f>IFERROR(__xludf.DUMMYFUNCTION("""COMPUTED_VALUE"""),"DAN WUDIL LINK")</f>
        <v>DAN WUDIL LINK</v>
      </c>
      <c r="AB201" s="4" t="str">
        <f>IFERROR(__xludf.DUMMYFUNCTION("""COMPUTED_VALUE"""),"Point 1")</f>
        <v>Point 1</v>
      </c>
      <c r="AC201" s="4">
        <f>IFERROR(__xludf.DUMMYFUNCTION("""COMPUTED_VALUE"""),11.988588)</f>
        <v>11.988588</v>
      </c>
      <c r="AD201" s="4">
        <f>IFERROR(__xludf.DUMMYFUNCTION("""COMPUTED_VALUE"""),8.56934)</f>
        <v>8.56934</v>
      </c>
      <c r="AE201" s="5" t="str">
        <f>IFERROR(__xludf.DUMMYFUNCTION("""COMPUTED_VALUE"""),"https://drive.google.com/open?id=1hTCqw_7zDhq0E0XcEtkMeoFf7Ql2joE9")</f>
        <v>https://drive.google.com/open?id=1hTCqw_7zDhq0E0XcEtkMeoFf7Ql2joE9</v>
      </c>
      <c r="AF201" s="4"/>
      <c r="AG201" s="4"/>
      <c r="AH201" s="4"/>
      <c r="AI201" s="4"/>
      <c r="AL201" s="4" t="str">
        <f t="shared" si="1"/>
        <v>Cluster 19</v>
      </c>
      <c r="AM201" s="4" t="str">
        <f t="shared" si="2"/>
        <v>DAN WUDIL LINK</v>
      </c>
    </row>
    <row r="202">
      <c r="A202" s="3">
        <f>IFERROR(__xludf.DUMMYFUNCTION("""COMPUTED_VALUE"""),45874.534262037036)</f>
        <v>45874.53426</v>
      </c>
      <c r="B202" s="4" t="str">
        <f>IFERROR(__xludf.DUMMYFUNCTION("""COMPUTED_VALUE"""),"ajisadiqdala@gmail.com")</f>
        <v>ajisadiqdala@gmail.com</v>
      </c>
      <c r="C202" s="4" t="str">
        <f>IFERROR(__xludf.DUMMYFUNCTION("""COMPUTED_VALUE"""),"Sadiq Dala")</f>
        <v>Sadiq Dala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 t="str">
        <f>IFERROR(__xludf.DUMMYFUNCTION("""COMPUTED_VALUE"""),"Cluster 19")</f>
        <v>Cluster 19</v>
      </c>
      <c r="W202" s="4"/>
      <c r="X202" s="4"/>
      <c r="Y202" s="4"/>
      <c r="Z202" s="4"/>
      <c r="AA202" s="4" t="str">
        <f>IFERROR(__xludf.DUMMYFUNCTION("""COMPUTED_VALUE"""),"ADAKAWA LINK")</f>
        <v>ADAKAWA LINK</v>
      </c>
      <c r="AB202" s="4" t="str">
        <f>IFERROR(__xludf.DUMMYFUNCTION("""COMPUTED_VALUE"""),"Point 1")</f>
        <v>Point 1</v>
      </c>
      <c r="AC202" s="4">
        <f>IFERROR(__xludf.DUMMYFUNCTION("""COMPUTED_VALUE"""),11.99134)</f>
        <v>11.99134</v>
      </c>
      <c r="AD202" s="4">
        <f>IFERROR(__xludf.DUMMYFUNCTION("""COMPUTED_VALUE"""),8.568862)</f>
        <v>8.568862</v>
      </c>
      <c r="AE202" s="5" t="str">
        <f>IFERROR(__xludf.DUMMYFUNCTION("""COMPUTED_VALUE"""),"https://drive.google.com/open?id=13dH0OWYDnPoUHTgMnLkleWbbEl3Y1_tu")</f>
        <v>https://drive.google.com/open?id=13dH0OWYDnPoUHTgMnLkleWbbEl3Y1_tu</v>
      </c>
      <c r="AF202" s="4"/>
      <c r="AG202" s="4"/>
      <c r="AH202" s="4"/>
      <c r="AI202" s="4"/>
      <c r="AL202" s="4" t="str">
        <f t="shared" si="1"/>
        <v>Cluster 19</v>
      </c>
      <c r="AM202" s="4" t="str">
        <f t="shared" si="2"/>
        <v>ADAKAWA LINK</v>
      </c>
    </row>
    <row r="203">
      <c r="A203" s="3">
        <f>IFERROR(__xludf.DUMMYFUNCTION("""COMPUTED_VALUE"""),45874.53275668982)</f>
        <v>45874.53276</v>
      </c>
      <c r="B203" s="4" t="str">
        <f>IFERROR(__xludf.DUMMYFUNCTION("""COMPUTED_VALUE"""),"ajisadiqdala@gmail.com")</f>
        <v>ajisadiqdala@gmail.com</v>
      </c>
      <c r="C203" s="4" t="str">
        <f>IFERROR(__xludf.DUMMYFUNCTION("""COMPUTED_VALUE"""),"Sadiq Dala")</f>
        <v>Sadiq Dala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 t="str">
        <f>IFERROR(__xludf.DUMMYFUNCTION("""COMPUTED_VALUE"""),"Cluster 19")</f>
        <v>Cluster 19</v>
      </c>
      <c r="W203" s="4"/>
      <c r="X203" s="4"/>
      <c r="Y203" s="4"/>
      <c r="Z203" s="4"/>
      <c r="AA203" s="4" t="str">
        <f>IFERROR(__xludf.DUMMYFUNCTION("""COMPUTED_VALUE"""),"AHAD CRESCENT")</f>
        <v>AHAD CRESCENT</v>
      </c>
      <c r="AB203" s="4" t="str">
        <f>IFERROR(__xludf.DUMMYFUNCTION("""COMPUTED_VALUE"""),"Point 1")</f>
        <v>Point 1</v>
      </c>
      <c r="AC203" s="4">
        <f>IFERROR(__xludf.DUMMYFUNCTION("""COMPUTED_VALUE"""),11.997021)</f>
        <v>11.997021</v>
      </c>
      <c r="AD203" s="4">
        <f>IFERROR(__xludf.DUMMYFUNCTION("""COMPUTED_VALUE"""),8.566665)</f>
        <v>8.566665</v>
      </c>
      <c r="AE203" s="5" t="str">
        <f>IFERROR(__xludf.DUMMYFUNCTION("""COMPUTED_VALUE"""),"https://drive.google.com/open?id=1gV2RFYOLXoIZ1BOnsl4EadAeBCMs96kh")</f>
        <v>https://drive.google.com/open?id=1gV2RFYOLXoIZ1BOnsl4EadAeBCMs96kh</v>
      </c>
      <c r="AF203" s="4"/>
      <c r="AG203" s="4"/>
      <c r="AH203" s="4"/>
      <c r="AI203" s="4"/>
      <c r="AL203" s="4" t="str">
        <f t="shared" si="1"/>
        <v>Cluster 19</v>
      </c>
      <c r="AM203" s="4" t="str">
        <f t="shared" si="2"/>
        <v>AHAD CRESCENT</v>
      </c>
    </row>
    <row r="204">
      <c r="A204" s="3">
        <f>IFERROR(__xludf.DUMMYFUNCTION("""COMPUTED_VALUE"""),45874.531314479165)</f>
        <v>45874.53131</v>
      </c>
      <c r="B204" s="4" t="str">
        <f>IFERROR(__xludf.DUMMYFUNCTION("""COMPUTED_VALUE"""),"ajisadiqdala@gmail.com")</f>
        <v>ajisadiqdala@gmail.com</v>
      </c>
      <c r="C204" s="4" t="str">
        <f>IFERROR(__xludf.DUMMYFUNCTION("""COMPUTED_VALUE"""),"Sadiq Dala")</f>
        <v>Sadiq Dala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 t="str">
        <f>IFERROR(__xludf.DUMMYFUNCTION("""COMPUTED_VALUE"""),"Cluster 19")</f>
        <v>Cluster 19</v>
      </c>
      <c r="W204" s="4"/>
      <c r="X204" s="4"/>
      <c r="Y204" s="4"/>
      <c r="Z204" s="4"/>
      <c r="AA204" s="4" t="str">
        <f>IFERROR(__xludf.DUMMYFUNCTION("""COMPUTED_VALUE"""),"YOLAWA LINK")</f>
        <v>YOLAWA LINK</v>
      </c>
      <c r="AB204" s="4" t="str">
        <f>IFERROR(__xludf.DUMMYFUNCTION("""COMPUTED_VALUE"""),"Point 2")</f>
        <v>Point 2</v>
      </c>
      <c r="AC204" s="4">
        <f>IFERROR(__xludf.DUMMYFUNCTION("""COMPUTED_VALUE"""),11.991806)</f>
        <v>11.991806</v>
      </c>
      <c r="AD204" s="4">
        <f>IFERROR(__xludf.DUMMYFUNCTION("""COMPUTED_VALUE"""),8.571215)</f>
        <v>8.571215</v>
      </c>
      <c r="AE204" s="5" t="str">
        <f>IFERROR(__xludf.DUMMYFUNCTION("""COMPUTED_VALUE"""),"https://drive.google.com/open?id=1x1YrV4PApHc8r9pSqRA2hbn9at3iHs-V")</f>
        <v>https://drive.google.com/open?id=1x1YrV4PApHc8r9pSqRA2hbn9at3iHs-V</v>
      </c>
      <c r="AF204" s="4"/>
      <c r="AG204" s="4"/>
      <c r="AH204" s="4"/>
      <c r="AI204" s="4"/>
      <c r="AL204" s="4" t="str">
        <f t="shared" si="1"/>
        <v>Cluster 19</v>
      </c>
      <c r="AM204" s="4" t="str">
        <f t="shared" si="2"/>
        <v>YOLAWA LINK</v>
      </c>
    </row>
    <row r="205">
      <c r="A205" s="3">
        <f>IFERROR(__xludf.DUMMYFUNCTION("""COMPUTED_VALUE"""),45874.53008560185)</f>
        <v>45874.53009</v>
      </c>
      <c r="B205" s="4" t="str">
        <f>IFERROR(__xludf.DUMMYFUNCTION("""COMPUTED_VALUE"""),"ajisadiqdala@gmail.com")</f>
        <v>ajisadiqdala@gmail.com</v>
      </c>
      <c r="C205" s="4" t="str">
        <f>IFERROR(__xludf.DUMMYFUNCTION("""COMPUTED_VALUE"""),"Sadiq Dala")</f>
        <v>Sadiq Dala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 t="str">
        <f>IFERROR(__xludf.DUMMYFUNCTION("""COMPUTED_VALUE"""),"Cluster 19")</f>
        <v>Cluster 19</v>
      </c>
      <c r="W205" s="4"/>
      <c r="X205" s="4"/>
      <c r="Y205" s="4"/>
      <c r="Z205" s="4"/>
      <c r="AA205" s="4" t="str">
        <f>IFERROR(__xludf.DUMMYFUNCTION("""COMPUTED_VALUE"""),"YOLAWA LINK")</f>
        <v>YOLAWA LINK</v>
      </c>
      <c r="AB205" s="4" t="str">
        <f>IFERROR(__xludf.DUMMYFUNCTION("""COMPUTED_VALUE"""),"Point 1")</f>
        <v>Point 1</v>
      </c>
      <c r="AC205" s="4">
        <f>IFERROR(__xludf.DUMMYFUNCTION("""COMPUTED_VALUE"""),11.994366)</f>
        <v>11.994366</v>
      </c>
      <c r="AD205" s="4">
        <f>IFERROR(__xludf.DUMMYFUNCTION("""COMPUTED_VALUE"""),8.570396)</f>
        <v>8.570396</v>
      </c>
      <c r="AE205" s="5" t="str">
        <f>IFERROR(__xludf.DUMMYFUNCTION("""COMPUTED_VALUE"""),"https://drive.google.com/open?id=1RmiAzvY0nuBzWZSKxZNQ8sm3S_iKAn9z")</f>
        <v>https://drive.google.com/open?id=1RmiAzvY0nuBzWZSKxZNQ8sm3S_iKAn9z</v>
      </c>
      <c r="AF205" s="4"/>
      <c r="AG205" s="4"/>
      <c r="AH205" s="4"/>
      <c r="AI205" s="4"/>
      <c r="AL205" s="4" t="str">
        <f t="shared" si="1"/>
        <v>Cluster 19</v>
      </c>
      <c r="AM205" s="4" t="str">
        <f t="shared" si="2"/>
        <v>YOLAWA LINK</v>
      </c>
    </row>
    <row r="206">
      <c r="A206" s="3">
        <f>IFERROR(__xludf.DUMMYFUNCTION("""COMPUTED_VALUE"""),45874.528567500005)</f>
        <v>45874.52857</v>
      </c>
      <c r="B206" s="4" t="str">
        <f>IFERROR(__xludf.DUMMYFUNCTION("""COMPUTED_VALUE"""),"ajisadiqdala@gmail.com")</f>
        <v>ajisadiqdala@gmail.com</v>
      </c>
      <c r="C206" s="4" t="str">
        <f>IFERROR(__xludf.DUMMYFUNCTION("""COMPUTED_VALUE"""),"Sadiq Dala")</f>
        <v>Sadiq Dala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 t="str">
        <f>IFERROR(__xludf.DUMMYFUNCTION("""COMPUTED_VALUE"""),"Cluster 19")</f>
        <v>Cluster 19</v>
      </c>
      <c r="W206" s="4"/>
      <c r="X206" s="4"/>
      <c r="Y206" s="4"/>
      <c r="Z206" s="4"/>
      <c r="AA206" s="4" t="str">
        <f>IFERROR(__xludf.DUMMYFUNCTION("""COMPUTED_VALUE"""),"KABO LINK")</f>
        <v>KABO LINK</v>
      </c>
      <c r="AB206" s="4" t="str">
        <f>IFERROR(__xludf.DUMMYFUNCTION("""COMPUTED_VALUE"""),"Point 2")</f>
        <v>Point 2</v>
      </c>
      <c r="AC206" s="4">
        <f>IFERROR(__xludf.DUMMYFUNCTION("""COMPUTED_VALUE"""),11.991806)</f>
        <v>11.991806</v>
      </c>
      <c r="AD206" s="4">
        <f>IFERROR(__xludf.DUMMYFUNCTION("""COMPUTED_VALUE"""),8.571215)</f>
        <v>8.571215</v>
      </c>
      <c r="AE206" s="5" t="str">
        <f>IFERROR(__xludf.DUMMYFUNCTION("""COMPUTED_VALUE"""),"https://drive.google.com/open?id=161Kc4zDfkxPbVtsSAXgiMQ23rKS2QdKc")</f>
        <v>https://drive.google.com/open?id=161Kc4zDfkxPbVtsSAXgiMQ23rKS2QdKc</v>
      </c>
      <c r="AF206" s="4"/>
      <c r="AG206" s="4"/>
      <c r="AH206" s="4"/>
      <c r="AI206" s="4"/>
      <c r="AL206" s="4" t="str">
        <f t="shared" si="1"/>
        <v>Cluster 19</v>
      </c>
      <c r="AM206" s="4" t="str">
        <f t="shared" si="2"/>
        <v>KABO LINK</v>
      </c>
    </row>
    <row r="207">
      <c r="A207" s="3">
        <f>IFERROR(__xludf.DUMMYFUNCTION("""COMPUTED_VALUE"""),45874.526880879625)</f>
        <v>45874.52688</v>
      </c>
      <c r="B207" s="4" t="str">
        <f>IFERROR(__xludf.DUMMYFUNCTION("""COMPUTED_VALUE"""),"ajisadiqdala@gmail.com")</f>
        <v>ajisadiqdala@gmail.com</v>
      </c>
      <c r="C207" s="4" t="str">
        <f>IFERROR(__xludf.DUMMYFUNCTION("""COMPUTED_VALUE"""),"Sadiq Dala")</f>
        <v>Sadiq Dala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 t="str">
        <f>IFERROR(__xludf.DUMMYFUNCTION("""COMPUTED_VALUE"""),"Cluster 19")</f>
        <v>Cluster 19</v>
      </c>
      <c r="W207" s="4"/>
      <c r="X207" s="4"/>
      <c r="Y207" s="4"/>
      <c r="Z207" s="4"/>
      <c r="AA207" s="4" t="str">
        <f>IFERROR(__xludf.DUMMYFUNCTION("""COMPUTED_VALUE"""),"KABO LINK")</f>
        <v>KABO LINK</v>
      </c>
      <c r="AB207" s="4" t="str">
        <f>IFERROR(__xludf.DUMMYFUNCTION("""COMPUTED_VALUE"""),"Point 1")</f>
        <v>Point 1</v>
      </c>
      <c r="AC207" s="4">
        <f>IFERROR(__xludf.DUMMYFUNCTION("""COMPUTED_VALUE"""),11.91858)</f>
        <v>11.91858</v>
      </c>
      <c r="AD207" s="4">
        <f>IFERROR(__xludf.DUMMYFUNCTION("""COMPUTED_VALUE"""),8.56879)</f>
        <v>8.56879</v>
      </c>
      <c r="AE207" s="5" t="str">
        <f>IFERROR(__xludf.DUMMYFUNCTION("""COMPUTED_VALUE"""),"https://drive.google.com/open?id=12qPbnPqu-e4PcqrpsJ3Rb4EFDvfRWcIa")</f>
        <v>https://drive.google.com/open?id=12qPbnPqu-e4PcqrpsJ3Rb4EFDvfRWcIa</v>
      </c>
      <c r="AF207" s="4"/>
      <c r="AG207" s="4"/>
      <c r="AH207" s="4"/>
      <c r="AI207" s="4"/>
      <c r="AL207" s="4" t="str">
        <f t="shared" si="1"/>
        <v>Cluster 19</v>
      </c>
      <c r="AM207" s="4" t="str">
        <f t="shared" si="2"/>
        <v>KABO LINK</v>
      </c>
    </row>
    <row r="208">
      <c r="A208" s="3">
        <f>IFERROR(__xludf.DUMMYFUNCTION("""COMPUTED_VALUE"""),45874.52532327546)</f>
        <v>45874.52532</v>
      </c>
      <c r="B208" s="4" t="str">
        <f>IFERROR(__xludf.DUMMYFUNCTION("""COMPUTED_VALUE"""),"ajisadiqdala@gmail.com")</f>
        <v>ajisadiqdala@gmail.com</v>
      </c>
      <c r="C208" s="4" t="str">
        <f>IFERROR(__xludf.DUMMYFUNCTION("""COMPUTED_VALUE"""),"Sadiq Dala")</f>
        <v>Sadiq Dala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 t="str">
        <f>IFERROR(__xludf.DUMMYFUNCTION("""COMPUTED_VALUE"""),"Cluster 19")</f>
        <v>Cluster 19</v>
      </c>
      <c r="W208" s="4"/>
      <c r="X208" s="4"/>
      <c r="Y208" s="4"/>
      <c r="Z208" s="4"/>
      <c r="AA208" s="4" t="str">
        <f>IFERROR(__xludf.DUMMYFUNCTION("""COMPUTED_VALUE"""),"ZUBAIRU INUWA LINK")</f>
        <v>ZUBAIRU INUWA LINK</v>
      </c>
      <c r="AB208" s="4" t="str">
        <f>IFERROR(__xludf.DUMMYFUNCTION("""COMPUTED_VALUE"""),"Point 2")</f>
        <v>Point 2</v>
      </c>
      <c r="AC208" s="4">
        <f>IFERROR(__xludf.DUMMYFUNCTION("""COMPUTED_VALUE"""),11.992945)</f>
        <v>11.992945</v>
      </c>
      <c r="AD208" s="4">
        <f>IFERROR(__xludf.DUMMYFUNCTION("""COMPUTED_VALUE"""),8.568163)</f>
        <v>8.568163</v>
      </c>
      <c r="AE208" s="5" t="str">
        <f>IFERROR(__xludf.DUMMYFUNCTION("""COMPUTED_VALUE"""),"https://drive.google.com/open?id=1osyM_8ew1CJeVQvdQ8tttH2Czd6igiHO")</f>
        <v>https://drive.google.com/open?id=1osyM_8ew1CJeVQvdQ8tttH2Czd6igiHO</v>
      </c>
      <c r="AF208" s="4"/>
      <c r="AG208" s="4"/>
      <c r="AH208" s="4"/>
      <c r="AI208" s="4"/>
      <c r="AL208" s="4" t="str">
        <f t="shared" si="1"/>
        <v>Cluster 19</v>
      </c>
      <c r="AM208" s="4" t="str">
        <f t="shared" si="2"/>
        <v>ZUBAIRU INUWA LINK</v>
      </c>
    </row>
    <row r="209">
      <c r="A209" s="3">
        <f>IFERROR(__xludf.DUMMYFUNCTION("""COMPUTED_VALUE"""),45874.52391561343)</f>
        <v>45874.52392</v>
      </c>
      <c r="B209" s="4" t="str">
        <f>IFERROR(__xludf.DUMMYFUNCTION("""COMPUTED_VALUE"""),"ajisadiqdala@gmail.com")</f>
        <v>ajisadiqdala@gmail.com</v>
      </c>
      <c r="C209" s="4" t="str">
        <f>IFERROR(__xludf.DUMMYFUNCTION("""COMPUTED_VALUE"""),"Sadiq Dala")</f>
        <v>Sadiq Dala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 t="str">
        <f>IFERROR(__xludf.DUMMYFUNCTION("""COMPUTED_VALUE"""),"Cluster 19")</f>
        <v>Cluster 19</v>
      </c>
      <c r="W209" s="4"/>
      <c r="X209" s="4"/>
      <c r="Y209" s="4"/>
      <c r="Z209" s="4"/>
      <c r="AA209" s="4" t="str">
        <f>IFERROR(__xludf.DUMMYFUNCTION("""COMPUTED_VALUE"""),"ZUBAIRU INUWA LINK")</f>
        <v>ZUBAIRU INUWA LINK</v>
      </c>
      <c r="AB209" s="4" t="str">
        <f>IFERROR(__xludf.DUMMYFUNCTION("""COMPUTED_VALUE"""),"Point 1")</f>
        <v>Point 1</v>
      </c>
      <c r="AC209" s="4">
        <f>IFERROR(__xludf.DUMMYFUNCTION("""COMPUTED_VALUE"""),11.993526)</f>
        <v>11.993526</v>
      </c>
      <c r="AD209" s="4">
        <f>IFERROR(__xludf.DUMMYFUNCTION("""COMPUTED_VALUE"""),8.569808)</f>
        <v>8.569808</v>
      </c>
      <c r="AE209" s="5" t="str">
        <f>IFERROR(__xludf.DUMMYFUNCTION("""COMPUTED_VALUE"""),"https://drive.google.com/open?id=1LhibvHtvmil5kX7_QIBt9XTKJQmNynsn")</f>
        <v>https://drive.google.com/open?id=1LhibvHtvmil5kX7_QIBt9XTKJQmNynsn</v>
      </c>
      <c r="AF209" s="4"/>
      <c r="AG209" s="4"/>
      <c r="AH209" s="4"/>
      <c r="AI209" s="4"/>
      <c r="AL209" s="4" t="str">
        <f t="shared" si="1"/>
        <v>Cluster 19</v>
      </c>
      <c r="AM209" s="4" t="str">
        <f t="shared" si="2"/>
        <v>ZUBAIRU INUWA LINK</v>
      </c>
    </row>
    <row r="210">
      <c r="A210" s="3">
        <f>IFERROR(__xludf.DUMMYFUNCTION("""COMPUTED_VALUE"""),45874.522213738426)</f>
        <v>45874.52221</v>
      </c>
      <c r="B210" s="4" t="str">
        <f>IFERROR(__xludf.DUMMYFUNCTION("""COMPUTED_VALUE"""),"ajisadiqdala@gmail.com")</f>
        <v>ajisadiqdala@gmail.com</v>
      </c>
      <c r="C210" s="4" t="str">
        <f>IFERROR(__xludf.DUMMYFUNCTION("""COMPUTED_VALUE"""),"Sadiq Dala")</f>
        <v>Sadiq Dala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 t="str">
        <f>IFERROR(__xludf.DUMMYFUNCTION("""COMPUTED_VALUE"""),"Cluster 19")</f>
        <v>Cluster 19</v>
      </c>
      <c r="W210" s="4"/>
      <c r="X210" s="4"/>
      <c r="Y210" s="4"/>
      <c r="Z210" s="4"/>
      <c r="AA210" s="4" t="str">
        <f>IFERROR(__xludf.DUMMYFUNCTION("""COMPUTED_VALUE"""),"WRECCA ROAD")</f>
        <v>WRECCA ROAD</v>
      </c>
      <c r="AB210" s="4" t="str">
        <f>IFERROR(__xludf.DUMMYFUNCTION("""COMPUTED_VALUE"""),"Point 2")</f>
        <v>Point 2</v>
      </c>
      <c r="AC210" s="4">
        <f>IFERROR(__xludf.DUMMYFUNCTION("""COMPUTED_VALUE"""),11.979822)</f>
        <v>11.979822</v>
      </c>
      <c r="AD210" s="4">
        <f>IFERROR(__xludf.DUMMYFUNCTION("""COMPUTED_VALUE"""),8.567868)</f>
        <v>8.567868</v>
      </c>
      <c r="AE210" s="5" t="str">
        <f>IFERROR(__xludf.DUMMYFUNCTION("""COMPUTED_VALUE"""),"https://drive.google.com/open?id=1ddBy10CrwbRN3spKp3qd7seNyVZRr1-o")</f>
        <v>https://drive.google.com/open?id=1ddBy10CrwbRN3spKp3qd7seNyVZRr1-o</v>
      </c>
      <c r="AF210" s="4"/>
      <c r="AG210" s="4"/>
      <c r="AH210" s="4"/>
      <c r="AI210" s="4"/>
      <c r="AL210" s="4" t="str">
        <f t="shared" si="1"/>
        <v>Cluster 19</v>
      </c>
      <c r="AM210" s="4" t="str">
        <f t="shared" si="2"/>
        <v>WRECCA ROAD</v>
      </c>
    </row>
    <row r="211">
      <c r="A211" s="3">
        <f>IFERROR(__xludf.DUMMYFUNCTION("""COMPUTED_VALUE"""),45874.517984618054)</f>
        <v>45874.51798</v>
      </c>
      <c r="B211" s="4" t="str">
        <f>IFERROR(__xludf.DUMMYFUNCTION("""COMPUTED_VALUE"""),"ajisadiqdala@gmail.com")</f>
        <v>ajisadiqdala@gmail.com</v>
      </c>
      <c r="C211" s="4" t="str">
        <f>IFERROR(__xludf.DUMMYFUNCTION("""COMPUTED_VALUE"""),"Sadiq Dala")</f>
        <v>Sadiq Dala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 t="str">
        <f>IFERROR(__xludf.DUMMYFUNCTION("""COMPUTED_VALUE"""),"Cluster 19")</f>
        <v>Cluster 19</v>
      </c>
      <c r="W211" s="4"/>
      <c r="X211" s="4"/>
      <c r="Y211" s="4"/>
      <c r="Z211" s="4"/>
      <c r="AA211" s="4" t="str">
        <f>IFERROR(__xludf.DUMMYFUNCTION("""COMPUTED_VALUE"""),"WRECCA ROAD")</f>
        <v>WRECCA ROAD</v>
      </c>
      <c r="AB211" s="4" t="str">
        <f>IFERROR(__xludf.DUMMYFUNCTION("""COMPUTED_VALUE"""),"Point 1")</f>
        <v>Point 1</v>
      </c>
      <c r="AC211" s="4">
        <f>IFERROR(__xludf.DUMMYFUNCTION("""COMPUTED_VALUE"""),11.985879)</f>
        <v>11.985879</v>
      </c>
      <c r="AD211" s="4">
        <f>IFERROR(__xludf.DUMMYFUNCTION("""COMPUTED_VALUE"""),8.568035)</f>
        <v>8.568035</v>
      </c>
      <c r="AE211" s="5" t="str">
        <f>IFERROR(__xludf.DUMMYFUNCTION("""COMPUTED_VALUE"""),"https://drive.google.com/open?id=1ZKCQjEWBr98weTSP8tPVpgOXYJodekSi")</f>
        <v>https://drive.google.com/open?id=1ZKCQjEWBr98weTSP8tPVpgOXYJodekSi</v>
      </c>
      <c r="AF211" s="4"/>
      <c r="AG211" s="4"/>
      <c r="AH211" s="4"/>
      <c r="AI211" s="4"/>
      <c r="AL211" s="4" t="str">
        <f t="shared" si="1"/>
        <v>Cluster 19</v>
      </c>
      <c r="AM211" s="4" t="str">
        <f t="shared" si="2"/>
        <v>WRECCA ROAD</v>
      </c>
    </row>
    <row r="212">
      <c r="A212" s="3">
        <f>IFERROR(__xludf.DUMMYFUNCTION("""COMPUTED_VALUE"""),45874.51660274305)</f>
        <v>45874.5166</v>
      </c>
      <c r="B212" s="4" t="str">
        <f>IFERROR(__xludf.DUMMYFUNCTION("""COMPUTED_VALUE"""),"ajisadiqdala@gmail.com")</f>
        <v>ajisadiqdala@gmail.com</v>
      </c>
      <c r="C212" s="4" t="str">
        <f>IFERROR(__xludf.DUMMYFUNCTION("""COMPUTED_VALUE"""),"Sadiq Dala")</f>
        <v>Sadiq Dala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 t="str">
        <f>IFERROR(__xludf.DUMMYFUNCTION("""COMPUTED_VALUE"""),"Cluster 19")</f>
        <v>Cluster 19</v>
      </c>
      <c r="W212" s="4"/>
      <c r="X212" s="4"/>
      <c r="Y212" s="4"/>
      <c r="Z212" s="4"/>
      <c r="AA212" s="4" t="str">
        <f>IFERROR(__xludf.DUMMYFUNCTION("""COMPUTED_VALUE"""),"MALAM BUHARI LINK")</f>
        <v>MALAM BUHARI LINK</v>
      </c>
      <c r="AB212" s="4" t="str">
        <f>IFERROR(__xludf.DUMMYFUNCTION("""COMPUTED_VALUE"""),"Point 2")</f>
        <v>Point 2</v>
      </c>
      <c r="AC212" s="4">
        <f>IFERROR(__xludf.DUMMYFUNCTION("""COMPUTED_VALUE"""),11.987259)</f>
        <v>11.987259</v>
      </c>
      <c r="AD212" s="4">
        <f>IFERROR(__xludf.DUMMYFUNCTION("""COMPUTED_VALUE"""),8.567419)</f>
        <v>8.567419</v>
      </c>
      <c r="AE212" s="5" t="str">
        <f>IFERROR(__xludf.DUMMYFUNCTION("""COMPUTED_VALUE"""),"https://drive.google.com/open?id=16iS-yJAuvJPI44wufzSMiQ6saVM5yeA-")</f>
        <v>https://drive.google.com/open?id=16iS-yJAuvJPI44wufzSMiQ6saVM5yeA-</v>
      </c>
      <c r="AF212" s="4"/>
      <c r="AG212" s="4"/>
      <c r="AH212" s="4"/>
      <c r="AI212" s="4"/>
      <c r="AL212" s="4" t="str">
        <f t="shared" si="1"/>
        <v>Cluster 19</v>
      </c>
      <c r="AM212" s="4" t="str">
        <f t="shared" si="2"/>
        <v>MALAM BUHARI LINK</v>
      </c>
    </row>
    <row r="213">
      <c r="A213" s="3">
        <f>IFERROR(__xludf.DUMMYFUNCTION("""COMPUTED_VALUE"""),45874.51509954861)</f>
        <v>45874.5151</v>
      </c>
      <c r="B213" s="4" t="str">
        <f>IFERROR(__xludf.DUMMYFUNCTION("""COMPUTED_VALUE"""),"ajisadiqdala@gmail.com")</f>
        <v>ajisadiqdala@gmail.com</v>
      </c>
      <c r="C213" s="4" t="str">
        <f>IFERROR(__xludf.DUMMYFUNCTION("""COMPUTED_VALUE"""),"Sadiq Dala")</f>
        <v>Sadiq Dala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tr">
        <f>IFERROR(__xludf.DUMMYFUNCTION("""COMPUTED_VALUE"""),"Cluster 19")</f>
        <v>Cluster 19</v>
      </c>
      <c r="W213" s="4"/>
      <c r="X213" s="4"/>
      <c r="Y213" s="4"/>
      <c r="Z213" s="4"/>
      <c r="AA213" s="4" t="str">
        <f>IFERROR(__xludf.DUMMYFUNCTION("""COMPUTED_VALUE"""),"MALAM BUHARI LINK")</f>
        <v>MALAM BUHARI LINK</v>
      </c>
      <c r="AB213" s="4" t="str">
        <f>IFERROR(__xludf.DUMMYFUNCTION("""COMPUTED_VALUE"""),"Point 1")</f>
        <v>Point 1</v>
      </c>
      <c r="AC213" s="4">
        <f>IFERROR(__xludf.DUMMYFUNCTION("""COMPUTED_VALUE"""),11.987356)</f>
        <v>11.987356</v>
      </c>
      <c r="AD213" s="4">
        <f>IFERROR(__xludf.DUMMYFUNCTION("""COMPUTED_VALUE"""),8.566457)</f>
        <v>8.566457</v>
      </c>
      <c r="AE213" s="5" t="str">
        <f>IFERROR(__xludf.DUMMYFUNCTION("""COMPUTED_VALUE"""),"https://drive.google.com/open?id=1QU7pz7fbtK9MLsM0XqTU-b7x8gU5AYv9")</f>
        <v>https://drive.google.com/open?id=1QU7pz7fbtK9MLsM0XqTU-b7x8gU5AYv9</v>
      </c>
      <c r="AF213" s="4"/>
      <c r="AG213" s="4"/>
      <c r="AH213" s="4"/>
      <c r="AI213" s="4"/>
      <c r="AL213" s="4" t="str">
        <f t="shared" si="1"/>
        <v>Cluster 19</v>
      </c>
      <c r="AM213" s="4" t="str">
        <f t="shared" si="2"/>
        <v>MALAM BUHARI LINK</v>
      </c>
    </row>
    <row r="214">
      <c r="A214" s="3">
        <f>IFERROR(__xludf.DUMMYFUNCTION("""COMPUTED_VALUE"""),45874.51347762732)</f>
        <v>45874.51348</v>
      </c>
      <c r="B214" s="4" t="str">
        <f>IFERROR(__xludf.DUMMYFUNCTION("""COMPUTED_VALUE"""),"ajisadiqdala@gmail.com")</f>
        <v>ajisadiqdala@gmail.com</v>
      </c>
      <c r="C214" s="4" t="str">
        <f>IFERROR(__xludf.DUMMYFUNCTION("""COMPUTED_VALUE"""),"Sadiq Dala")</f>
        <v>Sadiq Dala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 t="str">
        <f>IFERROR(__xludf.DUMMYFUNCTION("""COMPUTED_VALUE"""),"Cluster 19")</f>
        <v>Cluster 19</v>
      </c>
      <c r="W214" s="4"/>
      <c r="X214" s="4"/>
      <c r="Y214" s="4"/>
      <c r="Z214" s="4"/>
      <c r="AA214" s="4" t="str">
        <f>IFERROR(__xludf.DUMMYFUNCTION("""COMPUTED_VALUE"""),"BABAN KWARI ROAD")</f>
        <v>BABAN KWARI ROAD</v>
      </c>
      <c r="AB214" s="4" t="str">
        <f>IFERROR(__xludf.DUMMYFUNCTION("""COMPUTED_VALUE"""),"Point 2")</f>
        <v>Point 2</v>
      </c>
      <c r="AC214" s="4">
        <f>IFERROR(__xludf.DUMMYFUNCTION("""COMPUTED_VALUE"""),11.99716)</f>
        <v>11.99716</v>
      </c>
      <c r="AD214" s="4">
        <f>IFERROR(__xludf.DUMMYFUNCTION("""COMPUTED_VALUE"""),8.567817)</f>
        <v>8.567817</v>
      </c>
      <c r="AE214" s="5" t="str">
        <f>IFERROR(__xludf.DUMMYFUNCTION("""COMPUTED_VALUE"""),"https://drive.google.com/open?id=1W68evWfmMyMrQOs-p5jFAtD9KO5sgME0")</f>
        <v>https://drive.google.com/open?id=1W68evWfmMyMrQOs-p5jFAtD9KO5sgME0</v>
      </c>
      <c r="AF214" s="4"/>
      <c r="AG214" s="4"/>
      <c r="AH214" s="4"/>
      <c r="AI214" s="4"/>
      <c r="AL214" s="4" t="str">
        <f t="shared" si="1"/>
        <v>Cluster 19</v>
      </c>
      <c r="AM214" s="4" t="str">
        <f t="shared" si="2"/>
        <v>BABAN KWARI ROAD</v>
      </c>
    </row>
    <row r="215">
      <c r="A215" s="3">
        <f>IFERROR(__xludf.DUMMYFUNCTION("""COMPUTED_VALUE"""),45874.49910784722)</f>
        <v>45874.49911</v>
      </c>
      <c r="B215" s="4" t="str">
        <f>IFERROR(__xludf.DUMMYFUNCTION("""COMPUTED_VALUE"""),"ajisadiqdala@gmail.com")</f>
        <v>ajisadiqdala@gmail.com</v>
      </c>
      <c r="C215" s="4" t="str">
        <f>IFERROR(__xludf.DUMMYFUNCTION("""COMPUTED_VALUE"""),"Sadiq Dala")</f>
        <v>Sadiq Dala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 t="str">
        <f>IFERROR(__xludf.DUMMYFUNCTION("""COMPUTED_VALUE"""),"Cluster 19")</f>
        <v>Cluster 19</v>
      </c>
      <c r="W215" s="4"/>
      <c r="X215" s="4"/>
      <c r="Y215" s="4"/>
      <c r="Z215" s="4"/>
      <c r="AA215" s="4" t="str">
        <f>IFERROR(__xludf.DUMMYFUNCTION("""COMPUTED_VALUE"""),"BABAN KWARI ROAD")</f>
        <v>BABAN KWARI ROAD</v>
      </c>
      <c r="AB215" s="4" t="str">
        <f>IFERROR(__xludf.DUMMYFUNCTION("""COMPUTED_VALUE"""),"Point 1")</f>
        <v>Point 1</v>
      </c>
      <c r="AC215" s="4">
        <f>IFERROR(__xludf.DUMMYFUNCTION("""COMPUTED_VALUE"""),11.997662)</f>
        <v>11.997662</v>
      </c>
      <c r="AD215" s="4">
        <f>IFERROR(__xludf.DUMMYFUNCTION("""COMPUTED_VALUE"""),8.565905)</f>
        <v>8.565905</v>
      </c>
      <c r="AE215" s="5" t="str">
        <f>IFERROR(__xludf.DUMMYFUNCTION("""COMPUTED_VALUE"""),"https://drive.google.com/open?id=1mGHcYSgk6FQi1_ZqS4oTCumZrN4fUEdj")</f>
        <v>https://drive.google.com/open?id=1mGHcYSgk6FQi1_ZqS4oTCumZrN4fUEdj</v>
      </c>
      <c r="AF215" s="4"/>
      <c r="AG215" s="4"/>
      <c r="AH215" s="4"/>
      <c r="AI215" s="4"/>
      <c r="AL215" s="4" t="str">
        <f t="shared" si="1"/>
        <v>Cluster 19</v>
      </c>
      <c r="AM215" s="4" t="str">
        <f t="shared" si="2"/>
        <v>BABAN KWARI ROAD</v>
      </c>
    </row>
    <row r="216">
      <c r="A216" s="3">
        <f>IFERROR(__xludf.DUMMYFUNCTION("""COMPUTED_VALUE"""),45873.91312131945)</f>
        <v>45873.91312</v>
      </c>
      <c r="B216" s="4" t="str">
        <f>IFERROR(__xludf.DUMMYFUNCTION("""COMPUTED_VALUE"""),"iahmadzakari@gmail.com")</f>
        <v>iahmadzakari@gmail.com</v>
      </c>
      <c r="C216" s="4" t="str">
        <f>IFERROR(__xludf.DUMMYFUNCTION("""COMPUTED_VALUE"""),"Sadiq Ilu")</f>
        <v>Sadiq Ilu</v>
      </c>
      <c r="D216" s="4" t="str">
        <f>IFERROR(__xludf.DUMMYFUNCTION("""COMPUTED_VALUE"""),"Cluster 3")</f>
        <v>Cluster 3</v>
      </c>
      <c r="E216" s="4" t="str">
        <f>IFERROR(__xludf.DUMMYFUNCTION("""COMPUTED_VALUE"""),"MAIDUGURI ROAD")</f>
        <v>MAIDUGURI ROAD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 t="str">
        <f>IFERROR(__xludf.DUMMYFUNCTION("""COMPUTED_VALUE"""),"Point 2")</f>
        <v>Point 2</v>
      </c>
      <c r="AC216" s="4">
        <f>IFERROR(__xludf.DUMMYFUNCTION("""COMPUTED_VALUE"""),11.96697)</f>
        <v>11.96697</v>
      </c>
      <c r="AD216" s="4">
        <f>IFERROR(__xludf.DUMMYFUNCTION("""COMPUTED_VALUE"""),8.551421)</f>
        <v>8.551421</v>
      </c>
      <c r="AE216" s="5" t="str">
        <f>IFERROR(__xludf.DUMMYFUNCTION("""COMPUTED_VALUE"""),"https://drive.google.com/open?id=1cNKCeSDtA-FqU_AYA6rCIgp2qSJwZjag")</f>
        <v>https://drive.google.com/open?id=1cNKCeSDtA-FqU_AYA6rCIgp2qSJwZjag</v>
      </c>
      <c r="AF216" s="4"/>
      <c r="AG216" s="4"/>
      <c r="AH216" s="4"/>
      <c r="AI216" s="4"/>
      <c r="AL216" s="4" t="str">
        <f t="shared" si="1"/>
        <v>Cluster 3</v>
      </c>
      <c r="AM216" s="4" t="str">
        <f t="shared" si="2"/>
        <v>MAIDUGURI ROAD</v>
      </c>
    </row>
    <row r="217">
      <c r="A217" s="3">
        <f>IFERROR(__xludf.DUMMYFUNCTION("""COMPUTED_VALUE"""),45873.911399317134)</f>
        <v>45873.9114</v>
      </c>
      <c r="B217" s="4" t="str">
        <f>IFERROR(__xludf.DUMMYFUNCTION("""COMPUTED_VALUE"""),"iahmadzakari@gmail.com")</f>
        <v>iahmadzakari@gmail.com</v>
      </c>
      <c r="C217" s="4" t="str">
        <f>IFERROR(__xludf.DUMMYFUNCTION("""COMPUTED_VALUE"""),"Sadiq Ilu")</f>
        <v>Sadiq Ilu</v>
      </c>
      <c r="D217" s="4" t="str">
        <f>IFERROR(__xludf.DUMMYFUNCTION("""COMPUTED_VALUE"""),"Cluster 3")</f>
        <v>Cluster 3</v>
      </c>
      <c r="E217" s="4" t="str">
        <f>IFERROR(__xludf.DUMMYFUNCTION("""COMPUTED_VALUE"""),"MAIDUGURI ROAD")</f>
        <v>MAIDUGURI ROAD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 t="str">
        <f>IFERROR(__xludf.DUMMYFUNCTION("""COMPUTED_VALUE"""),"Point 1")</f>
        <v>Point 1</v>
      </c>
      <c r="AC217" s="4">
        <f>IFERROR(__xludf.DUMMYFUNCTION("""COMPUTED_VALUE"""),11.963383)</f>
        <v>11.963383</v>
      </c>
      <c r="AD217" s="4">
        <f>IFERROR(__xludf.DUMMYFUNCTION("""COMPUTED_VALUE"""),8.592294)</f>
        <v>8.592294</v>
      </c>
      <c r="AE217" s="5" t="str">
        <f>IFERROR(__xludf.DUMMYFUNCTION("""COMPUTED_VALUE"""),"https://drive.google.com/open?id=1K27LpZvZCr41G-Q0JgC5_8sv8-cS2sf6")</f>
        <v>https://drive.google.com/open?id=1K27LpZvZCr41G-Q0JgC5_8sv8-cS2sf6</v>
      </c>
      <c r="AF217" s="4"/>
      <c r="AG217" s="4"/>
      <c r="AH217" s="4"/>
      <c r="AI217" s="4"/>
      <c r="AL217" s="4" t="str">
        <f t="shared" si="1"/>
        <v>Cluster 3</v>
      </c>
      <c r="AM217" s="4" t="str">
        <f t="shared" si="2"/>
        <v>MAIDUGURI ROAD</v>
      </c>
    </row>
    <row r="218">
      <c r="A218" s="3">
        <f>IFERROR(__xludf.DUMMYFUNCTION("""COMPUTED_VALUE"""),45873.90864273148)</f>
        <v>45873.90864</v>
      </c>
      <c r="B218" s="4" t="str">
        <f>IFERROR(__xludf.DUMMYFUNCTION("""COMPUTED_VALUE"""),"iahmadzakari@gmail.com")</f>
        <v>iahmadzakari@gmail.com</v>
      </c>
      <c r="C218" s="4" t="str">
        <f>IFERROR(__xludf.DUMMYFUNCTION("""COMPUTED_VALUE"""),"Sadiq Ilu")</f>
        <v>Sadiq Ilu</v>
      </c>
      <c r="D218" s="4" t="str">
        <f>IFERROR(__xludf.DUMMYFUNCTION("""COMPUTED_VALUE"""),"Cluster 3")</f>
        <v>Cluster 3</v>
      </c>
      <c r="E218" s="4" t="str">
        <f>IFERROR(__xludf.DUMMYFUNCTION("""COMPUTED_VALUE"""),"JAKADAN GARKO STREET")</f>
        <v>JAKADAN GARKO STREET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 t="str">
        <f>IFERROR(__xludf.DUMMYFUNCTION("""COMPUTED_VALUE"""),"Point 2")</f>
        <v>Point 2</v>
      </c>
      <c r="AC218" s="4">
        <f>IFERROR(__xludf.DUMMYFUNCTION("""COMPUTED_VALUE"""),11.963893)</f>
        <v>11.963893</v>
      </c>
      <c r="AD218" s="4">
        <f>IFERROR(__xludf.DUMMYFUNCTION("""COMPUTED_VALUE"""),8.556895)</f>
        <v>8.556895</v>
      </c>
      <c r="AE218" s="5" t="str">
        <f>IFERROR(__xludf.DUMMYFUNCTION("""COMPUTED_VALUE"""),"https://drive.google.com/open?id=1NdB7Q2SwPBRjMA43RhiZhhMZuRf8rbSa")</f>
        <v>https://drive.google.com/open?id=1NdB7Q2SwPBRjMA43RhiZhhMZuRf8rbSa</v>
      </c>
      <c r="AF218" s="4"/>
      <c r="AG218" s="4"/>
      <c r="AH218" s="4"/>
      <c r="AI218" s="4"/>
      <c r="AL218" s="4" t="str">
        <f t="shared" si="1"/>
        <v>Cluster 3</v>
      </c>
      <c r="AM218" s="4" t="str">
        <f t="shared" si="2"/>
        <v>JAKADAN GARKO STREET</v>
      </c>
    </row>
    <row r="219">
      <c r="A219" s="3">
        <f>IFERROR(__xludf.DUMMYFUNCTION("""COMPUTED_VALUE"""),45873.90767560185)</f>
        <v>45873.90768</v>
      </c>
      <c r="B219" s="4" t="str">
        <f>IFERROR(__xludf.DUMMYFUNCTION("""COMPUTED_VALUE"""),"iahmadzakari@gmail.com")</f>
        <v>iahmadzakari@gmail.com</v>
      </c>
      <c r="C219" s="4" t="str">
        <f>IFERROR(__xludf.DUMMYFUNCTION("""COMPUTED_VALUE"""),"Sadiq Ilu")</f>
        <v>Sadiq Ilu</v>
      </c>
      <c r="D219" s="4" t="str">
        <f>IFERROR(__xludf.DUMMYFUNCTION("""COMPUTED_VALUE"""),"Cluster 3")</f>
        <v>Cluster 3</v>
      </c>
      <c r="E219" s="4" t="str">
        <f>IFERROR(__xludf.DUMMYFUNCTION("""COMPUTED_VALUE"""),"JAKADAN GARKO STREET")</f>
        <v>JAKADAN GARKO STREET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 t="str">
        <f>IFERROR(__xludf.DUMMYFUNCTION("""COMPUTED_VALUE"""),"Point 1")</f>
        <v>Point 1</v>
      </c>
      <c r="AC219" s="4">
        <f>IFERROR(__xludf.DUMMYFUNCTION("""COMPUTED_VALUE"""),11.966277)</f>
        <v>11.966277</v>
      </c>
      <c r="AD219" s="4">
        <f>IFERROR(__xludf.DUMMYFUNCTION("""COMPUTED_VALUE"""),8.557206)</f>
        <v>8.557206</v>
      </c>
      <c r="AE219" s="5" t="str">
        <f>IFERROR(__xludf.DUMMYFUNCTION("""COMPUTED_VALUE"""),"https://drive.google.com/open?id=12pu42ccmfRgez8rLGIHoM-r-j1s2GV49")</f>
        <v>https://drive.google.com/open?id=12pu42ccmfRgez8rLGIHoM-r-j1s2GV49</v>
      </c>
      <c r="AF219" s="4"/>
      <c r="AG219" s="4"/>
      <c r="AH219" s="4"/>
      <c r="AI219" s="4"/>
      <c r="AL219" s="4" t="str">
        <f t="shared" si="1"/>
        <v>Cluster 3</v>
      </c>
      <c r="AM219" s="4" t="str">
        <f t="shared" si="2"/>
        <v>JAKADAN GARKO STREET</v>
      </c>
    </row>
    <row r="220">
      <c r="A220" s="3">
        <f>IFERROR(__xludf.DUMMYFUNCTION("""COMPUTED_VALUE"""),45873.90520709491)</f>
        <v>45873.90521</v>
      </c>
      <c r="B220" s="4" t="str">
        <f>IFERROR(__xludf.DUMMYFUNCTION("""COMPUTED_VALUE"""),"iahmadzakari@gmail.com")</f>
        <v>iahmadzakari@gmail.com</v>
      </c>
      <c r="C220" s="4" t="str">
        <f>IFERROR(__xludf.DUMMYFUNCTION("""COMPUTED_VALUE"""),"Sadiq Ilu")</f>
        <v>Sadiq Ilu</v>
      </c>
      <c r="D220" s="4" t="str">
        <f>IFERROR(__xludf.DUMMYFUNCTION("""COMPUTED_VALUE"""),"Cluster 17")</f>
        <v>Cluster 17</v>
      </c>
      <c r="E220" s="4"/>
      <c r="F220" s="4"/>
      <c r="G220" s="4"/>
      <c r="H220" s="4"/>
      <c r="I220" s="4" t="str">
        <f>IFERROR(__xludf.DUMMYFUNCTION("""COMPUTED_VALUE"""),"IBRAHIM EL-TAYYIB CLOSE")</f>
        <v>IBRAHIM EL-TAYYIB CLOSE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 t="str">
        <f>IFERROR(__xludf.DUMMYFUNCTION("""COMPUTED_VALUE"""),"Point 1")</f>
        <v>Point 1</v>
      </c>
      <c r="AC220" s="4">
        <f>IFERROR(__xludf.DUMMYFUNCTION("""COMPUTED_VALUE"""),11.982466)</f>
        <v>11.982466</v>
      </c>
      <c r="AD220" s="4">
        <f>IFERROR(__xludf.DUMMYFUNCTION("""COMPUTED_VALUE"""),8.565883)</f>
        <v>8.565883</v>
      </c>
      <c r="AE220" s="5" t="str">
        <f>IFERROR(__xludf.DUMMYFUNCTION("""COMPUTED_VALUE"""),"https://drive.google.com/open?id=1yNHdSZ616FUdRgCQ4UhHJFtoj2vCNHie")</f>
        <v>https://drive.google.com/open?id=1yNHdSZ616FUdRgCQ4UhHJFtoj2vCNHie</v>
      </c>
      <c r="AF220" s="4"/>
      <c r="AG220" s="4"/>
      <c r="AH220" s="4"/>
      <c r="AI220" s="4"/>
      <c r="AL220" s="4" t="str">
        <f t="shared" si="1"/>
        <v>Cluster 17</v>
      </c>
      <c r="AM220" s="4" t="str">
        <f t="shared" si="2"/>
        <v>IBRAHIM EL-TAYYIB CLOSE</v>
      </c>
    </row>
    <row r="221">
      <c r="A221" s="3">
        <f>IFERROR(__xludf.DUMMYFUNCTION("""COMPUTED_VALUE"""),45873.904217372685)</f>
        <v>45873.90422</v>
      </c>
      <c r="B221" s="4" t="str">
        <f>IFERROR(__xludf.DUMMYFUNCTION("""COMPUTED_VALUE"""),"iahmadzakari@gmail.com")</f>
        <v>iahmadzakari@gmail.com</v>
      </c>
      <c r="C221" s="4" t="str">
        <f>IFERROR(__xludf.DUMMYFUNCTION("""COMPUTED_VALUE"""),"Sadiq Ilu")</f>
        <v>Sadiq Ilu</v>
      </c>
      <c r="D221" s="4" t="str">
        <f>IFERROR(__xludf.DUMMYFUNCTION("""COMPUTED_VALUE"""),"Cluster 17")</f>
        <v>Cluster 17</v>
      </c>
      <c r="E221" s="4"/>
      <c r="F221" s="4"/>
      <c r="G221" s="4"/>
      <c r="H221" s="4"/>
      <c r="I221" s="4" t="str">
        <f>IFERROR(__xludf.DUMMYFUNCTION("""COMPUTED_VALUE"""),"I. MA SAMA CLOSE")</f>
        <v>I. MA SAMA CLOSE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 t="str">
        <f>IFERROR(__xludf.DUMMYFUNCTION("""COMPUTED_VALUE"""),"Point 1")</f>
        <v>Point 1</v>
      </c>
      <c r="AC221" s="4">
        <f>IFERROR(__xludf.DUMMYFUNCTION("""COMPUTED_VALUE"""),11.979816)</f>
        <v>11.979816</v>
      </c>
      <c r="AD221" s="4">
        <f>IFERROR(__xludf.DUMMYFUNCTION("""COMPUTED_VALUE"""),8.565393)</f>
        <v>8.565393</v>
      </c>
      <c r="AE221" s="5" t="str">
        <f>IFERROR(__xludf.DUMMYFUNCTION("""COMPUTED_VALUE"""),"https://drive.google.com/open?id=1UwY72MjIu6MqVTJ0_vBvnmAhzX010k0n")</f>
        <v>https://drive.google.com/open?id=1UwY72MjIu6MqVTJ0_vBvnmAhzX010k0n</v>
      </c>
      <c r="AF221" s="4"/>
      <c r="AG221" s="4"/>
      <c r="AH221" s="4"/>
      <c r="AI221" s="4"/>
      <c r="AL221" s="4" t="str">
        <f t="shared" si="1"/>
        <v>Cluster 17</v>
      </c>
      <c r="AM221" s="4" t="str">
        <f t="shared" si="2"/>
        <v>I. MA SAMA CLOSE</v>
      </c>
    </row>
    <row r="222">
      <c r="A222" s="3">
        <f>IFERROR(__xludf.DUMMYFUNCTION("""COMPUTED_VALUE"""),45873.903117106485)</f>
        <v>45873.90312</v>
      </c>
      <c r="B222" s="4" t="str">
        <f>IFERROR(__xludf.DUMMYFUNCTION("""COMPUTED_VALUE"""),"iahmadzakari@gmail.com")</f>
        <v>iahmadzakari@gmail.com</v>
      </c>
      <c r="C222" s="4" t="str">
        <f>IFERROR(__xludf.DUMMYFUNCTION("""COMPUTED_VALUE"""),"Sadiq Ilu")</f>
        <v>Sadiq Ilu</v>
      </c>
      <c r="D222" s="4" t="str">
        <f>IFERROR(__xludf.DUMMYFUNCTION("""COMPUTED_VALUE"""),"Cluster 11")</f>
        <v>Cluster 11</v>
      </c>
      <c r="E222" s="4"/>
      <c r="F222" s="4"/>
      <c r="G222" s="4"/>
      <c r="H222" s="4" t="str">
        <f>IFERROR(__xludf.DUMMYFUNCTION("""COMPUTED_VALUE"""),"DAR-ES SALAM STREET")</f>
        <v>DAR-ES SALAM STREET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 t="str">
        <f>IFERROR(__xludf.DUMMYFUNCTION("""COMPUTED_VALUE"""),"Point 2")</f>
        <v>Point 2</v>
      </c>
      <c r="AC222" s="4">
        <f>IFERROR(__xludf.DUMMYFUNCTION("""COMPUTED_VALUE"""),11.994656)</f>
        <v>11.994656</v>
      </c>
      <c r="AD222" s="4">
        <f>IFERROR(__xludf.DUMMYFUNCTION("""COMPUTED_VALUE"""),8.570522)</f>
        <v>8.570522</v>
      </c>
      <c r="AE222" s="5" t="str">
        <f>IFERROR(__xludf.DUMMYFUNCTION("""COMPUTED_VALUE"""),"https://drive.google.com/open?id=1Jpjr0N5D0G06RQkJ2SavRZo93UDmq6Qw")</f>
        <v>https://drive.google.com/open?id=1Jpjr0N5D0G06RQkJ2SavRZo93UDmq6Qw</v>
      </c>
      <c r="AF222" s="4"/>
      <c r="AG222" s="4"/>
      <c r="AH222" s="4"/>
      <c r="AI222" s="4"/>
      <c r="AL222" s="4" t="str">
        <f t="shared" si="1"/>
        <v>Cluster 11</v>
      </c>
      <c r="AM222" s="4" t="str">
        <f t="shared" si="2"/>
        <v>DAR-ES SALAM STREET</v>
      </c>
    </row>
    <row r="223">
      <c r="A223" s="3">
        <f>IFERROR(__xludf.DUMMYFUNCTION("""COMPUTED_VALUE"""),45873.902260069444)</f>
        <v>45873.90226</v>
      </c>
      <c r="B223" s="4" t="str">
        <f>IFERROR(__xludf.DUMMYFUNCTION("""COMPUTED_VALUE"""),"iahmadzakari@gmail.com")</f>
        <v>iahmadzakari@gmail.com</v>
      </c>
      <c r="C223" s="4" t="str">
        <f>IFERROR(__xludf.DUMMYFUNCTION("""COMPUTED_VALUE"""),"Sadiq Ilu")</f>
        <v>Sadiq Ilu</v>
      </c>
      <c r="D223" s="4" t="str">
        <f>IFERROR(__xludf.DUMMYFUNCTION("""COMPUTED_VALUE"""),"Cluster 11")</f>
        <v>Cluster 11</v>
      </c>
      <c r="E223" s="4"/>
      <c r="F223" s="4"/>
      <c r="G223" s="4"/>
      <c r="H223" s="4" t="str">
        <f>IFERROR(__xludf.DUMMYFUNCTION("""COMPUTED_VALUE"""),"DAR-ES SALAM STREET")</f>
        <v>DAR-ES SALAM STREET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 t="str">
        <f>IFERROR(__xludf.DUMMYFUNCTION("""COMPUTED_VALUE"""),"Point 1")</f>
        <v>Point 1</v>
      </c>
      <c r="AC223" s="4">
        <f>IFERROR(__xludf.DUMMYFUNCTION("""COMPUTED_VALUE"""),11.994543)</f>
        <v>11.994543</v>
      </c>
      <c r="AD223" s="4">
        <f>IFERROR(__xludf.DUMMYFUNCTION("""COMPUTED_VALUE"""),8.571759)</f>
        <v>8.571759</v>
      </c>
      <c r="AE223" s="5" t="str">
        <f>IFERROR(__xludf.DUMMYFUNCTION("""COMPUTED_VALUE"""),"https://drive.google.com/open?id=1H62e5ZaRiA4A0ABRENST9Zu6U2EEa14d")</f>
        <v>https://drive.google.com/open?id=1H62e5ZaRiA4A0ABRENST9Zu6U2EEa14d</v>
      </c>
      <c r="AF223" s="4"/>
      <c r="AG223" s="4"/>
      <c r="AH223" s="4"/>
      <c r="AI223" s="4"/>
      <c r="AL223" s="4" t="str">
        <f t="shared" si="1"/>
        <v>Cluster 11</v>
      </c>
      <c r="AM223" s="4" t="str">
        <f t="shared" si="2"/>
        <v>DAR-ES SALAM STREET</v>
      </c>
    </row>
    <row r="224">
      <c r="A224" s="3">
        <f>IFERROR(__xludf.DUMMYFUNCTION("""COMPUTED_VALUE"""),45873.90123984954)</f>
        <v>45873.90124</v>
      </c>
      <c r="B224" s="4" t="str">
        <f>IFERROR(__xludf.DUMMYFUNCTION("""COMPUTED_VALUE"""),"iahmadzakari@gmail.com")</f>
        <v>iahmadzakari@gmail.com</v>
      </c>
      <c r="C224" s="4" t="str">
        <f>IFERROR(__xludf.DUMMYFUNCTION("""COMPUTED_VALUE"""),"Sadiq Ilu")</f>
        <v>Sadiq Ilu</v>
      </c>
      <c r="D224" s="4" t="str">
        <f>IFERROR(__xludf.DUMMYFUNCTION("""COMPUTED_VALUE"""),"Cluster 11")</f>
        <v>Cluster 11</v>
      </c>
      <c r="E224" s="4"/>
      <c r="F224" s="4"/>
      <c r="G224" s="4"/>
      <c r="H224" s="4" t="str">
        <f>IFERROR(__xludf.DUMMYFUNCTION("""COMPUTED_VALUE"""),"S/FEGI STREET")</f>
        <v>S/FEGI STREET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 t="str">
        <f>IFERROR(__xludf.DUMMYFUNCTION("""COMPUTED_VALUE"""),"Point 2")</f>
        <v>Point 2</v>
      </c>
      <c r="AC224" s="4">
        <f>IFERROR(__xludf.DUMMYFUNCTION("""COMPUTED_VALUE"""),11.988184)</f>
        <v>11.988184</v>
      </c>
      <c r="AD224" s="4">
        <f>IFERROR(__xludf.DUMMYFUNCTION("""COMPUTED_VALUE"""),8.570723)</f>
        <v>8.570723</v>
      </c>
      <c r="AE224" s="5" t="str">
        <f>IFERROR(__xludf.DUMMYFUNCTION("""COMPUTED_VALUE"""),"https://drive.google.com/open?id=1JrvwPsXrlAitY5AyOCsMgvL3AeYoBhfz")</f>
        <v>https://drive.google.com/open?id=1JrvwPsXrlAitY5AyOCsMgvL3AeYoBhfz</v>
      </c>
      <c r="AF224" s="4"/>
      <c r="AG224" s="4"/>
      <c r="AH224" s="4"/>
      <c r="AI224" s="4"/>
      <c r="AL224" s="4" t="str">
        <f t="shared" si="1"/>
        <v>Cluster 11</v>
      </c>
      <c r="AM224" s="4" t="str">
        <f t="shared" si="2"/>
        <v>S/FEGI STREET</v>
      </c>
    </row>
    <row r="225">
      <c r="A225" s="3">
        <f>IFERROR(__xludf.DUMMYFUNCTION("""COMPUTED_VALUE"""),45873.90027881945)</f>
        <v>45873.90028</v>
      </c>
      <c r="B225" s="4" t="str">
        <f>IFERROR(__xludf.DUMMYFUNCTION("""COMPUTED_VALUE"""),"iahmadzakari@gmail.com")</f>
        <v>iahmadzakari@gmail.com</v>
      </c>
      <c r="C225" s="4" t="str">
        <f>IFERROR(__xludf.DUMMYFUNCTION("""COMPUTED_VALUE"""),"Sadiq Ilu")</f>
        <v>Sadiq Ilu</v>
      </c>
      <c r="D225" s="4" t="str">
        <f>IFERROR(__xludf.DUMMYFUNCTION("""COMPUTED_VALUE"""),"Cluster 11")</f>
        <v>Cluster 11</v>
      </c>
      <c r="E225" s="4"/>
      <c r="F225" s="4"/>
      <c r="G225" s="4"/>
      <c r="H225" s="4" t="str">
        <f>IFERROR(__xludf.DUMMYFUNCTION("""COMPUTED_VALUE"""),"S/FEGI STREET")</f>
        <v>S/FEGI STREET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 t="str">
        <f>IFERROR(__xludf.DUMMYFUNCTION("""COMPUTED_VALUE"""),"Point 1")</f>
        <v>Point 1</v>
      </c>
      <c r="AC225" s="4">
        <f>IFERROR(__xludf.DUMMYFUNCTION("""COMPUTED_VALUE"""),11.988167)</f>
        <v>11.988167</v>
      </c>
      <c r="AD225" s="4">
        <f>IFERROR(__xludf.DUMMYFUNCTION("""COMPUTED_VALUE"""),8.568759)</f>
        <v>8.568759</v>
      </c>
      <c r="AE225" s="5" t="str">
        <f>IFERROR(__xludf.DUMMYFUNCTION("""COMPUTED_VALUE"""),"https://drive.google.com/open?id=1MXhxaCAcFD-9gSk8xsE4MKSrjGtF3l1W")</f>
        <v>https://drive.google.com/open?id=1MXhxaCAcFD-9gSk8xsE4MKSrjGtF3l1W</v>
      </c>
      <c r="AF225" s="4"/>
      <c r="AG225" s="4"/>
      <c r="AH225" s="4"/>
      <c r="AI225" s="4"/>
      <c r="AL225" s="4" t="str">
        <f t="shared" si="1"/>
        <v>Cluster 11</v>
      </c>
      <c r="AM225" s="4" t="str">
        <f t="shared" si="2"/>
        <v>S/FEGI STREET</v>
      </c>
    </row>
    <row r="226">
      <c r="A226" s="3">
        <f>IFERROR(__xludf.DUMMYFUNCTION("""COMPUTED_VALUE"""),45873.89910354167)</f>
        <v>45873.8991</v>
      </c>
      <c r="B226" s="4" t="str">
        <f>IFERROR(__xludf.DUMMYFUNCTION("""COMPUTED_VALUE"""),"iahmadzakari@gmail.com")</f>
        <v>iahmadzakari@gmail.com</v>
      </c>
      <c r="C226" s="4" t="str">
        <f>IFERROR(__xludf.DUMMYFUNCTION("""COMPUTED_VALUE"""),"Sadiq Ilu")</f>
        <v>Sadiq Ilu</v>
      </c>
      <c r="D226" s="4" t="str">
        <f>IFERROR(__xludf.DUMMYFUNCTION("""COMPUTED_VALUE"""),"Cluster 11")</f>
        <v>Cluster 11</v>
      </c>
      <c r="E226" s="4"/>
      <c r="F226" s="4"/>
      <c r="G226" s="4"/>
      <c r="H226" s="4" t="str">
        <f>IFERROR(__xludf.DUMMYFUNCTION("""COMPUTED_VALUE"""),"LAYIN MAI GIGINYU STREET")</f>
        <v>LAYIN MAI GIGINYU STREET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 t="str">
        <f>IFERROR(__xludf.DUMMYFUNCTION("""COMPUTED_VALUE"""),"Point 2")</f>
        <v>Point 2</v>
      </c>
      <c r="AC226" s="4">
        <f>IFERROR(__xludf.DUMMYFUNCTION("""COMPUTED_VALUE"""),11.990213)</f>
        <v>11.990213</v>
      </c>
      <c r="AD226" s="4">
        <f>IFERROR(__xludf.DUMMYFUNCTION("""COMPUTED_VALUE"""),8.564557)</f>
        <v>8.564557</v>
      </c>
      <c r="AE226" s="5" t="str">
        <f>IFERROR(__xludf.DUMMYFUNCTION("""COMPUTED_VALUE"""),"https://drive.google.com/open?id=1wEudBrdI2W3Pz1XtS4VesXlDN0xJzpeZ")</f>
        <v>https://drive.google.com/open?id=1wEudBrdI2W3Pz1XtS4VesXlDN0xJzpeZ</v>
      </c>
      <c r="AF226" s="4"/>
      <c r="AG226" s="4"/>
      <c r="AH226" s="4"/>
      <c r="AI226" s="4"/>
      <c r="AL226" s="4" t="str">
        <f t="shared" si="1"/>
        <v>Cluster 11</v>
      </c>
      <c r="AM226" s="4" t="str">
        <f t="shared" si="2"/>
        <v>LAYIN MAI GIGINYU STREET</v>
      </c>
    </row>
    <row r="227">
      <c r="A227" s="3">
        <f>IFERROR(__xludf.DUMMYFUNCTION("""COMPUTED_VALUE"""),45873.89754090278)</f>
        <v>45873.89754</v>
      </c>
      <c r="B227" s="4" t="str">
        <f>IFERROR(__xludf.DUMMYFUNCTION("""COMPUTED_VALUE"""),"iahmadzakari@gmail.com")</f>
        <v>iahmadzakari@gmail.com</v>
      </c>
      <c r="C227" s="4" t="str">
        <f>IFERROR(__xludf.DUMMYFUNCTION("""COMPUTED_VALUE"""),"Sadiq Ilu")</f>
        <v>Sadiq Ilu</v>
      </c>
      <c r="D227" s="4" t="str">
        <f>IFERROR(__xludf.DUMMYFUNCTION("""COMPUTED_VALUE"""),"Cluster 11")</f>
        <v>Cluster 11</v>
      </c>
      <c r="E227" s="4"/>
      <c r="F227" s="4"/>
      <c r="G227" s="4"/>
      <c r="H227" s="4" t="str">
        <f>IFERROR(__xludf.DUMMYFUNCTION("""COMPUTED_VALUE"""),"LAYIN MAI GIGINYU STREET")</f>
        <v>LAYIN MAI GIGINYU STREET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 t="str">
        <f>IFERROR(__xludf.DUMMYFUNCTION("""COMPUTED_VALUE"""),"Point 1")</f>
        <v>Point 1</v>
      </c>
      <c r="AC227" s="4">
        <f>IFERROR(__xludf.DUMMYFUNCTION("""COMPUTED_VALUE"""),11.991877)</f>
        <v>11.991877</v>
      </c>
      <c r="AD227" s="4">
        <f>IFERROR(__xludf.DUMMYFUNCTION("""COMPUTED_VALUE"""),8.564399)</f>
        <v>8.564399</v>
      </c>
      <c r="AE227" s="5" t="str">
        <f>IFERROR(__xludf.DUMMYFUNCTION("""COMPUTED_VALUE"""),"https://drive.google.com/open?id=1UCjSrzLMtOfqGld-0X3R3zrIHkbgQ6qj")</f>
        <v>https://drive.google.com/open?id=1UCjSrzLMtOfqGld-0X3R3zrIHkbgQ6qj</v>
      </c>
      <c r="AF227" s="4"/>
      <c r="AG227" s="4"/>
      <c r="AH227" s="4"/>
      <c r="AI227" s="4"/>
      <c r="AL227" s="4" t="str">
        <f t="shared" si="1"/>
        <v>Cluster 11</v>
      </c>
      <c r="AM227" s="4" t="str">
        <f t="shared" si="2"/>
        <v>LAYIN MAI GIGINYU STREET</v>
      </c>
    </row>
    <row r="228">
      <c r="A228" s="3">
        <f>IFERROR(__xludf.DUMMYFUNCTION("""COMPUTED_VALUE"""),45873.896555416664)</f>
        <v>45873.89656</v>
      </c>
      <c r="B228" s="4" t="str">
        <f>IFERROR(__xludf.DUMMYFUNCTION("""COMPUTED_VALUE"""),"iahmadzakari@gmail.com")</f>
        <v>iahmadzakari@gmail.com</v>
      </c>
      <c r="C228" s="4" t="str">
        <f>IFERROR(__xludf.DUMMYFUNCTION("""COMPUTED_VALUE"""),"Sadiq Ilu")</f>
        <v>Sadiq Ilu</v>
      </c>
      <c r="D228" s="4" t="str">
        <f>IFERROR(__xludf.DUMMYFUNCTION("""COMPUTED_VALUE"""),"Cluster 8")</f>
        <v>Cluster 8</v>
      </c>
      <c r="E228" s="4"/>
      <c r="F228" s="4"/>
      <c r="G228" s="4" t="str">
        <f>IFERROR(__xludf.DUMMYFUNCTION("""COMPUTED_VALUE"""),"YAKUBU AHMED AVENUE")</f>
        <v>YAKUBU AHMED AVENUE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 t="str">
        <f>IFERROR(__xludf.DUMMYFUNCTION("""COMPUTED_VALUE"""),"Point 2")</f>
        <v>Point 2</v>
      </c>
      <c r="AC228" s="4">
        <f>IFERROR(__xludf.DUMMYFUNCTION("""COMPUTED_VALUE"""),12.002788)</f>
        <v>12.002788</v>
      </c>
      <c r="AD228" s="4">
        <f>IFERROR(__xludf.DUMMYFUNCTION("""COMPUTED_VALUE"""),8.561742)</f>
        <v>8.561742</v>
      </c>
      <c r="AE228" s="5" t="str">
        <f>IFERROR(__xludf.DUMMYFUNCTION("""COMPUTED_VALUE"""),"https://drive.google.com/open?id=1nhOZiGqdNFq_B149aSXHUUr2aIX1gR4L")</f>
        <v>https://drive.google.com/open?id=1nhOZiGqdNFq_B149aSXHUUr2aIX1gR4L</v>
      </c>
      <c r="AF228" s="4"/>
      <c r="AG228" s="4"/>
      <c r="AH228" s="4"/>
      <c r="AI228" s="4"/>
      <c r="AL228" s="4" t="str">
        <f t="shared" si="1"/>
        <v>Cluster 8</v>
      </c>
      <c r="AM228" s="4" t="str">
        <f t="shared" si="2"/>
        <v>YAKUBU AHMED AVENUE</v>
      </c>
    </row>
    <row r="229">
      <c r="A229" s="3">
        <f>IFERROR(__xludf.DUMMYFUNCTION("""COMPUTED_VALUE"""),45873.8957162963)</f>
        <v>45873.89572</v>
      </c>
      <c r="B229" s="4" t="str">
        <f>IFERROR(__xludf.DUMMYFUNCTION("""COMPUTED_VALUE"""),"iahmadzakari@gmail.com")</f>
        <v>iahmadzakari@gmail.com</v>
      </c>
      <c r="C229" s="4" t="str">
        <f>IFERROR(__xludf.DUMMYFUNCTION("""COMPUTED_VALUE"""),"Sadiq Ilu")</f>
        <v>Sadiq Ilu</v>
      </c>
      <c r="D229" s="4" t="str">
        <f>IFERROR(__xludf.DUMMYFUNCTION("""COMPUTED_VALUE"""),"Cluster 8")</f>
        <v>Cluster 8</v>
      </c>
      <c r="E229" s="4"/>
      <c r="F229" s="4"/>
      <c r="G229" s="4" t="str">
        <f>IFERROR(__xludf.DUMMYFUNCTION("""COMPUTED_VALUE"""),"YAKUBU AHMED AVENUE")</f>
        <v>YAKUBU AHMED AVENUE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 t="str">
        <f>IFERROR(__xludf.DUMMYFUNCTION("""COMPUTED_VALUE"""),"Point 1")</f>
        <v>Point 1</v>
      </c>
      <c r="AC229" s="4">
        <f>IFERROR(__xludf.DUMMYFUNCTION("""COMPUTED_VALUE"""),12.002729)</f>
        <v>12.002729</v>
      </c>
      <c r="AD229" s="4">
        <f>IFERROR(__xludf.DUMMYFUNCTION("""COMPUTED_VALUE"""),8.565718)</f>
        <v>8.565718</v>
      </c>
      <c r="AE229" s="5" t="str">
        <f>IFERROR(__xludf.DUMMYFUNCTION("""COMPUTED_VALUE"""),"https://drive.google.com/open?id=15nYCGgczcfLoQpJSCgs_iKoGEl7wUrtl")</f>
        <v>https://drive.google.com/open?id=15nYCGgczcfLoQpJSCgs_iKoGEl7wUrtl</v>
      </c>
      <c r="AF229" s="4"/>
      <c r="AG229" s="4"/>
      <c r="AH229" s="4"/>
      <c r="AI229" s="4"/>
      <c r="AL229" s="4" t="str">
        <f t="shared" si="1"/>
        <v>Cluster 8</v>
      </c>
      <c r="AM229" s="4" t="str">
        <f t="shared" si="2"/>
        <v>YAKUBU AHMED AVENUE</v>
      </c>
    </row>
    <row r="230">
      <c r="A230" s="3">
        <f>IFERROR(__xludf.DUMMYFUNCTION("""COMPUTED_VALUE"""),45873.627822951385)</f>
        <v>45873.62782</v>
      </c>
      <c r="B230" s="4" t="str">
        <f>IFERROR(__xludf.DUMMYFUNCTION("""COMPUTED_VALUE"""),"umrdalhatu@gmail.com")</f>
        <v>umrdalhatu@gmail.com</v>
      </c>
      <c r="C230" s="4" t="str">
        <f>IFERROR(__xludf.DUMMYFUNCTION("""COMPUTED_VALUE"""),"Umar Dalhatu")</f>
        <v>Umar Dalhatu</v>
      </c>
      <c r="D230" s="4"/>
      <c r="E230" s="4"/>
      <c r="F230" s="4"/>
      <c r="G230" s="4"/>
      <c r="H230" s="4"/>
      <c r="I230" s="4"/>
      <c r="J230" s="4" t="str">
        <f>IFERROR(__xludf.DUMMYFUNCTION("""COMPUTED_VALUE"""),"Cluster 1")</f>
        <v>Cluster 1</v>
      </c>
      <c r="K230" s="4" t="str">
        <f>IFERROR(__xludf.DUMMYFUNCTION("""COMPUTED_VALUE"""),"HAFSAT AVENUE")</f>
        <v>HAFSAT AVENUE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 t="str">
        <f>IFERROR(__xludf.DUMMYFUNCTION("""COMPUTED_VALUE"""),"Point 2")</f>
        <v>Point 2</v>
      </c>
      <c r="AC230" s="4">
        <f>IFERROR(__xludf.DUMMYFUNCTION("""COMPUTED_VALUE"""),11.99355)</f>
        <v>11.99355</v>
      </c>
      <c r="AD230" s="4">
        <f>IFERROR(__xludf.DUMMYFUNCTION("""COMPUTED_VALUE"""),8.575157)</f>
        <v>8.575157</v>
      </c>
      <c r="AE230" s="5" t="str">
        <f>IFERROR(__xludf.DUMMYFUNCTION("""COMPUTED_VALUE"""),"https://drive.google.com/open?id=1zyEHgX5SNhIHBNCFmzQPOMADPue5hlB3")</f>
        <v>https://drive.google.com/open?id=1zyEHgX5SNhIHBNCFmzQPOMADPue5hlB3</v>
      </c>
      <c r="AF230" s="4"/>
      <c r="AG230" s="4"/>
      <c r="AH230" s="4"/>
      <c r="AI230" s="4"/>
      <c r="AL230" s="4" t="str">
        <f t="shared" si="1"/>
        <v>Cluster 1</v>
      </c>
      <c r="AM230" s="4" t="str">
        <f t="shared" si="2"/>
        <v>HAFSAT AVENUE</v>
      </c>
    </row>
    <row r="231">
      <c r="A231" s="3">
        <f>IFERROR(__xludf.DUMMYFUNCTION("""COMPUTED_VALUE"""),45873.60587399306)</f>
        <v>45873.60587</v>
      </c>
      <c r="B231" s="4" t="str">
        <f>IFERROR(__xludf.DUMMYFUNCTION("""COMPUTED_VALUE"""),"umrdalhatu@gmail.com")</f>
        <v>umrdalhatu@gmail.com</v>
      </c>
      <c r="C231" s="4" t="str">
        <f>IFERROR(__xludf.DUMMYFUNCTION("""COMPUTED_VALUE"""),"Umar Dalhatu")</f>
        <v>Umar Dalhatu</v>
      </c>
      <c r="D231" s="4"/>
      <c r="E231" s="4"/>
      <c r="F231" s="4"/>
      <c r="G231" s="4"/>
      <c r="H231" s="4"/>
      <c r="I231" s="4"/>
      <c r="J231" s="4" t="str">
        <f>IFERROR(__xludf.DUMMYFUNCTION("""COMPUTED_VALUE"""),"Cluster 1")</f>
        <v>Cluster 1</v>
      </c>
      <c r="K231" s="4" t="str">
        <f>IFERROR(__xludf.DUMMYFUNCTION("""COMPUTED_VALUE"""),"HAFSAT AVENUE")</f>
        <v>HAFSAT AVENUE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 t="str">
        <f>IFERROR(__xludf.DUMMYFUNCTION("""COMPUTED_VALUE"""),"Point 1")</f>
        <v>Point 1</v>
      </c>
      <c r="AC231" s="4">
        <f>IFERROR(__xludf.DUMMYFUNCTION("""COMPUTED_VALUE"""),11.99392454)</f>
        <v>11.99392454</v>
      </c>
      <c r="AD231" s="4">
        <f>IFERROR(__xludf.DUMMYFUNCTION("""COMPUTED_VALUE"""),8.573818338)</f>
        <v>8.573818338</v>
      </c>
      <c r="AE231" s="5" t="str">
        <f>IFERROR(__xludf.DUMMYFUNCTION("""COMPUTED_VALUE"""),"https://drive.google.com/open?id=1adaaIcER1P0rk0X63Qhp8vk3Sr1N-zns")</f>
        <v>https://drive.google.com/open?id=1adaaIcER1P0rk0X63Qhp8vk3Sr1N-zns</v>
      </c>
      <c r="AF231" s="4"/>
      <c r="AG231" s="4"/>
      <c r="AH231" s="4"/>
      <c r="AI231" s="4"/>
      <c r="AL231" s="4" t="str">
        <f t="shared" si="1"/>
        <v>Cluster 1</v>
      </c>
      <c r="AM231" s="4" t="str">
        <f t="shared" si="2"/>
        <v>HAFSAT AVENUE</v>
      </c>
    </row>
    <row r="232">
      <c r="A232" s="3">
        <f>IFERROR(__xludf.DUMMYFUNCTION("""COMPUTED_VALUE"""),45873.604568449075)</f>
        <v>45873.60457</v>
      </c>
      <c r="B232" s="4" t="str">
        <f>IFERROR(__xludf.DUMMYFUNCTION("""COMPUTED_VALUE"""),"umrdalhatu@gmail.com")</f>
        <v>umrdalhatu@gmail.com</v>
      </c>
      <c r="C232" s="4" t="str">
        <f>IFERROR(__xludf.DUMMYFUNCTION("""COMPUTED_VALUE"""),"Umar Dalhatu")</f>
        <v>Umar Dalhatu</v>
      </c>
      <c r="D232" s="4"/>
      <c r="E232" s="4"/>
      <c r="F232" s="4"/>
      <c r="G232" s="4"/>
      <c r="H232" s="4"/>
      <c r="I232" s="4"/>
      <c r="J232" s="4" t="str">
        <f>IFERROR(__xludf.DUMMYFUNCTION("""COMPUTED_VALUE"""),"Cluster 20")</f>
        <v>Cluster 20</v>
      </c>
      <c r="K232" s="4"/>
      <c r="L232" s="4"/>
      <c r="M232" s="4"/>
      <c r="N232" s="4"/>
      <c r="O232" s="4" t="str">
        <f>IFERROR(__xludf.DUMMYFUNCTION("""COMPUTED_VALUE"""),"CBN QUARTERS ROAD")</f>
        <v>CBN QUARTERS ROAD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 t="str">
        <f>IFERROR(__xludf.DUMMYFUNCTION("""COMPUTED_VALUE"""),"Point 2")</f>
        <v>Point 2</v>
      </c>
      <c r="AC232" s="4">
        <f>IFERROR(__xludf.DUMMYFUNCTION("""COMPUTED_VALUE"""),11.96433587)</f>
        <v>11.96433587</v>
      </c>
      <c r="AD232" s="4">
        <f>IFERROR(__xludf.DUMMYFUNCTION("""COMPUTED_VALUE"""),8.563100633)</f>
        <v>8.563100633</v>
      </c>
      <c r="AE232" s="5" t="str">
        <f>IFERROR(__xludf.DUMMYFUNCTION("""COMPUTED_VALUE"""),"https://drive.google.com/open?id=1tLl3II8O_wuf5zuLMzM9Ob5dQnY7nQZT")</f>
        <v>https://drive.google.com/open?id=1tLl3II8O_wuf5zuLMzM9Ob5dQnY7nQZT</v>
      </c>
      <c r="AF232" s="4"/>
      <c r="AG232" s="4"/>
      <c r="AH232" s="4"/>
      <c r="AI232" s="4"/>
      <c r="AL232" s="4" t="str">
        <f t="shared" si="1"/>
        <v>Cluster 20</v>
      </c>
      <c r="AM232" s="4" t="str">
        <f t="shared" si="2"/>
        <v>CBN QUARTERS ROAD</v>
      </c>
    </row>
    <row r="233">
      <c r="A233" s="3">
        <f>IFERROR(__xludf.DUMMYFUNCTION("""COMPUTED_VALUE"""),45872.928486296296)</f>
        <v>45872.92849</v>
      </c>
      <c r="B233" s="4" t="str">
        <f>IFERROR(__xludf.DUMMYFUNCTION("""COMPUTED_VALUE"""),"iahmadzakari@gmail.com")</f>
        <v>iahmadzakari@gmail.com</v>
      </c>
      <c r="C233" s="4" t="str">
        <f>IFERROR(__xludf.DUMMYFUNCTION("""COMPUTED_VALUE"""),"Sadiq Ilu")</f>
        <v>Sadiq Ilu</v>
      </c>
      <c r="D233" s="4" t="str">
        <f>IFERROR(__xludf.DUMMYFUNCTION("""COMPUTED_VALUE"""),"Cluster 11")</f>
        <v>Cluster 11</v>
      </c>
      <c r="E233" s="4"/>
      <c r="F233" s="4"/>
      <c r="G233" s="4"/>
      <c r="H233" s="4" t="str">
        <f>IFERROR(__xludf.DUMMYFUNCTION("""COMPUTED_VALUE"""),"AUDU BAKO WAY")</f>
        <v>AUDU BAKO WAY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 t="str">
        <f>IFERROR(__xludf.DUMMYFUNCTION("""COMPUTED_VALUE"""),"Point 2")</f>
        <v>Point 2</v>
      </c>
      <c r="AC233" s="4">
        <f>IFERROR(__xludf.DUMMYFUNCTION("""COMPUTED_VALUE"""),12.003936)</f>
        <v>12.003936</v>
      </c>
      <c r="AD233" s="4">
        <f>IFERROR(__xludf.DUMMYFUNCTION("""COMPUTED_VALUE"""),8.543085)</f>
        <v>8.543085</v>
      </c>
      <c r="AE233" s="5" t="str">
        <f>IFERROR(__xludf.DUMMYFUNCTION("""COMPUTED_VALUE"""),"https://drive.google.com/open?id=1FRer9vY6avkKjSyNH5g0hZAF1AeowCny")</f>
        <v>https://drive.google.com/open?id=1FRer9vY6avkKjSyNH5g0hZAF1AeowCny</v>
      </c>
      <c r="AF233" s="4"/>
      <c r="AG233" s="4"/>
      <c r="AH233" s="4"/>
      <c r="AI233" s="4"/>
      <c r="AL233" s="4" t="str">
        <f t="shared" si="1"/>
        <v>Cluster 11</v>
      </c>
      <c r="AM233" s="4" t="str">
        <f t="shared" si="2"/>
        <v>AUDU BAKO WAY</v>
      </c>
    </row>
    <row r="234">
      <c r="A234" s="3">
        <f>IFERROR(__xludf.DUMMYFUNCTION("""COMPUTED_VALUE"""),45872.927450138886)</f>
        <v>45872.92745</v>
      </c>
      <c r="B234" s="4" t="str">
        <f>IFERROR(__xludf.DUMMYFUNCTION("""COMPUTED_VALUE"""),"iahmadzakari@gmail.com")</f>
        <v>iahmadzakari@gmail.com</v>
      </c>
      <c r="C234" s="4" t="str">
        <f>IFERROR(__xludf.DUMMYFUNCTION("""COMPUTED_VALUE"""),"Sadiq Ilu")</f>
        <v>Sadiq Ilu</v>
      </c>
      <c r="D234" s="4" t="str">
        <f>IFERROR(__xludf.DUMMYFUNCTION("""COMPUTED_VALUE"""),"Cluster 11")</f>
        <v>Cluster 11</v>
      </c>
      <c r="E234" s="4"/>
      <c r="F234" s="4"/>
      <c r="G234" s="4"/>
      <c r="H234" s="4" t="str">
        <f>IFERROR(__xludf.DUMMYFUNCTION("""COMPUTED_VALUE"""),"AUDU BAKO WAY")</f>
        <v>AUDU BAKO WAY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 t="str">
        <f>IFERROR(__xludf.DUMMYFUNCTION("""COMPUTED_VALUE"""),"Point 1")</f>
        <v>Point 1</v>
      </c>
      <c r="AC234" s="4">
        <f>IFERROR(__xludf.DUMMYFUNCTION("""COMPUTED_VALUE"""),11.987034)</f>
        <v>11.987034</v>
      </c>
      <c r="AD234" s="4">
        <f>IFERROR(__xludf.DUMMYFUNCTION("""COMPUTED_VALUE"""),8.546572)</f>
        <v>8.546572</v>
      </c>
      <c r="AE234" s="5" t="str">
        <f>IFERROR(__xludf.DUMMYFUNCTION("""COMPUTED_VALUE"""),"https://drive.google.com/open?id=1daOr5jym1DdSXLk7DetcaIjOLbbIlksb")</f>
        <v>https://drive.google.com/open?id=1daOr5jym1DdSXLk7DetcaIjOLbbIlksb</v>
      </c>
      <c r="AF234" s="4"/>
      <c r="AG234" s="4"/>
      <c r="AH234" s="4"/>
      <c r="AI234" s="4"/>
      <c r="AL234" s="4" t="str">
        <f t="shared" si="1"/>
        <v>Cluster 11</v>
      </c>
      <c r="AM234" s="4" t="str">
        <f t="shared" si="2"/>
        <v>AUDU BAKO WAY</v>
      </c>
    </row>
    <row r="235">
      <c r="A235" s="3">
        <f>IFERROR(__xludf.DUMMYFUNCTION("""COMPUTED_VALUE"""),45872.92644765046)</f>
        <v>45872.92645</v>
      </c>
      <c r="B235" s="4" t="str">
        <f>IFERROR(__xludf.DUMMYFUNCTION("""COMPUTED_VALUE"""),"iahmadzakari@gmail.com")</f>
        <v>iahmadzakari@gmail.com</v>
      </c>
      <c r="C235" s="4" t="str">
        <f>IFERROR(__xludf.DUMMYFUNCTION("""COMPUTED_VALUE"""),"Sadiq Ilu")</f>
        <v>Sadiq Ilu</v>
      </c>
      <c r="D235" s="4" t="str">
        <f>IFERROR(__xludf.DUMMYFUNCTION("""COMPUTED_VALUE"""),"Cluster 3")</f>
        <v>Cluster 3</v>
      </c>
      <c r="E235" s="4" t="str">
        <f>IFERROR(__xludf.DUMMYFUNCTION("""COMPUTED_VALUE"""),"SHUAIBU MAI-GORO STREET")</f>
        <v>SHUAIBU MAI-GORO STREET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 t="str">
        <f>IFERROR(__xludf.DUMMYFUNCTION("""COMPUTED_VALUE"""),"Point 2")</f>
        <v>Point 2</v>
      </c>
      <c r="AC235" s="4">
        <f>IFERROR(__xludf.DUMMYFUNCTION("""COMPUTED_VALUE"""),11.970544)</f>
        <v>11.970544</v>
      </c>
      <c r="AD235" s="4">
        <f>IFERROR(__xludf.DUMMYFUNCTION("""COMPUTED_VALUE"""),8.548043)</f>
        <v>8.548043</v>
      </c>
      <c r="AE235" s="5" t="str">
        <f>IFERROR(__xludf.DUMMYFUNCTION("""COMPUTED_VALUE"""),"https://drive.google.com/open?id=17f8vSx6oVLK_cSURhChiQ2lCSlRAhMs0")</f>
        <v>https://drive.google.com/open?id=17f8vSx6oVLK_cSURhChiQ2lCSlRAhMs0</v>
      </c>
      <c r="AF235" s="4"/>
      <c r="AG235" s="4"/>
      <c r="AH235" s="4"/>
      <c r="AI235" s="4"/>
      <c r="AL235" s="4" t="str">
        <f t="shared" si="1"/>
        <v>Cluster 3</v>
      </c>
      <c r="AM235" s="4" t="str">
        <f t="shared" si="2"/>
        <v>SHUAIBU MAI-GORO STREET</v>
      </c>
    </row>
    <row r="236">
      <c r="A236" s="3">
        <f>IFERROR(__xludf.DUMMYFUNCTION("""COMPUTED_VALUE"""),45872.92561854167)</f>
        <v>45872.92562</v>
      </c>
      <c r="B236" s="4" t="str">
        <f>IFERROR(__xludf.DUMMYFUNCTION("""COMPUTED_VALUE"""),"iahmadzakari@gmail.com")</f>
        <v>iahmadzakari@gmail.com</v>
      </c>
      <c r="C236" s="4" t="str">
        <f>IFERROR(__xludf.DUMMYFUNCTION("""COMPUTED_VALUE"""),"Sadiq Ilu")</f>
        <v>Sadiq Ilu</v>
      </c>
      <c r="D236" s="4" t="str">
        <f>IFERROR(__xludf.DUMMYFUNCTION("""COMPUTED_VALUE"""),"Cluster 3")</f>
        <v>Cluster 3</v>
      </c>
      <c r="E236" s="4" t="str">
        <f>IFERROR(__xludf.DUMMYFUNCTION("""COMPUTED_VALUE"""),"SHUAIBU MAI-GORO STREET")</f>
        <v>SHUAIBU MAI-GORO STREET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 t="str">
        <f>IFERROR(__xludf.DUMMYFUNCTION("""COMPUTED_VALUE"""),"Point 1")</f>
        <v>Point 1</v>
      </c>
      <c r="AC236" s="4">
        <f>IFERROR(__xludf.DUMMYFUNCTION("""COMPUTED_VALUE"""),11.969605)</f>
        <v>11.969605</v>
      </c>
      <c r="AD236" s="4">
        <f>IFERROR(__xludf.DUMMYFUNCTION("""COMPUTED_VALUE"""),8.546846)</f>
        <v>8.546846</v>
      </c>
      <c r="AE236" s="5" t="str">
        <f>IFERROR(__xludf.DUMMYFUNCTION("""COMPUTED_VALUE"""),"https://drive.google.com/open?id=1-O2lORQALXaJh8-Jp1WMMvnTOjgSo8g0")</f>
        <v>https://drive.google.com/open?id=1-O2lORQALXaJh8-Jp1WMMvnTOjgSo8g0</v>
      </c>
      <c r="AF236" s="4"/>
      <c r="AG236" s="4"/>
      <c r="AH236" s="4"/>
      <c r="AI236" s="4"/>
      <c r="AL236" s="4" t="str">
        <f t="shared" si="1"/>
        <v>Cluster 3</v>
      </c>
      <c r="AM236" s="4" t="str">
        <f t="shared" si="2"/>
        <v>SHUAIBU MAI-GORO STREET</v>
      </c>
    </row>
    <row r="237">
      <c r="A237" s="3">
        <f>IFERROR(__xludf.DUMMYFUNCTION("""COMPUTED_VALUE"""),45872.92472246528)</f>
        <v>45872.92472</v>
      </c>
      <c r="B237" s="4" t="str">
        <f>IFERROR(__xludf.DUMMYFUNCTION("""COMPUTED_VALUE"""),"iahmadzakari@gmail.com")</f>
        <v>iahmadzakari@gmail.com</v>
      </c>
      <c r="C237" s="4" t="str">
        <f>IFERROR(__xludf.DUMMYFUNCTION("""COMPUTED_VALUE"""),"Sadiq Ilu")</f>
        <v>Sadiq Ilu</v>
      </c>
      <c r="D237" s="4" t="str">
        <f>IFERROR(__xludf.DUMMYFUNCTION("""COMPUTED_VALUE"""),"Cluster 3")</f>
        <v>Cluster 3</v>
      </c>
      <c r="E237" s="4" t="str">
        <f>IFERROR(__xludf.DUMMYFUNCTION("""COMPUTED_VALUE"""),"MUSA GWADABE STREET")</f>
        <v>MUSA GWADABE STREET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 t="str">
        <f>IFERROR(__xludf.DUMMYFUNCTION("""COMPUTED_VALUE"""),"Point 2")</f>
        <v>Point 2</v>
      </c>
      <c r="AC237" s="4">
        <f>IFERROR(__xludf.DUMMYFUNCTION("""COMPUTED_VALUE"""),11.966256)</f>
        <v>11.966256</v>
      </c>
      <c r="AD237" s="4">
        <f>IFERROR(__xludf.DUMMYFUNCTION("""COMPUTED_VALUE"""),8.557395)</f>
        <v>8.557395</v>
      </c>
      <c r="AE237" s="5" t="str">
        <f>IFERROR(__xludf.DUMMYFUNCTION("""COMPUTED_VALUE"""),"https://drive.google.com/open?id=1CoEuDvO9T279BGeyOdMq8wznv8VY1ko5")</f>
        <v>https://drive.google.com/open?id=1CoEuDvO9T279BGeyOdMq8wznv8VY1ko5</v>
      </c>
      <c r="AF237" s="4"/>
      <c r="AG237" s="4"/>
      <c r="AH237" s="4"/>
      <c r="AI237" s="4"/>
      <c r="AL237" s="4" t="str">
        <f t="shared" si="1"/>
        <v>Cluster 3</v>
      </c>
      <c r="AM237" s="4" t="str">
        <f t="shared" si="2"/>
        <v>MUSA GWADABE STREET</v>
      </c>
    </row>
    <row r="238">
      <c r="A238" s="3">
        <f>IFERROR(__xludf.DUMMYFUNCTION("""COMPUTED_VALUE"""),45872.92382887732)</f>
        <v>45872.92383</v>
      </c>
      <c r="B238" s="4" t="str">
        <f>IFERROR(__xludf.DUMMYFUNCTION("""COMPUTED_VALUE"""),"iahmadzakari@gmail.com")</f>
        <v>iahmadzakari@gmail.com</v>
      </c>
      <c r="C238" s="4" t="str">
        <f>IFERROR(__xludf.DUMMYFUNCTION("""COMPUTED_VALUE"""),"Sadiq Ilu")</f>
        <v>Sadiq Ilu</v>
      </c>
      <c r="D238" s="4" t="str">
        <f>IFERROR(__xludf.DUMMYFUNCTION("""COMPUTED_VALUE"""),"Cluster 3")</f>
        <v>Cluster 3</v>
      </c>
      <c r="E238" s="4" t="str">
        <f>IFERROR(__xludf.DUMMYFUNCTION("""COMPUTED_VALUE"""),"MUSA GWADABE STREET")</f>
        <v>MUSA GWADABE STREET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 t="str">
        <f>IFERROR(__xludf.DUMMYFUNCTION("""COMPUTED_VALUE"""),"Point 1")</f>
        <v>Point 1</v>
      </c>
      <c r="AC238" s="4">
        <f>IFERROR(__xludf.DUMMYFUNCTION("""COMPUTED_VALUE"""),11.969917)</f>
        <v>11.969917</v>
      </c>
      <c r="AD238" s="4">
        <f>IFERROR(__xludf.DUMMYFUNCTION("""COMPUTED_VALUE"""),8.559788)</f>
        <v>8.559788</v>
      </c>
      <c r="AE238" s="5" t="str">
        <f>IFERROR(__xludf.DUMMYFUNCTION("""COMPUTED_VALUE"""),"https://drive.google.com/open?id=1Nl-Pe356aPX42IuqePYO4eNliAMuyRFu")</f>
        <v>https://drive.google.com/open?id=1Nl-Pe356aPX42IuqePYO4eNliAMuyRFu</v>
      </c>
      <c r="AF238" s="4"/>
      <c r="AG238" s="4"/>
      <c r="AH238" s="4"/>
      <c r="AI238" s="4"/>
      <c r="AL238" s="4" t="str">
        <f t="shared" si="1"/>
        <v>Cluster 3</v>
      </c>
      <c r="AM238" s="4" t="str">
        <f t="shared" si="2"/>
        <v>MUSA GWADABE STREET</v>
      </c>
    </row>
    <row r="239">
      <c r="A239" s="3">
        <f>IFERROR(__xludf.DUMMYFUNCTION("""COMPUTED_VALUE"""),45871.31971445602)</f>
        <v>45871.31971</v>
      </c>
      <c r="B239" s="4" t="str">
        <f>IFERROR(__xludf.DUMMYFUNCTION("""COMPUTED_VALUE"""),"iahmadzakari@gmail.com")</f>
        <v>iahmadzakari@gmail.com</v>
      </c>
      <c r="C239" s="4" t="str">
        <f>IFERROR(__xludf.DUMMYFUNCTION("""COMPUTED_VALUE"""),"Sadiq Ilu")</f>
        <v>Sadiq Ilu</v>
      </c>
      <c r="D239" s="4" t="str">
        <f>IFERROR(__xludf.DUMMYFUNCTION("""COMPUTED_VALUE"""),"Cluster 17")</f>
        <v>Cluster 17</v>
      </c>
      <c r="E239" s="4"/>
      <c r="F239" s="4"/>
      <c r="G239" s="4"/>
      <c r="H239" s="4"/>
      <c r="I239" s="4" t="str">
        <f>IFERROR(__xludf.DUMMYFUNCTION("""COMPUTED_VALUE"""),"ALFA WALI STREET")</f>
        <v>ALFA WALI STREET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 t="str">
        <f>IFERROR(__xludf.DUMMYFUNCTION("""COMPUTED_VALUE"""),"Point 2")</f>
        <v>Point 2</v>
      </c>
      <c r="AC239" s="4">
        <f>IFERROR(__xludf.DUMMYFUNCTION("""COMPUTED_VALUE"""),11.970065)</f>
        <v>11.970065</v>
      </c>
      <c r="AD239" s="4">
        <f>IFERROR(__xludf.DUMMYFUNCTION("""COMPUTED_VALUE"""),8.568329)</f>
        <v>8.568329</v>
      </c>
      <c r="AE239" s="5" t="str">
        <f>IFERROR(__xludf.DUMMYFUNCTION("""COMPUTED_VALUE"""),"https://drive.google.com/open?id=1ctaSE-D3YpbhVyl4oXQjeJCvVq40t75M")</f>
        <v>https://drive.google.com/open?id=1ctaSE-D3YpbhVyl4oXQjeJCvVq40t75M</v>
      </c>
      <c r="AF239" s="4"/>
      <c r="AG239" s="4"/>
      <c r="AH239" s="4"/>
      <c r="AI239" s="4"/>
      <c r="AL239" s="4" t="str">
        <f t="shared" si="1"/>
        <v>Cluster 17</v>
      </c>
      <c r="AM239" s="4" t="str">
        <f t="shared" si="2"/>
        <v>ALFA WALI STREET</v>
      </c>
    </row>
    <row r="240">
      <c r="A240" s="3">
        <f>IFERROR(__xludf.DUMMYFUNCTION("""COMPUTED_VALUE"""),45871.31898015046)</f>
        <v>45871.31898</v>
      </c>
      <c r="B240" s="4" t="str">
        <f>IFERROR(__xludf.DUMMYFUNCTION("""COMPUTED_VALUE"""),"iahmadzakari@gmail.com")</f>
        <v>iahmadzakari@gmail.com</v>
      </c>
      <c r="C240" s="4" t="str">
        <f>IFERROR(__xludf.DUMMYFUNCTION("""COMPUTED_VALUE"""),"Sadiq Ilu")</f>
        <v>Sadiq Ilu</v>
      </c>
      <c r="D240" s="4" t="str">
        <f>IFERROR(__xludf.DUMMYFUNCTION("""COMPUTED_VALUE"""),"Cluster 17")</f>
        <v>Cluster 17</v>
      </c>
      <c r="E240" s="4"/>
      <c r="F240" s="4"/>
      <c r="G240" s="4"/>
      <c r="H240" s="4"/>
      <c r="I240" s="4" t="str">
        <f>IFERROR(__xludf.DUMMYFUNCTION("""COMPUTED_VALUE"""),"ALFA WALI STREET")</f>
        <v>ALFA WALI STREET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 t="str">
        <f>IFERROR(__xludf.DUMMYFUNCTION("""COMPUTED_VALUE"""),"Point 1")</f>
        <v>Point 1</v>
      </c>
      <c r="AC240" s="4">
        <f>IFERROR(__xludf.DUMMYFUNCTION("""COMPUTED_VALUE"""),11.972391)</f>
        <v>11.972391</v>
      </c>
      <c r="AD240" s="4">
        <f>IFERROR(__xludf.DUMMYFUNCTION("""COMPUTED_VALUE"""),8.564673)</f>
        <v>8.564673</v>
      </c>
      <c r="AE240" s="5" t="str">
        <f>IFERROR(__xludf.DUMMYFUNCTION("""COMPUTED_VALUE"""),"https://drive.google.com/open?id=1EXaajhnQBf0MzkrUjKB24GovwsSD0amm")</f>
        <v>https://drive.google.com/open?id=1EXaajhnQBf0MzkrUjKB24GovwsSD0amm</v>
      </c>
      <c r="AF240" s="4"/>
      <c r="AG240" s="4"/>
      <c r="AH240" s="4"/>
      <c r="AI240" s="4"/>
      <c r="AL240" s="4" t="str">
        <f t="shared" si="1"/>
        <v>Cluster 17</v>
      </c>
      <c r="AM240" s="4" t="str">
        <f t="shared" si="2"/>
        <v>ALFA WALI STREET</v>
      </c>
    </row>
    <row r="241">
      <c r="A241" s="3">
        <f>IFERROR(__xludf.DUMMYFUNCTION("""COMPUTED_VALUE"""),45871.317887199075)</f>
        <v>45871.31789</v>
      </c>
      <c r="B241" s="4" t="str">
        <f>IFERROR(__xludf.DUMMYFUNCTION("""COMPUTED_VALUE"""),"iahmadzakari@gmail.com")</f>
        <v>iahmadzakari@gmail.com</v>
      </c>
      <c r="C241" s="4" t="str">
        <f>IFERROR(__xludf.DUMMYFUNCTION("""COMPUTED_VALUE"""),"Sadiq Ilu")</f>
        <v>Sadiq Ilu</v>
      </c>
      <c r="D241" s="4" t="str">
        <f>IFERROR(__xludf.DUMMYFUNCTION("""COMPUTED_VALUE"""),"Cluster 3")</f>
        <v>Cluster 3</v>
      </c>
      <c r="E241" s="4" t="str">
        <f>IFERROR(__xludf.DUMMYFUNCTION("""COMPUTED_VALUE"""),"AMANALLAH STREET")</f>
        <v>AMANALLAH STREET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 t="str">
        <f>IFERROR(__xludf.DUMMYFUNCTION("""COMPUTED_VALUE"""),"Point 1")</f>
        <v>Point 1</v>
      </c>
      <c r="AC241" s="4">
        <f>IFERROR(__xludf.DUMMYFUNCTION("""COMPUTED_VALUE"""),11.96657)</f>
        <v>11.96657</v>
      </c>
      <c r="AD241" s="4">
        <f>IFERROR(__xludf.DUMMYFUNCTION("""COMPUTED_VALUE"""),8.544861)</f>
        <v>8.544861</v>
      </c>
      <c r="AE241" s="5" t="str">
        <f>IFERROR(__xludf.DUMMYFUNCTION("""COMPUTED_VALUE"""),"https://drive.google.com/open?id=13ZPBnpirwSL6yvAxEJ9ieIZ9tmEfFQUo")</f>
        <v>https://drive.google.com/open?id=13ZPBnpirwSL6yvAxEJ9ieIZ9tmEfFQUo</v>
      </c>
      <c r="AF241" s="4"/>
      <c r="AG241" s="4"/>
      <c r="AH241" s="4"/>
      <c r="AI241" s="4"/>
      <c r="AL241" s="4" t="str">
        <f t="shared" si="1"/>
        <v>Cluster 3</v>
      </c>
      <c r="AM241" s="4" t="str">
        <f t="shared" si="2"/>
        <v>AMANALLAH STREET</v>
      </c>
    </row>
    <row r="242">
      <c r="A242" s="3">
        <f>IFERROR(__xludf.DUMMYFUNCTION("""COMPUTED_VALUE"""),45871.317042986106)</f>
        <v>45871.31704</v>
      </c>
      <c r="B242" s="4" t="str">
        <f>IFERROR(__xludf.DUMMYFUNCTION("""COMPUTED_VALUE"""),"iahmadzakari@gmail.com")</f>
        <v>iahmadzakari@gmail.com</v>
      </c>
      <c r="C242" s="4" t="str">
        <f>IFERROR(__xludf.DUMMYFUNCTION("""COMPUTED_VALUE"""),"Sadiq Ilu")</f>
        <v>Sadiq Ilu</v>
      </c>
      <c r="D242" s="4" t="str">
        <f>IFERROR(__xludf.DUMMYFUNCTION("""COMPUTED_VALUE"""),"Cluster 3")</f>
        <v>Cluster 3</v>
      </c>
      <c r="E242" s="4" t="str">
        <f>IFERROR(__xludf.DUMMYFUNCTION("""COMPUTED_VALUE"""),"PRESS ROAD")</f>
        <v>PRESS ROAD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 t="str">
        <f>IFERROR(__xludf.DUMMYFUNCTION("""COMPUTED_VALUE"""),"Point 2")</f>
        <v>Point 2</v>
      </c>
      <c r="AC242" s="4">
        <f>IFERROR(__xludf.DUMMYFUNCTION("""COMPUTED_VALUE"""),11.969053)</f>
        <v>11.969053</v>
      </c>
      <c r="AD242" s="4">
        <f>IFERROR(__xludf.DUMMYFUNCTION("""COMPUTED_VALUE"""),8.546077)</f>
        <v>8.546077</v>
      </c>
      <c r="AE242" s="5" t="str">
        <f>IFERROR(__xludf.DUMMYFUNCTION("""COMPUTED_VALUE"""),"https://drive.google.com/open?id=1QVocPQUN0Vhxeli0H7l4bYZJEoZKIjX2")</f>
        <v>https://drive.google.com/open?id=1QVocPQUN0Vhxeli0H7l4bYZJEoZKIjX2</v>
      </c>
      <c r="AF242" s="4"/>
      <c r="AG242" s="4"/>
      <c r="AH242" s="4"/>
      <c r="AI242" s="4"/>
      <c r="AL242" s="4" t="str">
        <f t="shared" si="1"/>
        <v>Cluster 3</v>
      </c>
      <c r="AM242" s="4" t="str">
        <f t="shared" si="2"/>
        <v>PRESS ROAD</v>
      </c>
    </row>
    <row r="243">
      <c r="A243" s="3">
        <f>IFERROR(__xludf.DUMMYFUNCTION("""COMPUTED_VALUE"""),45871.316229131946)</f>
        <v>45871.31623</v>
      </c>
      <c r="B243" s="4" t="str">
        <f>IFERROR(__xludf.DUMMYFUNCTION("""COMPUTED_VALUE"""),"iahmadzakari@gmail.com")</f>
        <v>iahmadzakari@gmail.com</v>
      </c>
      <c r="C243" s="4" t="str">
        <f>IFERROR(__xludf.DUMMYFUNCTION("""COMPUTED_VALUE"""),"Sadiq Ilu")</f>
        <v>Sadiq Ilu</v>
      </c>
      <c r="D243" s="4" t="str">
        <f>IFERROR(__xludf.DUMMYFUNCTION("""COMPUTED_VALUE"""),"Cluster 3")</f>
        <v>Cluster 3</v>
      </c>
      <c r="E243" s="4" t="str">
        <f>IFERROR(__xludf.DUMMYFUNCTION("""COMPUTED_VALUE"""),"PRESS ROAD")</f>
        <v>PRESS ROAD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 t="str">
        <f>IFERROR(__xludf.DUMMYFUNCTION("""COMPUTED_VALUE"""),"Point 1")</f>
        <v>Point 1</v>
      </c>
      <c r="AC243" s="4">
        <f>IFERROR(__xludf.DUMMYFUNCTION("""COMPUTED_VALUE"""),11.967528)</f>
        <v>11.967528</v>
      </c>
      <c r="AD243" s="4">
        <f>IFERROR(__xludf.DUMMYFUNCTION("""COMPUTED_VALUE"""),8.543136)</f>
        <v>8.543136</v>
      </c>
      <c r="AE243" s="5" t="str">
        <f>IFERROR(__xludf.DUMMYFUNCTION("""COMPUTED_VALUE"""),"https://drive.google.com/open?id=1XTZyrVhS9i0XolKgSlThXhxNV0kpDYql")</f>
        <v>https://drive.google.com/open?id=1XTZyrVhS9i0XolKgSlThXhxNV0kpDYql</v>
      </c>
      <c r="AF243" s="4"/>
      <c r="AG243" s="4"/>
      <c r="AH243" s="4"/>
      <c r="AI243" s="4"/>
      <c r="AL243" s="4" t="str">
        <f t="shared" si="1"/>
        <v>Cluster 3</v>
      </c>
      <c r="AM243" s="4" t="str">
        <f t="shared" si="2"/>
        <v>PRESS ROAD</v>
      </c>
    </row>
    <row r="244">
      <c r="A244" s="3">
        <f>IFERROR(__xludf.DUMMYFUNCTION("""COMPUTED_VALUE"""),45871.31525576389)</f>
        <v>45871.31526</v>
      </c>
      <c r="B244" s="4" t="str">
        <f>IFERROR(__xludf.DUMMYFUNCTION("""COMPUTED_VALUE"""),"iahmadzakari@gmail.com")</f>
        <v>iahmadzakari@gmail.com</v>
      </c>
      <c r="C244" s="4" t="str">
        <f>IFERROR(__xludf.DUMMYFUNCTION("""COMPUTED_VALUE"""),"Sadiq Ilu")</f>
        <v>Sadiq Ilu</v>
      </c>
      <c r="D244" s="4" t="str">
        <f>IFERROR(__xludf.DUMMYFUNCTION("""COMPUTED_VALUE"""),"Cluster 3")</f>
        <v>Cluster 3</v>
      </c>
      <c r="E244" s="4" t="str">
        <f>IFERROR(__xludf.DUMMYFUNCTION("""COMPUTED_VALUE"""),"GUDA ABDULLAHI ROAD")</f>
        <v>GUDA ABDULLAHI ROAD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 t="str">
        <f>IFERROR(__xludf.DUMMYFUNCTION("""COMPUTED_VALUE"""),"Point 2")</f>
        <v>Point 2</v>
      </c>
      <c r="AC244" s="4">
        <f>IFERROR(__xludf.DUMMYFUNCTION("""COMPUTED_VALUE"""),11.968845)</f>
        <v>11.968845</v>
      </c>
      <c r="AD244" s="4">
        <f>IFERROR(__xludf.DUMMYFUNCTION("""COMPUTED_VALUE"""),8.553248)</f>
        <v>8.553248</v>
      </c>
      <c r="AE244" s="5" t="str">
        <f>IFERROR(__xludf.DUMMYFUNCTION("""COMPUTED_VALUE"""),"https://drive.google.com/open?id=1s2cxQ0uiz1bEoNFxKvrYm8y1iuEqz9p8")</f>
        <v>https://drive.google.com/open?id=1s2cxQ0uiz1bEoNFxKvrYm8y1iuEqz9p8</v>
      </c>
      <c r="AF244" s="4"/>
      <c r="AG244" s="4"/>
      <c r="AH244" s="4"/>
      <c r="AI244" s="4"/>
      <c r="AL244" s="4" t="str">
        <f t="shared" si="1"/>
        <v>Cluster 3</v>
      </c>
      <c r="AM244" s="4" t="str">
        <f t="shared" si="2"/>
        <v>GUDA ABDULLAHI ROAD</v>
      </c>
    </row>
    <row r="245">
      <c r="A245" s="3">
        <f>IFERROR(__xludf.DUMMYFUNCTION("""COMPUTED_VALUE"""),45871.313527245366)</f>
        <v>45871.31353</v>
      </c>
      <c r="B245" s="4" t="str">
        <f>IFERROR(__xludf.DUMMYFUNCTION("""COMPUTED_VALUE"""),"iahmadzakari@gmail.com")</f>
        <v>iahmadzakari@gmail.com</v>
      </c>
      <c r="C245" s="4" t="str">
        <f>IFERROR(__xludf.DUMMYFUNCTION("""COMPUTED_VALUE"""),"Sadiq Ilu")</f>
        <v>Sadiq Ilu</v>
      </c>
      <c r="D245" s="4" t="str">
        <f>IFERROR(__xludf.DUMMYFUNCTION("""COMPUTED_VALUE"""),"Cluster 8")</f>
        <v>Cluster 8</v>
      </c>
      <c r="E245" s="4"/>
      <c r="F245" s="4"/>
      <c r="G245" s="4" t="str">
        <f>IFERROR(__xludf.DUMMYFUNCTION("""COMPUTED_VALUE"""),"LAMIDO ROAD")</f>
        <v>LAMIDO ROAD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 t="str">
        <f>IFERROR(__xludf.DUMMYFUNCTION("""COMPUTED_VALUE"""),"Point 1")</f>
        <v>Point 1</v>
      </c>
      <c r="AC245" s="4">
        <f>IFERROR(__xludf.DUMMYFUNCTION("""COMPUTED_VALUE"""),11.999702)</f>
        <v>11.999702</v>
      </c>
      <c r="AD245" s="4">
        <f>IFERROR(__xludf.DUMMYFUNCTION("""COMPUTED_VALUE"""),8.564543)</f>
        <v>8.564543</v>
      </c>
      <c r="AE245" s="5" t="str">
        <f>IFERROR(__xludf.DUMMYFUNCTION("""COMPUTED_VALUE"""),"https://drive.google.com/open?id=1R6tmCH4Iq3YQTSSDrp3YQCGLvl1ZTkfB")</f>
        <v>https://drive.google.com/open?id=1R6tmCH4Iq3YQTSSDrp3YQCGLvl1ZTkfB</v>
      </c>
      <c r="AF245" s="4"/>
      <c r="AG245" s="4"/>
      <c r="AH245" s="4"/>
      <c r="AI245" s="4"/>
      <c r="AL245" s="4" t="str">
        <f t="shared" si="1"/>
        <v>Cluster 8</v>
      </c>
      <c r="AM245" s="4" t="str">
        <f t="shared" si="2"/>
        <v>LAMIDO ROAD</v>
      </c>
    </row>
    <row r="246">
      <c r="A246" s="3">
        <f>IFERROR(__xludf.DUMMYFUNCTION("""COMPUTED_VALUE"""),45871.31145407408)</f>
        <v>45871.31145</v>
      </c>
      <c r="B246" s="4" t="str">
        <f>IFERROR(__xludf.DUMMYFUNCTION("""COMPUTED_VALUE"""),"iahmadzakari@gmail.com")</f>
        <v>iahmadzakari@gmail.com</v>
      </c>
      <c r="C246" s="4" t="str">
        <f>IFERROR(__xludf.DUMMYFUNCTION("""COMPUTED_VALUE"""),"Sadiq Ilu")</f>
        <v>Sadiq Ilu</v>
      </c>
      <c r="D246" s="4" t="str">
        <f>IFERROR(__xludf.DUMMYFUNCTION("""COMPUTED_VALUE"""),"Cluster 8")</f>
        <v>Cluster 8</v>
      </c>
      <c r="E246" s="4"/>
      <c r="F246" s="4"/>
      <c r="G246" s="4" t="str">
        <f>IFERROR(__xludf.DUMMYFUNCTION("""COMPUTED_VALUE"""),"PRESIDENT AVENUE")</f>
        <v>PRESIDENT AVENUE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 t="str">
        <f>IFERROR(__xludf.DUMMYFUNCTION("""COMPUTED_VALUE"""),"Point 2")</f>
        <v>Point 2</v>
      </c>
      <c r="AC246" s="4">
        <f>IFERROR(__xludf.DUMMYFUNCTION("""COMPUTED_VALUE"""),12.01183)</f>
        <v>12.01183</v>
      </c>
      <c r="AD246" s="4">
        <f>IFERROR(__xludf.DUMMYFUNCTION("""COMPUTED_VALUE"""),8.560286)</f>
        <v>8.560286</v>
      </c>
      <c r="AE246" s="5" t="str">
        <f>IFERROR(__xludf.DUMMYFUNCTION("""COMPUTED_VALUE"""),"https://drive.google.com/open?id=10RCSZZU-_TEOS9ukDRi2r_LMTur96V1u")</f>
        <v>https://drive.google.com/open?id=10RCSZZU-_TEOS9ukDRi2r_LMTur96V1u</v>
      </c>
      <c r="AF246" s="4"/>
      <c r="AG246" s="4"/>
      <c r="AH246" s="4"/>
      <c r="AI246" s="4"/>
      <c r="AL246" s="4" t="str">
        <f t="shared" si="1"/>
        <v>Cluster 8</v>
      </c>
      <c r="AM246" s="4" t="str">
        <f t="shared" si="2"/>
        <v>PRESIDENT AVENUE</v>
      </c>
    </row>
    <row r="247">
      <c r="A247" s="3">
        <f>IFERROR(__xludf.DUMMYFUNCTION("""COMPUTED_VALUE"""),45871.31041181713)</f>
        <v>45871.31041</v>
      </c>
      <c r="B247" s="4" t="str">
        <f>IFERROR(__xludf.DUMMYFUNCTION("""COMPUTED_VALUE"""),"iahmadzakari@gmail.com")</f>
        <v>iahmadzakari@gmail.com</v>
      </c>
      <c r="C247" s="4" t="str">
        <f>IFERROR(__xludf.DUMMYFUNCTION("""COMPUTED_VALUE"""),"Sadiq Ilu")</f>
        <v>Sadiq Ilu</v>
      </c>
      <c r="D247" s="4" t="str">
        <f>IFERROR(__xludf.DUMMYFUNCTION("""COMPUTED_VALUE"""),"Cluster 8")</f>
        <v>Cluster 8</v>
      </c>
      <c r="E247" s="4"/>
      <c r="F247" s="4"/>
      <c r="G247" s="4" t="str">
        <f>IFERROR(__xludf.DUMMYFUNCTION("""COMPUTED_VALUE"""),"PRESIDENT AVENUE")</f>
        <v>PRESIDENT AVENUE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 t="str">
        <f>IFERROR(__xludf.DUMMYFUNCTION("""COMPUTED_VALUE"""),"Point 1")</f>
        <v>Point 1</v>
      </c>
      <c r="AC247" s="4">
        <f>IFERROR(__xludf.DUMMYFUNCTION("""COMPUTED_VALUE"""),12.006481)</f>
        <v>12.006481</v>
      </c>
      <c r="AD247" s="4">
        <f>IFERROR(__xludf.DUMMYFUNCTION("""COMPUTED_VALUE"""),8.559722)</f>
        <v>8.559722</v>
      </c>
      <c r="AE247" s="5" t="str">
        <f>IFERROR(__xludf.DUMMYFUNCTION("""COMPUTED_VALUE"""),"https://drive.google.com/open?id=1xlWHQDBBm_7NnlVgaTCVWyXwAkys4d0M")</f>
        <v>https://drive.google.com/open?id=1xlWHQDBBm_7NnlVgaTCVWyXwAkys4d0M</v>
      </c>
      <c r="AF247" s="4"/>
      <c r="AG247" s="4"/>
      <c r="AH247" s="4"/>
      <c r="AI247" s="4"/>
      <c r="AL247" s="4" t="str">
        <f t="shared" si="1"/>
        <v>Cluster 8</v>
      </c>
      <c r="AM247" s="4" t="str">
        <f t="shared" si="2"/>
        <v>PRESIDENT AVENUE</v>
      </c>
    </row>
    <row r="248">
      <c r="A248" s="3">
        <f>IFERROR(__xludf.DUMMYFUNCTION("""COMPUTED_VALUE"""),45871.30958630787)</f>
        <v>45871.30959</v>
      </c>
      <c r="B248" s="4" t="str">
        <f>IFERROR(__xludf.DUMMYFUNCTION("""COMPUTED_VALUE"""),"iahmadzakari@gmail.com")</f>
        <v>iahmadzakari@gmail.com</v>
      </c>
      <c r="C248" s="4" t="str">
        <f>IFERROR(__xludf.DUMMYFUNCTION("""COMPUTED_VALUE"""),"Sadiq Ilu")</f>
        <v>Sadiq Ilu</v>
      </c>
      <c r="D248" s="4" t="str">
        <f>IFERROR(__xludf.DUMMYFUNCTION("""COMPUTED_VALUE"""),"Cluster 8")</f>
        <v>Cluster 8</v>
      </c>
      <c r="E248" s="4"/>
      <c r="F248" s="4"/>
      <c r="G248" s="4" t="str">
        <f>IFERROR(__xludf.DUMMYFUNCTION("""COMPUTED_VALUE"""),"COURT HOUSE CLOSE")</f>
        <v>COURT HOUSE CLOSE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 t="str">
        <f>IFERROR(__xludf.DUMMYFUNCTION("""COMPUTED_VALUE"""),"Point 1")</f>
        <v>Point 1</v>
      </c>
      <c r="AC248" s="4">
        <f>IFERROR(__xludf.DUMMYFUNCTION("""COMPUTED_VALUE"""),12.01231)</f>
        <v>12.01231</v>
      </c>
      <c r="AD248" s="4">
        <f>IFERROR(__xludf.DUMMYFUNCTION("""COMPUTED_VALUE"""),8.554084)</f>
        <v>8.554084</v>
      </c>
      <c r="AE248" s="5" t="str">
        <f>IFERROR(__xludf.DUMMYFUNCTION("""COMPUTED_VALUE"""),"https://drive.google.com/open?id=1X4XnIwP-lbMjcgyduUAUjnoYumWx15wq")</f>
        <v>https://drive.google.com/open?id=1X4XnIwP-lbMjcgyduUAUjnoYumWx15wq</v>
      </c>
      <c r="AF248" s="4"/>
      <c r="AG248" s="4"/>
      <c r="AH248" s="4"/>
      <c r="AI248" s="4"/>
      <c r="AL248" s="4" t="str">
        <f t="shared" si="1"/>
        <v>Cluster 8</v>
      </c>
      <c r="AM248" s="4" t="str">
        <f t="shared" si="2"/>
        <v>COURT HOUSE CLOSE</v>
      </c>
    </row>
    <row r="249">
      <c r="A249" s="3">
        <f>IFERROR(__xludf.DUMMYFUNCTION("""COMPUTED_VALUE"""),45871.30843425926)</f>
        <v>45871.30843</v>
      </c>
      <c r="B249" s="4" t="str">
        <f>IFERROR(__xludf.DUMMYFUNCTION("""COMPUTED_VALUE"""),"iahmadzakari@gmail.com")</f>
        <v>iahmadzakari@gmail.com</v>
      </c>
      <c r="C249" s="4" t="str">
        <f>IFERROR(__xludf.DUMMYFUNCTION("""COMPUTED_VALUE"""),"Sadiq Ilu")</f>
        <v>Sadiq Ilu</v>
      </c>
      <c r="D249" s="4" t="str">
        <f>IFERROR(__xludf.DUMMYFUNCTION("""COMPUTED_VALUE"""),"Cluster 11")</f>
        <v>Cluster 11</v>
      </c>
      <c r="E249" s="4"/>
      <c r="F249" s="4"/>
      <c r="G249" s="4"/>
      <c r="H249" s="4" t="str">
        <f>IFERROR(__xludf.DUMMYFUNCTION("""COMPUTED_VALUE"""),"EYE HOSPITAL ROAD")</f>
        <v>EYE HOSPITAL ROAD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 t="str">
        <f>IFERROR(__xludf.DUMMYFUNCTION("""COMPUTED_VALUE"""),"Point 2")</f>
        <v>Point 2</v>
      </c>
      <c r="AC249" s="4">
        <f>IFERROR(__xludf.DUMMYFUNCTION("""COMPUTED_VALUE"""),12.017972)</f>
        <v>12.017972</v>
      </c>
      <c r="AD249" s="4">
        <f>IFERROR(__xludf.DUMMYFUNCTION("""COMPUTED_VALUE"""),8.545547)</f>
        <v>8.545547</v>
      </c>
      <c r="AE249" s="5" t="str">
        <f>IFERROR(__xludf.DUMMYFUNCTION("""COMPUTED_VALUE"""),"https://drive.google.com/open?id=1ExUNAkT55tpHnVkKoAv9Ves7Z1yKAjaf")</f>
        <v>https://drive.google.com/open?id=1ExUNAkT55tpHnVkKoAv9Ves7Z1yKAjaf</v>
      </c>
      <c r="AF249" s="4"/>
      <c r="AG249" s="4"/>
      <c r="AH249" s="4"/>
      <c r="AI249" s="4"/>
      <c r="AL249" s="4" t="str">
        <f t="shared" si="1"/>
        <v>Cluster 11</v>
      </c>
      <c r="AM249" s="4" t="str">
        <f t="shared" si="2"/>
        <v>EYE HOSPITAL ROAD</v>
      </c>
    </row>
    <row r="250">
      <c r="A250" s="3">
        <f>IFERROR(__xludf.DUMMYFUNCTION("""COMPUTED_VALUE"""),45871.30766820602)</f>
        <v>45871.30767</v>
      </c>
      <c r="B250" s="4" t="str">
        <f>IFERROR(__xludf.DUMMYFUNCTION("""COMPUTED_VALUE"""),"iahmadzakari@gmail.com")</f>
        <v>iahmadzakari@gmail.com</v>
      </c>
      <c r="C250" s="4" t="str">
        <f>IFERROR(__xludf.DUMMYFUNCTION("""COMPUTED_VALUE"""),"Sadiq Ilu")</f>
        <v>Sadiq Ilu</v>
      </c>
      <c r="D250" s="4" t="str">
        <f>IFERROR(__xludf.DUMMYFUNCTION("""COMPUTED_VALUE"""),"Cluster 11")</f>
        <v>Cluster 11</v>
      </c>
      <c r="E250" s="4"/>
      <c r="F250" s="4"/>
      <c r="G250" s="4"/>
      <c r="H250" s="4" t="str">
        <f>IFERROR(__xludf.DUMMYFUNCTION("""COMPUTED_VALUE"""),"DANBATTA WAY")</f>
        <v>DANBATTA WAY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 t="str">
        <f>IFERROR(__xludf.DUMMYFUNCTION("""COMPUTED_VALUE"""),"Point 2")</f>
        <v>Point 2</v>
      </c>
      <c r="AC250" s="4">
        <f>IFERROR(__xludf.DUMMYFUNCTION("""COMPUTED_VALUE"""),12.016637)</f>
        <v>12.016637</v>
      </c>
      <c r="AD250" s="4">
        <f>IFERROR(__xludf.DUMMYFUNCTION("""COMPUTED_VALUE"""),8.542556)</f>
        <v>8.542556</v>
      </c>
      <c r="AE250" s="5" t="str">
        <f>IFERROR(__xludf.DUMMYFUNCTION("""COMPUTED_VALUE"""),"https://drive.google.com/open?id=1r_WAuZTumqcwQPN0aSjyS8cloOlEtUpO")</f>
        <v>https://drive.google.com/open?id=1r_WAuZTumqcwQPN0aSjyS8cloOlEtUpO</v>
      </c>
      <c r="AF250" s="4"/>
      <c r="AG250" s="4"/>
      <c r="AH250" s="4"/>
      <c r="AI250" s="4"/>
      <c r="AL250" s="4" t="str">
        <f t="shared" si="1"/>
        <v>Cluster 11</v>
      </c>
      <c r="AM250" s="4" t="str">
        <f t="shared" si="2"/>
        <v>DANBATTA WAY</v>
      </c>
    </row>
    <row r="251">
      <c r="A251" s="3">
        <f>IFERROR(__xludf.DUMMYFUNCTION("""COMPUTED_VALUE"""),45871.3068700463)</f>
        <v>45871.30687</v>
      </c>
      <c r="B251" s="4" t="str">
        <f>IFERROR(__xludf.DUMMYFUNCTION("""COMPUTED_VALUE"""),"iahmadzakari@gmail.com")</f>
        <v>iahmadzakari@gmail.com</v>
      </c>
      <c r="C251" s="4" t="str">
        <f>IFERROR(__xludf.DUMMYFUNCTION("""COMPUTED_VALUE"""),"Sadiq Ilu")</f>
        <v>Sadiq Ilu</v>
      </c>
      <c r="D251" s="4" t="str">
        <f>IFERROR(__xludf.DUMMYFUNCTION("""COMPUTED_VALUE"""),"Cluster 11")</f>
        <v>Cluster 11</v>
      </c>
      <c r="E251" s="4"/>
      <c r="F251" s="4"/>
      <c r="G251" s="4"/>
      <c r="H251" s="4" t="str">
        <f>IFERROR(__xludf.DUMMYFUNCTION("""COMPUTED_VALUE"""),"DANBATTA WAY")</f>
        <v>DANBATTA WAY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 t="str">
        <f>IFERROR(__xludf.DUMMYFUNCTION("""COMPUTED_VALUE"""),"Point 1")</f>
        <v>Point 1</v>
      </c>
      <c r="AC251" s="4">
        <f>IFERROR(__xludf.DUMMYFUNCTION("""COMPUTED_VALUE"""),12.018376)</f>
        <v>12.018376</v>
      </c>
      <c r="AD251" s="4">
        <f>IFERROR(__xludf.DUMMYFUNCTION("""COMPUTED_VALUE"""),8.543461)</f>
        <v>8.543461</v>
      </c>
      <c r="AE251" s="5" t="str">
        <f>IFERROR(__xludf.DUMMYFUNCTION("""COMPUTED_VALUE"""),"https://drive.google.com/open?id=1g0PR6HJsopG1fwRtFsZbXAeOqwPQXETY")</f>
        <v>https://drive.google.com/open?id=1g0PR6HJsopG1fwRtFsZbXAeOqwPQXETY</v>
      </c>
      <c r="AF251" s="4"/>
      <c r="AG251" s="4"/>
      <c r="AH251" s="4"/>
      <c r="AI251" s="4"/>
      <c r="AL251" s="4" t="str">
        <f t="shared" si="1"/>
        <v>Cluster 11</v>
      </c>
      <c r="AM251" s="4" t="str">
        <f t="shared" si="2"/>
        <v>DANBATTA WAY</v>
      </c>
    </row>
    <row r="252">
      <c r="A252" s="3">
        <f>IFERROR(__xludf.DUMMYFUNCTION("""COMPUTED_VALUE"""),45871.3050168287)</f>
        <v>45871.30502</v>
      </c>
      <c r="B252" s="4" t="str">
        <f>IFERROR(__xludf.DUMMYFUNCTION("""COMPUTED_VALUE"""),"iahmadzakari@gmail.com")</f>
        <v>iahmadzakari@gmail.com</v>
      </c>
      <c r="C252" s="4" t="str">
        <f>IFERROR(__xludf.DUMMYFUNCTION("""COMPUTED_VALUE"""),"Sadiq Ilu")</f>
        <v>Sadiq Ilu</v>
      </c>
      <c r="D252" s="4" t="str">
        <f>IFERROR(__xludf.DUMMYFUNCTION("""COMPUTED_VALUE"""),"Cluster 8")</f>
        <v>Cluster 8</v>
      </c>
      <c r="E252" s="4"/>
      <c r="F252" s="4"/>
      <c r="G252" s="4" t="str">
        <f>IFERROR(__xludf.DUMMYFUNCTION("""COMPUTED_VALUE"""),"ADUA ROAD")</f>
        <v>ADUA ROAD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 t="str">
        <f>IFERROR(__xludf.DUMMYFUNCTION("""COMPUTED_VALUE"""),"Point 2")</f>
        <v>Point 2</v>
      </c>
      <c r="AC252" s="4">
        <f>IFERROR(__xludf.DUMMYFUNCTION("""COMPUTED_VALUE"""),12.019305)</f>
        <v>12.019305</v>
      </c>
      <c r="AD252" s="4">
        <f>IFERROR(__xludf.DUMMYFUNCTION("""COMPUTED_VALUE"""),8.542417)</f>
        <v>8.542417</v>
      </c>
      <c r="AE252" s="5" t="str">
        <f>IFERROR(__xludf.DUMMYFUNCTION("""COMPUTED_VALUE"""),"https://drive.google.com/open?id=123fQOKxMIdSvTz1dvMO5U4FOltFPZVeF")</f>
        <v>https://drive.google.com/open?id=123fQOKxMIdSvTz1dvMO5U4FOltFPZVeF</v>
      </c>
      <c r="AF252" s="4"/>
      <c r="AG252" s="4"/>
      <c r="AH252" s="4"/>
      <c r="AI252" s="4"/>
      <c r="AL252" s="4" t="str">
        <f t="shared" si="1"/>
        <v>Cluster 8</v>
      </c>
      <c r="AM252" s="4" t="str">
        <f t="shared" si="2"/>
        <v>ADUA ROAD</v>
      </c>
    </row>
    <row r="253">
      <c r="A253" s="3">
        <f>IFERROR(__xludf.DUMMYFUNCTION("""COMPUTED_VALUE"""),45871.304262060185)</f>
        <v>45871.30426</v>
      </c>
      <c r="B253" s="4" t="str">
        <f>IFERROR(__xludf.DUMMYFUNCTION("""COMPUTED_VALUE"""),"iahmadzakari@gmail.com")</f>
        <v>iahmadzakari@gmail.com</v>
      </c>
      <c r="C253" s="4" t="str">
        <f>IFERROR(__xludf.DUMMYFUNCTION("""COMPUTED_VALUE"""),"Sadiq Ilu")</f>
        <v>Sadiq Ilu</v>
      </c>
      <c r="D253" s="4" t="str">
        <f>IFERROR(__xludf.DUMMYFUNCTION("""COMPUTED_VALUE"""),"Cluster 8")</f>
        <v>Cluster 8</v>
      </c>
      <c r="E253" s="4"/>
      <c r="F253" s="4"/>
      <c r="G253" s="4" t="str">
        <f>IFERROR(__xludf.DUMMYFUNCTION("""COMPUTED_VALUE"""),"TUDUNWADA D ROAD")</f>
        <v>TUDUNWADA D ROAD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 t="str">
        <f>IFERROR(__xludf.DUMMYFUNCTION("""COMPUTED_VALUE"""),"Point 2")</f>
        <v>Point 2</v>
      </c>
      <c r="AC253" s="4">
        <f>IFERROR(__xludf.DUMMYFUNCTION("""COMPUTED_VALUE"""),12.024645)</f>
        <v>12.024645</v>
      </c>
      <c r="AD253" s="4">
        <f>IFERROR(__xludf.DUMMYFUNCTION("""COMPUTED_VALUE"""),8.559934)</f>
        <v>8.559934</v>
      </c>
      <c r="AE253" s="5" t="str">
        <f>IFERROR(__xludf.DUMMYFUNCTION("""COMPUTED_VALUE"""),"https://drive.google.com/open?id=1RGtUjz2DOLODz_hG8aKxf27uxaVflqax")</f>
        <v>https://drive.google.com/open?id=1RGtUjz2DOLODz_hG8aKxf27uxaVflqax</v>
      </c>
      <c r="AF253" s="4"/>
      <c r="AG253" s="4"/>
      <c r="AH253" s="4"/>
      <c r="AI253" s="4"/>
      <c r="AL253" s="4" t="str">
        <f t="shared" si="1"/>
        <v>Cluster 8</v>
      </c>
      <c r="AM253" s="4" t="str">
        <f t="shared" si="2"/>
        <v>TUDUNWADA D ROAD</v>
      </c>
    </row>
    <row r="254">
      <c r="A254" s="3">
        <f>IFERROR(__xludf.DUMMYFUNCTION("""COMPUTED_VALUE"""),45871.30336730324)</f>
        <v>45871.30337</v>
      </c>
      <c r="B254" s="4" t="str">
        <f>IFERROR(__xludf.DUMMYFUNCTION("""COMPUTED_VALUE"""),"iahmadzakari@gmail.com")</f>
        <v>iahmadzakari@gmail.com</v>
      </c>
      <c r="C254" s="4" t="str">
        <f>IFERROR(__xludf.DUMMYFUNCTION("""COMPUTED_VALUE"""),"Sadiq Ilu")</f>
        <v>Sadiq Ilu</v>
      </c>
      <c r="D254" s="4" t="str">
        <f>IFERROR(__xludf.DUMMYFUNCTION("""COMPUTED_VALUE"""),"Cluster 8")</f>
        <v>Cluster 8</v>
      </c>
      <c r="E254" s="4"/>
      <c r="F254" s="4"/>
      <c r="G254" s="4" t="str">
        <f>IFERROR(__xludf.DUMMYFUNCTION("""COMPUTED_VALUE"""),"TUDUNWADA D ROAD")</f>
        <v>TUDUNWADA D ROAD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 t="str">
        <f>IFERROR(__xludf.DUMMYFUNCTION("""COMPUTED_VALUE"""),"Point 1")</f>
        <v>Point 1</v>
      </c>
      <c r="AC254" s="4">
        <f>IFERROR(__xludf.DUMMYFUNCTION("""COMPUTED_VALUE"""),12.026196)</f>
        <v>12.026196</v>
      </c>
      <c r="AD254" s="4">
        <f>IFERROR(__xludf.DUMMYFUNCTION("""COMPUTED_VALUE"""),8.559952)</f>
        <v>8.559952</v>
      </c>
      <c r="AE254" s="5" t="str">
        <f>IFERROR(__xludf.DUMMYFUNCTION("""COMPUTED_VALUE"""),"https://drive.google.com/open?id=19g7_veS8FTtBM_FVhIPwSUDcmetVGq9L")</f>
        <v>https://drive.google.com/open?id=19g7_veS8FTtBM_FVhIPwSUDcmetVGq9L</v>
      </c>
      <c r="AF254" s="4"/>
      <c r="AG254" s="4"/>
      <c r="AH254" s="4"/>
      <c r="AI254" s="4"/>
      <c r="AL254" s="4" t="str">
        <f t="shared" si="1"/>
        <v>Cluster 8</v>
      </c>
      <c r="AM254" s="4" t="str">
        <f t="shared" si="2"/>
        <v>TUDUNWADA D ROAD</v>
      </c>
    </row>
    <row r="255">
      <c r="A255" s="3">
        <f>IFERROR(__xludf.DUMMYFUNCTION("""COMPUTED_VALUE"""),45871.300277083334)</f>
        <v>45871.30028</v>
      </c>
      <c r="B255" s="4" t="str">
        <f>IFERROR(__xludf.DUMMYFUNCTION("""COMPUTED_VALUE"""),"iahmadzakari@gmail.com")</f>
        <v>iahmadzakari@gmail.com</v>
      </c>
      <c r="C255" s="4" t="str">
        <f>IFERROR(__xludf.DUMMYFUNCTION("""COMPUTED_VALUE"""),"Sadiq Ilu")</f>
        <v>Sadiq Ilu</v>
      </c>
      <c r="D255" s="4" t="str">
        <f>IFERROR(__xludf.DUMMYFUNCTION("""COMPUTED_VALUE"""),"Cluster 8")</f>
        <v>Cluster 8</v>
      </c>
      <c r="E255" s="4"/>
      <c r="F255" s="4"/>
      <c r="G255" s="4" t="str">
        <f>IFERROR(__xludf.DUMMYFUNCTION("""COMPUTED_VALUE"""),"HADEJIA ROAD")</f>
        <v>HADEJIA ROAD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 t="str">
        <f>IFERROR(__xludf.DUMMYFUNCTION("""COMPUTED_VALUE"""),"Point 2")</f>
        <v>Point 2</v>
      </c>
      <c r="AC255" s="4">
        <f>IFERROR(__xludf.DUMMYFUNCTION("""COMPUTED_VALUE"""),12.007975)</f>
        <v>12.007975</v>
      </c>
      <c r="AD255" s="4">
        <f>IFERROR(__xludf.DUMMYFUNCTION("""COMPUTED_VALUE"""),8.549485)</f>
        <v>8.549485</v>
      </c>
      <c r="AE255" s="5" t="str">
        <f>IFERROR(__xludf.DUMMYFUNCTION("""COMPUTED_VALUE"""),"https://drive.google.com/open?id=1XhHLTUrJaMayeq-ru-sGKE-HGl525PmA")</f>
        <v>https://drive.google.com/open?id=1XhHLTUrJaMayeq-ru-sGKE-HGl525PmA</v>
      </c>
      <c r="AF255" s="4"/>
      <c r="AG255" s="4"/>
      <c r="AH255" s="4"/>
      <c r="AI255" s="4"/>
      <c r="AL255" s="4" t="str">
        <f t="shared" si="1"/>
        <v>Cluster 8</v>
      </c>
      <c r="AM255" s="4" t="str">
        <f t="shared" si="2"/>
        <v>HADEJIA ROAD</v>
      </c>
    </row>
    <row r="256">
      <c r="A256" s="3">
        <f>IFERROR(__xludf.DUMMYFUNCTION("""COMPUTED_VALUE"""),45871.29947982639)</f>
        <v>45871.29948</v>
      </c>
      <c r="B256" s="4" t="str">
        <f>IFERROR(__xludf.DUMMYFUNCTION("""COMPUTED_VALUE"""),"iahmadzakari@gmail.com")</f>
        <v>iahmadzakari@gmail.com</v>
      </c>
      <c r="C256" s="4" t="str">
        <f>IFERROR(__xludf.DUMMYFUNCTION("""COMPUTED_VALUE"""),"Sadiq Ilu")</f>
        <v>Sadiq Ilu</v>
      </c>
      <c r="D256" s="4" t="str">
        <f>IFERROR(__xludf.DUMMYFUNCTION("""COMPUTED_VALUE"""),"Cluster 8")</f>
        <v>Cluster 8</v>
      </c>
      <c r="E256" s="4"/>
      <c r="F256" s="4"/>
      <c r="G256" s="4" t="str">
        <f>IFERROR(__xludf.DUMMYFUNCTION("""COMPUTED_VALUE"""),"HADEJIA ROAD")</f>
        <v>HADEJIA ROAD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 t="str">
        <f>IFERROR(__xludf.DUMMYFUNCTION("""COMPUTED_VALUE"""),"Point 1")</f>
        <v>Point 1</v>
      </c>
      <c r="AC256" s="4">
        <f>IFERROR(__xludf.DUMMYFUNCTION("""COMPUTED_VALUE"""),12.011175)</f>
        <v>12.011175</v>
      </c>
      <c r="AD256" s="4">
        <f>IFERROR(__xludf.DUMMYFUNCTION("""COMPUTED_VALUE"""),8.586397)</f>
        <v>8.586397</v>
      </c>
      <c r="AE256" s="5" t="str">
        <f>IFERROR(__xludf.DUMMYFUNCTION("""COMPUTED_VALUE"""),"https://drive.google.com/open?id=1VjJm4JyEBUzPy6f5mmDEu3o_I6TsHcLe")</f>
        <v>https://drive.google.com/open?id=1VjJm4JyEBUzPy6f5mmDEu3o_I6TsHcLe</v>
      </c>
      <c r="AF256" s="4"/>
      <c r="AG256" s="4"/>
      <c r="AH256" s="4"/>
      <c r="AI256" s="4"/>
      <c r="AL256" s="4" t="str">
        <f t="shared" si="1"/>
        <v>Cluster 8</v>
      </c>
      <c r="AM256" s="4" t="str">
        <f t="shared" si="2"/>
        <v>HADEJIA ROAD</v>
      </c>
    </row>
    <row r="257">
      <c r="A257" s="3">
        <f>IFERROR(__xludf.DUMMYFUNCTION("""COMPUTED_VALUE"""),45871.27940321759)</f>
        <v>45871.2794</v>
      </c>
      <c r="B257" s="4" t="str">
        <f>IFERROR(__xludf.DUMMYFUNCTION("""COMPUTED_VALUE"""),"iahmadzakari@gmail.com")</f>
        <v>iahmadzakari@gmail.com</v>
      </c>
      <c r="C257" s="4" t="str">
        <f>IFERROR(__xludf.DUMMYFUNCTION("""COMPUTED_VALUE"""),"Sadiq Ilu")</f>
        <v>Sadiq Ilu</v>
      </c>
      <c r="D257" s="4" t="str">
        <f>IFERROR(__xludf.DUMMYFUNCTION("""COMPUTED_VALUE"""),"Cluster 11")</f>
        <v>Cluster 11</v>
      </c>
      <c r="E257" s="4"/>
      <c r="F257" s="4"/>
      <c r="G257" s="4"/>
      <c r="H257" s="4" t="str">
        <f>IFERROR(__xludf.DUMMYFUNCTION("""COMPUTED_VALUE"""),"MUSA KAUGAMA STREET")</f>
        <v>MUSA KAUGAMA STREET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 t="str">
        <f>IFERROR(__xludf.DUMMYFUNCTION("""COMPUTED_VALUE"""),"Point 2")</f>
        <v>Point 2</v>
      </c>
      <c r="AC257" s="4">
        <f>IFERROR(__xludf.DUMMYFUNCTION("""COMPUTED_VALUE"""),11.986904)</f>
        <v>11.986904</v>
      </c>
      <c r="AD257" s="4">
        <f>IFERROR(__xludf.DUMMYFUNCTION("""COMPUTED_VALUE"""),8.566365)</f>
        <v>8.566365</v>
      </c>
      <c r="AE257" s="5" t="str">
        <f>IFERROR(__xludf.DUMMYFUNCTION("""COMPUTED_VALUE"""),"https://drive.google.com/open?id=1r4EdzB92SOmDGiG1N8DJbcU86DlSF-0J")</f>
        <v>https://drive.google.com/open?id=1r4EdzB92SOmDGiG1N8DJbcU86DlSF-0J</v>
      </c>
      <c r="AF257" s="4"/>
      <c r="AG257" s="4"/>
      <c r="AH257" s="4"/>
      <c r="AI257" s="4"/>
      <c r="AL257" s="4" t="str">
        <f t="shared" si="1"/>
        <v>Cluster 11</v>
      </c>
      <c r="AM257" s="4" t="str">
        <f t="shared" si="2"/>
        <v>MUSA KAUGAMA STREET</v>
      </c>
    </row>
    <row r="258">
      <c r="A258" s="3">
        <f>IFERROR(__xludf.DUMMYFUNCTION("""COMPUTED_VALUE"""),45871.27858280092)</f>
        <v>45871.27858</v>
      </c>
      <c r="B258" s="4" t="str">
        <f>IFERROR(__xludf.DUMMYFUNCTION("""COMPUTED_VALUE"""),"iahmadzakari@gmail.com")</f>
        <v>iahmadzakari@gmail.com</v>
      </c>
      <c r="C258" s="4" t="str">
        <f>IFERROR(__xludf.DUMMYFUNCTION("""COMPUTED_VALUE"""),"Sadiq Ilu")</f>
        <v>Sadiq Ilu</v>
      </c>
      <c r="D258" s="4" t="str">
        <f>IFERROR(__xludf.DUMMYFUNCTION("""COMPUTED_VALUE"""),"Cluster 11")</f>
        <v>Cluster 11</v>
      </c>
      <c r="E258" s="4"/>
      <c r="F258" s="4"/>
      <c r="G258" s="4"/>
      <c r="H258" s="4" t="str">
        <f>IFERROR(__xludf.DUMMYFUNCTION("""COMPUTED_VALUE"""),"MUSA KAUGAMA STREET")</f>
        <v>MUSA KAUGAMA STREET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 t="str">
        <f>IFERROR(__xludf.DUMMYFUNCTION("""COMPUTED_VALUE"""),"Point 1")</f>
        <v>Point 1</v>
      </c>
      <c r="AC258" s="4">
        <f>IFERROR(__xludf.DUMMYFUNCTION("""COMPUTED_VALUE"""),11.986733)</f>
        <v>11.986733</v>
      </c>
      <c r="AD258" s="4">
        <f>IFERROR(__xludf.DUMMYFUNCTION("""COMPUTED_VALUE"""),8.567846)</f>
        <v>8.567846</v>
      </c>
      <c r="AE258" s="5" t="str">
        <f>IFERROR(__xludf.DUMMYFUNCTION("""COMPUTED_VALUE"""),"https://drive.google.com/open?id=18Yfpp6ZPVW1aSqJOiWlV0lIei54v3loj")</f>
        <v>https://drive.google.com/open?id=18Yfpp6ZPVW1aSqJOiWlV0lIei54v3loj</v>
      </c>
      <c r="AF258" s="4"/>
      <c r="AG258" s="4"/>
      <c r="AH258" s="4"/>
      <c r="AI258" s="4"/>
      <c r="AL258" s="4" t="str">
        <f t="shared" si="1"/>
        <v>Cluster 11</v>
      </c>
      <c r="AM258" s="4" t="str">
        <f t="shared" si="2"/>
        <v>MUSA KAUGAMA STREET</v>
      </c>
    </row>
    <row r="259">
      <c r="A259" s="3">
        <f>IFERROR(__xludf.DUMMYFUNCTION("""COMPUTED_VALUE"""),45871.277795243055)</f>
        <v>45871.2778</v>
      </c>
      <c r="B259" s="4" t="str">
        <f>IFERROR(__xludf.DUMMYFUNCTION("""COMPUTED_VALUE"""),"iahmadzakari@gmail.com")</f>
        <v>iahmadzakari@gmail.com</v>
      </c>
      <c r="C259" s="4" t="str">
        <f>IFERROR(__xludf.DUMMYFUNCTION("""COMPUTED_VALUE"""),"Sadiq Ilu")</f>
        <v>Sadiq Ilu</v>
      </c>
      <c r="D259" s="4" t="str">
        <f>IFERROR(__xludf.DUMMYFUNCTION("""COMPUTED_VALUE"""),"Cluster 11")</f>
        <v>Cluster 11</v>
      </c>
      <c r="E259" s="4"/>
      <c r="F259" s="4"/>
      <c r="G259" s="4"/>
      <c r="H259" s="4" t="str">
        <f>IFERROR(__xludf.DUMMYFUNCTION("""COMPUTED_VALUE"""),"TRANSFORMER WAY")</f>
        <v>TRANSFORMER WAY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 t="str">
        <f>IFERROR(__xludf.DUMMYFUNCTION("""COMPUTED_VALUE"""),"Point 2")</f>
        <v>Point 2</v>
      </c>
      <c r="AC259" s="4">
        <f>IFERROR(__xludf.DUMMYFUNCTION("""COMPUTED_VALUE"""),11.985446)</f>
        <v>11.985446</v>
      </c>
      <c r="AD259" s="4">
        <f>IFERROR(__xludf.DUMMYFUNCTION("""COMPUTED_VALUE"""),8.569505)</f>
        <v>8.569505</v>
      </c>
      <c r="AE259" s="5" t="str">
        <f>IFERROR(__xludf.DUMMYFUNCTION("""COMPUTED_VALUE"""),"https://drive.google.com/open?id=1V-gh44Oc19zl8NpDtE-djEPbi1w3Ct-J")</f>
        <v>https://drive.google.com/open?id=1V-gh44Oc19zl8NpDtE-djEPbi1w3Ct-J</v>
      </c>
      <c r="AF259" s="4"/>
      <c r="AG259" s="4"/>
      <c r="AH259" s="4"/>
      <c r="AI259" s="4"/>
      <c r="AL259" s="4" t="str">
        <f t="shared" si="1"/>
        <v>Cluster 11</v>
      </c>
      <c r="AM259" s="4" t="str">
        <f t="shared" si="2"/>
        <v>TRANSFORMER WAY</v>
      </c>
    </row>
    <row r="260">
      <c r="A260" s="3">
        <f>IFERROR(__xludf.DUMMYFUNCTION("""COMPUTED_VALUE"""),45871.276511018514)</f>
        <v>45871.27651</v>
      </c>
      <c r="B260" s="4" t="str">
        <f>IFERROR(__xludf.DUMMYFUNCTION("""COMPUTED_VALUE"""),"iahmadzakari@gmail.com")</f>
        <v>iahmadzakari@gmail.com</v>
      </c>
      <c r="C260" s="4" t="str">
        <f>IFERROR(__xludf.DUMMYFUNCTION("""COMPUTED_VALUE"""),"Sadiq Ilu")</f>
        <v>Sadiq Ilu</v>
      </c>
      <c r="D260" s="4" t="str">
        <f>IFERROR(__xludf.DUMMYFUNCTION("""COMPUTED_VALUE"""),"Cluster 11")</f>
        <v>Cluster 11</v>
      </c>
      <c r="E260" s="4"/>
      <c r="F260" s="4"/>
      <c r="G260" s="4"/>
      <c r="H260" s="4" t="str">
        <f>IFERROR(__xludf.DUMMYFUNCTION("""COMPUTED_VALUE"""),"TRANSFORMER WAY")</f>
        <v>TRANSFORMER WAY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 t="str">
        <f>IFERROR(__xludf.DUMMYFUNCTION("""COMPUTED_VALUE"""),"Point 1")</f>
        <v>Point 1</v>
      </c>
      <c r="AC260" s="4">
        <f>IFERROR(__xludf.DUMMYFUNCTION("""COMPUTED_VALUE"""),11.985715)</f>
        <v>11.985715</v>
      </c>
      <c r="AD260" s="4">
        <f>IFERROR(__xludf.DUMMYFUNCTION("""COMPUTED_VALUE"""),8.573248)</f>
        <v>8.573248</v>
      </c>
      <c r="AE260" s="5" t="str">
        <f>IFERROR(__xludf.DUMMYFUNCTION("""COMPUTED_VALUE"""),"https://drive.google.com/open?id=1KIcBDWZ09mjjl1-x_oSpY9PfPEv_kYpO")</f>
        <v>https://drive.google.com/open?id=1KIcBDWZ09mjjl1-x_oSpY9PfPEv_kYpO</v>
      </c>
      <c r="AF260" s="4"/>
      <c r="AG260" s="4"/>
      <c r="AH260" s="4"/>
      <c r="AI260" s="4"/>
      <c r="AL260" s="4" t="str">
        <f t="shared" si="1"/>
        <v>Cluster 11</v>
      </c>
      <c r="AM260" s="4" t="str">
        <f t="shared" si="2"/>
        <v>TRANSFORMER WAY</v>
      </c>
    </row>
    <row r="261">
      <c r="A261" s="3">
        <f>IFERROR(__xludf.DUMMYFUNCTION("""COMPUTED_VALUE"""),45871.27305466435)</f>
        <v>45871.27305</v>
      </c>
      <c r="B261" s="4" t="str">
        <f>IFERROR(__xludf.DUMMYFUNCTION("""COMPUTED_VALUE"""),"iahmadzakari@gmail.com")</f>
        <v>iahmadzakari@gmail.com</v>
      </c>
      <c r="C261" s="4" t="str">
        <f>IFERROR(__xludf.DUMMYFUNCTION("""COMPUTED_VALUE"""),"Sadiq Ilu")</f>
        <v>Sadiq Ilu</v>
      </c>
      <c r="D261" s="4" t="str">
        <f>IFERROR(__xludf.DUMMYFUNCTION("""COMPUTED_VALUE"""),"Cluster 17")</f>
        <v>Cluster 17</v>
      </c>
      <c r="E261" s="4"/>
      <c r="F261" s="4"/>
      <c r="G261" s="4"/>
      <c r="H261" s="4"/>
      <c r="I261" s="4" t="str">
        <f>IFERROR(__xludf.DUMMYFUNCTION("""COMPUTED_VALUE"""),"AGWAGWA STREET")</f>
        <v>AGWAGWA STREET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 t="str">
        <f>IFERROR(__xludf.DUMMYFUNCTION("""COMPUTED_VALUE"""),"Point 2")</f>
        <v>Point 2</v>
      </c>
      <c r="AC261" s="4">
        <f>IFERROR(__xludf.DUMMYFUNCTION("""COMPUTED_VALUE"""),11.977971)</f>
        <v>11.977971</v>
      </c>
      <c r="AD261" s="4">
        <f>IFERROR(__xludf.DUMMYFUNCTION("""COMPUTED_VALUE"""),8.573153)</f>
        <v>8.573153</v>
      </c>
      <c r="AE261" s="5" t="str">
        <f>IFERROR(__xludf.DUMMYFUNCTION("""COMPUTED_VALUE"""),"https://drive.google.com/open?id=16kmEtyYH2rcVPP9vIQ8bUu7UwHbCechr")</f>
        <v>https://drive.google.com/open?id=16kmEtyYH2rcVPP9vIQ8bUu7UwHbCechr</v>
      </c>
      <c r="AF261" s="4"/>
      <c r="AG261" s="4"/>
      <c r="AH261" s="4"/>
      <c r="AI261" s="4"/>
      <c r="AL261" s="4" t="str">
        <f t="shared" si="1"/>
        <v>Cluster 17</v>
      </c>
      <c r="AM261" s="4" t="str">
        <f t="shared" si="2"/>
        <v>AGWAGWA STREET</v>
      </c>
    </row>
    <row r="262">
      <c r="A262" s="3">
        <f>IFERROR(__xludf.DUMMYFUNCTION("""COMPUTED_VALUE"""),45871.272154618055)</f>
        <v>45871.27215</v>
      </c>
      <c r="B262" s="4" t="str">
        <f>IFERROR(__xludf.DUMMYFUNCTION("""COMPUTED_VALUE"""),"iahmadzakari@gmail.com")</f>
        <v>iahmadzakari@gmail.com</v>
      </c>
      <c r="C262" s="4" t="str">
        <f>IFERROR(__xludf.DUMMYFUNCTION("""COMPUTED_VALUE"""),"Sadiq Ilu")</f>
        <v>Sadiq Ilu</v>
      </c>
      <c r="D262" s="4" t="str">
        <f>IFERROR(__xludf.DUMMYFUNCTION("""COMPUTED_VALUE"""),"Cluster 17")</f>
        <v>Cluster 17</v>
      </c>
      <c r="E262" s="4"/>
      <c r="F262" s="4"/>
      <c r="G262" s="4"/>
      <c r="H262" s="4"/>
      <c r="I262" s="4" t="str">
        <f>IFERROR(__xludf.DUMMYFUNCTION("""COMPUTED_VALUE"""),"AGWAGWA STREET")</f>
        <v>AGWAGWA STREET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 t="str">
        <f>IFERROR(__xludf.DUMMYFUNCTION("""COMPUTED_VALUE"""),"Point 1")</f>
        <v>Point 1</v>
      </c>
      <c r="AC262" s="4">
        <f>IFERROR(__xludf.DUMMYFUNCTION("""COMPUTED_VALUE"""),11.977547)</f>
        <v>11.977547</v>
      </c>
      <c r="AD262" s="4">
        <f>IFERROR(__xludf.DUMMYFUNCTION("""COMPUTED_VALUE"""),8.570744)</f>
        <v>8.570744</v>
      </c>
      <c r="AE262" s="5" t="str">
        <f>IFERROR(__xludf.DUMMYFUNCTION("""COMPUTED_VALUE"""),"https://drive.google.com/open?id=1VB0PbqdAZLsZjm3m7MgxHNskNXMKv867")</f>
        <v>https://drive.google.com/open?id=1VB0PbqdAZLsZjm3m7MgxHNskNXMKv867</v>
      </c>
      <c r="AF262" s="4"/>
      <c r="AG262" s="4"/>
      <c r="AH262" s="4"/>
      <c r="AI262" s="4"/>
      <c r="AL262" s="4" t="str">
        <f t="shared" si="1"/>
        <v>Cluster 17</v>
      </c>
      <c r="AM262" s="4" t="str">
        <f t="shared" si="2"/>
        <v>AGWAGWA STREET</v>
      </c>
    </row>
    <row r="263">
      <c r="A263" s="3">
        <f>IFERROR(__xludf.DUMMYFUNCTION("""COMPUTED_VALUE"""),45871.27093788194)</f>
        <v>45871.27094</v>
      </c>
      <c r="B263" s="4" t="str">
        <f>IFERROR(__xludf.DUMMYFUNCTION("""COMPUTED_VALUE"""),"iahmadzakari@gmail.com")</f>
        <v>iahmadzakari@gmail.com</v>
      </c>
      <c r="C263" s="4" t="str">
        <f>IFERROR(__xludf.DUMMYFUNCTION("""COMPUTED_VALUE"""),"Sadiq Ilu")</f>
        <v>Sadiq Ilu</v>
      </c>
      <c r="D263" s="4" t="str">
        <f>IFERROR(__xludf.DUMMYFUNCTION("""COMPUTED_VALUE"""),"Cluster 17")</f>
        <v>Cluster 17</v>
      </c>
      <c r="E263" s="4"/>
      <c r="F263" s="4"/>
      <c r="G263" s="4"/>
      <c r="H263" s="4"/>
      <c r="I263" s="4" t="str">
        <f>IFERROR(__xludf.DUMMYFUNCTION("""COMPUTED_VALUE"""),"DABINO AVENUE")</f>
        <v>DABINO AVENUE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 t="str">
        <f>IFERROR(__xludf.DUMMYFUNCTION("""COMPUTED_VALUE"""),"Point 2")</f>
        <v>Point 2</v>
      </c>
      <c r="AC263" s="4">
        <f>IFERROR(__xludf.DUMMYFUNCTION("""COMPUTED_VALUE"""),11.974726)</f>
        <v>11.974726</v>
      </c>
      <c r="AD263" s="4">
        <f>IFERROR(__xludf.DUMMYFUNCTION("""COMPUTED_VALUE"""),8.566192)</f>
        <v>8.566192</v>
      </c>
      <c r="AE263" s="5" t="str">
        <f>IFERROR(__xludf.DUMMYFUNCTION("""COMPUTED_VALUE"""),"https://drive.google.com/open?id=16LH_UHRqJCCBXWN4YmK6tIZzheQlAhI9")</f>
        <v>https://drive.google.com/open?id=16LH_UHRqJCCBXWN4YmK6tIZzheQlAhI9</v>
      </c>
      <c r="AF263" s="4"/>
      <c r="AG263" s="4"/>
      <c r="AH263" s="4"/>
      <c r="AI263" s="4"/>
      <c r="AL263" s="4" t="str">
        <f t="shared" si="1"/>
        <v>Cluster 17</v>
      </c>
      <c r="AM263" s="4" t="str">
        <f t="shared" si="2"/>
        <v>DABINO AVENUE</v>
      </c>
    </row>
    <row r="264">
      <c r="A264" s="3">
        <f>IFERROR(__xludf.DUMMYFUNCTION("""COMPUTED_VALUE"""),45871.27006574074)</f>
        <v>45871.27007</v>
      </c>
      <c r="B264" s="4" t="str">
        <f>IFERROR(__xludf.DUMMYFUNCTION("""COMPUTED_VALUE"""),"iahmadzakari@gmail.com")</f>
        <v>iahmadzakari@gmail.com</v>
      </c>
      <c r="C264" s="4" t="str">
        <f>IFERROR(__xludf.DUMMYFUNCTION("""COMPUTED_VALUE"""),"Sadiq Ilu")</f>
        <v>Sadiq Ilu</v>
      </c>
      <c r="D264" s="4" t="str">
        <f>IFERROR(__xludf.DUMMYFUNCTION("""COMPUTED_VALUE"""),"Cluster 17")</f>
        <v>Cluster 17</v>
      </c>
      <c r="E264" s="4"/>
      <c r="F264" s="4"/>
      <c r="G264" s="4"/>
      <c r="H264" s="4"/>
      <c r="I264" s="4" t="str">
        <f>IFERROR(__xludf.DUMMYFUNCTION("""COMPUTED_VALUE"""),"DABINO AVENUE")</f>
        <v>DABINO AVENUE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 t="str">
        <f>IFERROR(__xludf.DUMMYFUNCTION("""COMPUTED_VALUE"""),"Point 1")</f>
        <v>Point 1</v>
      </c>
      <c r="AC264" s="4">
        <f>IFERROR(__xludf.DUMMYFUNCTION("""COMPUTED_VALUE"""),11.975108)</f>
        <v>11.975108</v>
      </c>
      <c r="AD264" s="4">
        <f>IFERROR(__xludf.DUMMYFUNCTION("""COMPUTED_VALUE"""),8.568013)</f>
        <v>8.568013</v>
      </c>
      <c r="AE264" s="5" t="str">
        <f>IFERROR(__xludf.DUMMYFUNCTION("""COMPUTED_VALUE"""),"https://drive.google.com/open?id=15XhBwdTQ1_4LvMwNpXzMNnWDLwwXEJkO")</f>
        <v>https://drive.google.com/open?id=15XhBwdTQ1_4LvMwNpXzMNnWDLwwXEJkO</v>
      </c>
      <c r="AF264" s="4"/>
      <c r="AG264" s="4"/>
      <c r="AH264" s="4"/>
      <c r="AI264" s="4"/>
      <c r="AL264" s="4" t="str">
        <f t="shared" si="1"/>
        <v>Cluster 17</v>
      </c>
      <c r="AM264" s="4" t="str">
        <f t="shared" si="2"/>
        <v>DABINO AVENUE</v>
      </c>
    </row>
    <row r="265">
      <c r="A265" s="3">
        <f>IFERROR(__xludf.DUMMYFUNCTION("""COMPUTED_VALUE"""),45871.26922644676)</f>
        <v>45871.26923</v>
      </c>
      <c r="B265" s="4" t="str">
        <f>IFERROR(__xludf.DUMMYFUNCTION("""COMPUTED_VALUE"""),"iahmadzakari@gmail.com")</f>
        <v>iahmadzakari@gmail.com</v>
      </c>
      <c r="C265" s="4" t="str">
        <f>IFERROR(__xludf.DUMMYFUNCTION("""COMPUTED_VALUE"""),"Sadiq Ilu")</f>
        <v>Sadiq Ilu</v>
      </c>
      <c r="D265" s="4" t="str">
        <f>IFERROR(__xludf.DUMMYFUNCTION("""COMPUTED_VALUE"""),"Cluster 3")</f>
        <v>Cluster 3</v>
      </c>
      <c r="E265" s="4" t="str">
        <f>IFERROR(__xludf.DUMMYFUNCTION("""COMPUTED_VALUE"""),"GYADI - GYADI PRIMARY SCHOOL ROAD")</f>
        <v>GYADI - GYADI PRIMARY SCHOOL ROAD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 t="str">
        <f>IFERROR(__xludf.DUMMYFUNCTION("""COMPUTED_VALUE"""),"Point 2")</f>
        <v>Point 2</v>
      </c>
      <c r="AC265" s="4">
        <f>IFERROR(__xludf.DUMMYFUNCTION("""COMPUTED_VALUE"""),11.968189)</f>
        <v>11.968189</v>
      </c>
      <c r="AD265" s="4">
        <f>IFERROR(__xludf.DUMMYFUNCTION("""COMPUTED_VALUE"""),8.546528)</f>
        <v>8.546528</v>
      </c>
      <c r="AE265" s="5" t="str">
        <f>IFERROR(__xludf.DUMMYFUNCTION("""COMPUTED_VALUE"""),"https://drive.google.com/open?id=1Wvagt4ZDyLKZw3kFTGZdOU5pD42z-pac")</f>
        <v>https://drive.google.com/open?id=1Wvagt4ZDyLKZw3kFTGZdOU5pD42z-pac</v>
      </c>
      <c r="AF265" s="4"/>
      <c r="AG265" s="4"/>
      <c r="AH265" s="4"/>
      <c r="AI265" s="4"/>
      <c r="AL265" s="4" t="str">
        <f t="shared" si="1"/>
        <v>Cluster 3</v>
      </c>
      <c r="AM265" s="4" t="str">
        <f t="shared" si="2"/>
        <v>GYADI - GYADI PRIMARY SCHOOL ROAD</v>
      </c>
    </row>
    <row r="266">
      <c r="A266" s="3">
        <f>IFERROR(__xludf.DUMMYFUNCTION("""COMPUTED_VALUE"""),45871.26835716435)</f>
        <v>45871.26836</v>
      </c>
      <c r="B266" s="4" t="str">
        <f>IFERROR(__xludf.DUMMYFUNCTION("""COMPUTED_VALUE"""),"iahmadzakari@gmail.com")</f>
        <v>iahmadzakari@gmail.com</v>
      </c>
      <c r="C266" s="4" t="str">
        <f>IFERROR(__xludf.DUMMYFUNCTION("""COMPUTED_VALUE"""),"Sadiq Ilu")</f>
        <v>Sadiq Ilu</v>
      </c>
      <c r="D266" s="4" t="str">
        <f>IFERROR(__xludf.DUMMYFUNCTION("""COMPUTED_VALUE"""),"Cluster 3")</f>
        <v>Cluster 3</v>
      </c>
      <c r="E266" s="4" t="str">
        <f>IFERROR(__xludf.DUMMYFUNCTION("""COMPUTED_VALUE"""),"BALA MAMSA STREET")</f>
        <v>BALA MAMSA STREET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 t="str">
        <f>IFERROR(__xludf.DUMMYFUNCTION("""COMPUTED_VALUE"""),"Point 2")</f>
        <v>Point 2</v>
      </c>
      <c r="AC266" s="4">
        <f>IFERROR(__xludf.DUMMYFUNCTION("""COMPUTED_VALUE"""),11.966195)</f>
        <v>11.966195</v>
      </c>
      <c r="AD266" s="4">
        <f>IFERROR(__xludf.DUMMYFUNCTION("""COMPUTED_VALUE"""),8.545087)</f>
        <v>8.545087</v>
      </c>
      <c r="AE266" s="5" t="str">
        <f>IFERROR(__xludf.DUMMYFUNCTION("""COMPUTED_VALUE"""),"https://drive.google.com/open?id=144bELW0cSszhEUabwnjqepQYsrNlaNXv")</f>
        <v>https://drive.google.com/open?id=144bELW0cSszhEUabwnjqepQYsrNlaNXv</v>
      </c>
      <c r="AF266" s="4"/>
      <c r="AG266" s="4"/>
      <c r="AH266" s="4"/>
      <c r="AI266" s="4"/>
      <c r="AL266" s="4" t="str">
        <f t="shared" si="1"/>
        <v>Cluster 3</v>
      </c>
      <c r="AM266" s="4" t="str">
        <f t="shared" si="2"/>
        <v>BALA MAMSA STREET</v>
      </c>
    </row>
    <row r="267">
      <c r="A267" s="3">
        <f>IFERROR(__xludf.DUMMYFUNCTION("""COMPUTED_VALUE"""),45871.26758856481)</f>
        <v>45871.26759</v>
      </c>
      <c r="B267" s="4" t="str">
        <f>IFERROR(__xludf.DUMMYFUNCTION("""COMPUTED_VALUE"""),"iahmadzakari@gmail.com")</f>
        <v>iahmadzakari@gmail.com</v>
      </c>
      <c r="C267" s="4" t="str">
        <f>IFERROR(__xludf.DUMMYFUNCTION("""COMPUTED_VALUE"""),"Sadiq Ilu")</f>
        <v>Sadiq Ilu</v>
      </c>
      <c r="D267" s="4" t="str">
        <f>IFERROR(__xludf.DUMMYFUNCTION("""COMPUTED_VALUE"""),"Cluster 3")</f>
        <v>Cluster 3</v>
      </c>
      <c r="E267" s="4" t="str">
        <f>IFERROR(__xludf.DUMMYFUNCTION("""COMPUTED_VALUE"""),"ABDULLAHI KIRKI STREET")</f>
        <v>ABDULLAHI KIRKI STREET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 t="str">
        <f>IFERROR(__xludf.DUMMYFUNCTION("""COMPUTED_VALUE"""),"Point 2")</f>
        <v>Point 2</v>
      </c>
      <c r="AC267" s="4">
        <f>IFERROR(__xludf.DUMMYFUNCTION("""COMPUTED_VALUE"""),11.971279)</f>
        <v>11.971279</v>
      </c>
      <c r="AD267" s="4">
        <f>IFERROR(__xludf.DUMMYFUNCTION("""COMPUTED_VALUE"""),8.544397)</f>
        <v>8.544397</v>
      </c>
      <c r="AE267" s="5" t="str">
        <f>IFERROR(__xludf.DUMMYFUNCTION("""COMPUTED_VALUE"""),"https://drive.google.com/open?id=1cIpNyZ-rgMOF_aMa73S0jZaxLYkEfG9l")</f>
        <v>https://drive.google.com/open?id=1cIpNyZ-rgMOF_aMa73S0jZaxLYkEfG9l</v>
      </c>
      <c r="AF267" s="4"/>
      <c r="AG267" s="4"/>
      <c r="AH267" s="4"/>
      <c r="AI267" s="4"/>
      <c r="AL267" s="4" t="str">
        <f t="shared" si="1"/>
        <v>Cluster 3</v>
      </c>
      <c r="AM267" s="4" t="str">
        <f t="shared" si="2"/>
        <v>ABDULLAHI KIRKI STREET</v>
      </c>
    </row>
    <row r="268">
      <c r="A268" s="3">
        <f>IFERROR(__xludf.DUMMYFUNCTION("""COMPUTED_VALUE"""),45871.26671818287)</f>
        <v>45871.26672</v>
      </c>
      <c r="B268" s="4" t="str">
        <f>IFERROR(__xludf.DUMMYFUNCTION("""COMPUTED_VALUE"""),"iahmadzakari@gmail.com")</f>
        <v>iahmadzakari@gmail.com</v>
      </c>
      <c r="C268" s="4" t="str">
        <f>IFERROR(__xludf.DUMMYFUNCTION("""COMPUTED_VALUE"""),"Sadiq Ilu")</f>
        <v>Sadiq Ilu</v>
      </c>
      <c r="D268" s="4" t="str">
        <f>IFERROR(__xludf.DUMMYFUNCTION("""COMPUTED_VALUE"""),"Cluster 3")</f>
        <v>Cluster 3</v>
      </c>
      <c r="E268" s="4" t="str">
        <f>IFERROR(__xludf.DUMMYFUNCTION("""COMPUTED_VALUE"""),"ABDULLAHI KIRKI STREET")</f>
        <v>ABDULLAHI KIRKI STREET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 t="str">
        <f>IFERROR(__xludf.DUMMYFUNCTION("""COMPUTED_VALUE"""),"Point 1")</f>
        <v>Point 1</v>
      </c>
      <c r="AC268" s="4">
        <f>IFERROR(__xludf.DUMMYFUNCTION("""COMPUTED_VALUE"""),11.970105)</f>
        <v>11.970105</v>
      </c>
      <c r="AD268" s="4">
        <f>IFERROR(__xludf.DUMMYFUNCTION("""COMPUTED_VALUE"""),8.544653)</f>
        <v>8.544653</v>
      </c>
      <c r="AE268" s="5" t="str">
        <f>IFERROR(__xludf.DUMMYFUNCTION("""COMPUTED_VALUE"""),"https://drive.google.com/open?id=10TCtDooGzJkY6XRLHH2SvH7ht6sAeOOr")</f>
        <v>https://drive.google.com/open?id=10TCtDooGzJkY6XRLHH2SvH7ht6sAeOOr</v>
      </c>
      <c r="AF268" s="4"/>
      <c r="AG268" s="4"/>
      <c r="AH268" s="4"/>
      <c r="AI268" s="4"/>
      <c r="AL268" s="4" t="str">
        <f t="shared" si="1"/>
        <v>Cluster 3</v>
      </c>
      <c r="AM268" s="4" t="str">
        <f t="shared" si="2"/>
        <v>ABDULLAHI KIRKI STREET</v>
      </c>
    </row>
    <row r="269">
      <c r="A269" s="3">
        <f>IFERROR(__xludf.DUMMYFUNCTION("""COMPUTED_VALUE"""),45871.2658129051)</f>
        <v>45871.26581</v>
      </c>
      <c r="B269" s="4" t="str">
        <f>IFERROR(__xludf.DUMMYFUNCTION("""COMPUTED_VALUE"""),"iahmadzakari@gmail.com")</f>
        <v>iahmadzakari@gmail.com</v>
      </c>
      <c r="C269" s="4" t="str">
        <f>IFERROR(__xludf.DUMMYFUNCTION("""COMPUTED_VALUE"""),"Sadiq Ilu")</f>
        <v>Sadiq Ilu</v>
      </c>
      <c r="D269" s="4" t="str">
        <f>IFERROR(__xludf.DUMMYFUNCTION("""COMPUTED_VALUE"""),"Cluster 3")</f>
        <v>Cluster 3</v>
      </c>
      <c r="E269" s="4" t="str">
        <f>IFERROR(__xludf.DUMMYFUNCTION("""COMPUTED_VALUE"""),"GUDA ABDULLAHI ROAD")</f>
        <v>GUDA ABDULLAHI ROAD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 t="str">
        <f>IFERROR(__xludf.DUMMYFUNCTION("""COMPUTED_VALUE"""),"Point 2")</f>
        <v>Point 2</v>
      </c>
      <c r="AC269" s="4">
        <f>IFERROR(__xludf.DUMMYFUNCTION("""COMPUTED_VALUE"""),11.976915)</f>
        <v>11.976915</v>
      </c>
      <c r="AD269" s="4">
        <f>IFERROR(__xludf.DUMMYFUNCTION("""COMPUTED_VALUE"""),8.543235)</f>
        <v>8.543235</v>
      </c>
      <c r="AE269" s="5" t="str">
        <f>IFERROR(__xludf.DUMMYFUNCTION("""COMPUTED_VALUE"""),"https://drive.google.com/open?id=1FYPfEgu9lqOQg93NYyA8nTvXmcV7CQBL")</f>
        <v>https://drive.google.com/open?id=1FYPfEgu9lqOQg93NYyA8nTvXmcV7CQBL</v>
      </c>
      <c r="AF269" s="4"/>
      <c r="AG269" s="4"/>
      <c r="AH269" s="4"/>
      <c r="AI269" s="4"/>
      <c r="AL269" s="4" t="str">
        <f t="shared" si="1"/>
        <v>Cluster 3</v>
      </c>
      <c r="AM269" s="4" t="str">
        <f t="shared" si="2"/>
        <v>GUDA ABDULLAHI ROAD</v>
      </c>
    </row>
    <row r="270">
      <c r="A270" s="3">
        <f>IFERROR(__xludf.DUMMYFUNCTION("""COMPUTED_VALUE"""),45871.26475994213)</f>
        <v>45871.26476</v>
      </c>
      <c r="B270" s="4" t="str">
        <f>IFERROR(__xludf.DUMMYFUNCTION("""COMPUTED_VALUE"""),"iahmadzakari@gmail.com")</f>
        <v>iahmadzakari@gmail.com</v>
      </c>
      <c r="C270" s="4" t="str">
        <f>IFERROR(__xludf.DUMMYFUNCTION("""COMPUTED_VALUE"""),"Sadiq Ilu")</f>
        <v>Sadiq Ilu</v>
      </c>
      <c r="D270" s="4" t="str">
        <f>IFERROR(__xludf.DUMMYFUNCTION("""COMPUTED_VALUE"""),"Cluster 8")</f>
        <v>Cluster 8</v>
      </c>
      <c r="E270" s="4"/>
      <c r="F270" s="4"/>
      <c r="G270" s="4" t="str">
        <f>IFERROR(__xludf.DUMMYFUNCTION("""COMPUTED_VALUE"""),"ADAMU DAN KABO CLOSE")</f>
        <v>ADAMU DAN KABO CLOSE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 t="str">
        <f>IFERROR(__xludf.DUMMYFUNCTION("""COMPUTED_VALUE"""),"Point 1")</f>
        <v>Point 1</v>
      </c>
      <c r="AC270" s="4">
        <f>IFERROR(__xludf.DUMMYFUNCTION("""COMPUTED_VALUE"""),12.000852)</f>
        <v>12.000852</v>
      </c>
      <c r="AD270" s="4">
        <f>IFERROR(__xludf.DUMMYFUNCTION("""COMPUTED_VALUE"""),8.556988)</f>
        <v>8.556988</v>
      </c>
      <c r="AE270" s="5" t="str">
        <f>IFERROR(__xludf.DUMMYFUNCTION("""COMPUTED_VALUE"""),"https://drive.google.com/open?id=1FtE2lrPNMEFWPzeU9QyujzMYy5hVwTzu")</f>
        <v>https://drive.google.com/open?id=1FtE2lrPNMEFWPzeU9QyujzMYy5hVwTzu</v>
      </c>
      <c r="AF270" s="4"/>
      <c r="AG270" s="4"/>
      <c r="AH270" s="4"/>
      <c r="AI270" s="4"/>
      <c r="AL270" s="4" t="str">
        <f t="shared" si="1"/>
        <v>Cluster 8</v>
      </c>
      <c r="AM270" s="4" t="str">
        <f t="shared" si="2"/>
        <v>ADAMU DAN KABO CLOSE</v>
      </c>
    </row>
    <row r="271">
      <c r="A271" s="3">
        <f>IFERROR(__xludf.DUMMYFUNCTION("""COMPUTED_VALUE"""),45871.263751562496)</f>
        <v>45871.26375</v>
      </c>
      <c r="B271" s="4" t="str">
        <f>IFERROR(__xludf.DUMMYFUNCTION("""COMPUTED_VALUE"""),"iahmadzakari@gmail.com")</f>
        <v>iahmadzakari@gmail.com</v>
      </c>
      <c r="C271" s="4" t="str">
        <f>IFERROR(__xludf.DUMMYFUNCTION("""COMPUTED_VALUE"""),"Sadiq Ilu")</f>
        <v>Sadiq Ilu</v>
      </c>
      <c r="D271" s="4" t="str">
        <f>IFERROR(__xludf.DUMMYFUNCTION("""COMPUTED_VALUE"""),"Cluster 8")</f>
        <v>Cluster 8</v>
      </c>
      <c r="E271" s="4"/>
      <c r="F271" s="4"/>
      <c r="G271" s="4" t="str">
        <f>IFERROR(__xludf.DUMMYFUNCTION("""COMPUTED_VALUE"""),"BICHI CLOSE")</f>
        <v>BICHI CLOSE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 t="str">
        <f>IFERROR(__xludf.DUMMYFUNCTION("""COMPUTED_VALUE"""),"Point 1")</f>
        <v>Point 1</v>
      </c>
      <c r="AC271" s="4">
        <f>IFERROR(__xludf.DUMMYFUNCTION("""COMPUTED_VALUE"""),12.006174)</f>
        <v>12.006174</v>
      </c>
      <c r="AD271" s="4">
        <f>IFERROR(__xludf.DUMMYFUNCTION("""COMPUTED_VALUE"""),8.55986)</f>
        <v>8.55986</v>
      </c>
      <c r="AE271" s="5" t="str">
        <f>IFERROR(__xludf.DUMMYFUNCTION("""COMPUTED_VALUE"""),"https://drive.google.com/open?id=1VnkcsqAthotln97-IbW83FwA6dL4T5VX")</f>
        <v>https://drive.google.com/open?id=1VnkcsqAthotln97-IbW83FwA6dL4T5VX</v>
      </c>
      <c r="AF271" s="4"/>
      <c r="AG271" s="4"/>
      <c r="AH271" s="4"/>
      <c r="AI271" s="4"/>
      <c r="AL271" s="4" t="str">
        <f t="shared" si="1"/>
        <v>Cluster 8</v>
      </c>
      <c r="AM271" s="4" t="str">
        <f t="shared" si="2"/>
        <v>BICHI CLOSE</v>
      </c>
    </row>
    <row r="272">
      <c r="A272" s="3">
        <f>IFERROR(__xludf.DUMMYFUNCTION("""COMPUTED_VALUE"""),45871.26299422454)</f>
        <v>45871.26299</v>
      </c>
      <c r="B272" s="4" t="str">
        <f>IFERROR(__xludf.DUMMYFUNCTION("""COMPUTED_VALUE"""),"iahmadzakari@gmail.com")</f>
        <v>iahmadzakari@gmail.com</v>
      </c>
      <c r="C272" s="4" t="str">
        <f>IFERROR(__xludf.DUMMYFUNCTION("""COMPUTED_VALUE"""),"Sadiq Ilu")</f>
        <v>Sadiq Ilu</v>
      </c>
      <c r="D272" s="4" t="str">
        <f>IFERROR(__xludf.DUMMYFUNCTION("""COMPUTED_VALUE"""),"Cluster 8")</f>
        <v>Cluster 8</v>
      </c>
      <c r="E272" s="4"/>
      <c r="F272" s="4"/>
      <c r="G272" s="4" t="str">
        <f>IFERROR(__xludf.DUMMYFUNCTION("""COMPUTED_VALUE"""),"COMMANDANT CLOSE")</f>
        <v>COMMANDANT CLOSE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 t="str">
        <f>IFERROR(__xludf.DUMMYFUNCTION("""COMPUTED_VALUE"""),"Point 1")</f>
        <v>Point 1</v>
      </c>
      <c r="AC272" s="4">
        <f>IFERROR(__xludf.DUMMYFUNCTION("""COMPUTED_VALUE"""),12.003325)</f>
        <v>12.003325</v>
      </c>
      <c r="AD272" s="4">
        <f>IFERROR(__xludf.DUMMYFUNCTION("""COMPUTED_VALUE"""),8.554214)</f>
        <v>8.554214</v>
      </c>
      <c r="AE272" s="5" t="str">
        <f>IFERROR(__xludf.DUMMYFUNCTION("""COMPUTED_VALUE"""),"https://drive.google.com/open?id=1yYZuJYTj5uDSdh2seVd2penV_ShbU6ow")</f>
        <v>https://drive.google.com/open?id=1yYZuJYTj5uDSdh2seVd2penV_ShbU6ow</v>
      </c>
      <c r="AF272" s="4"/>
      <c r="AG272" s="4"/>
      <c r="AH272" s="4"/>
      <c r="AI272" s="4"/>
      <c r="AL272" s="4" t="str">
        <f t="shared" si="1"/>
        <v>Cluster 8</v>
      </c>
      <c r="AM272" s="4" t="str">
        <f t="shared" si="2"/>
        <v>COMMANDANT CLOSE</v>
      </c>
    </row>
    <row r="273">
      <c r="A273" s="3">
        <f>IFERROR(__xludf.DUMMYFUNCTION("""COMPUTED_VALUE"""),45871.26223611111)</f>
        <v>45871.26224</v>
      </c>
      <c r="B273" s="4" t="str">
        <f>IFERROR(__xludf.DUMMYFUNCTION("""COMPUTED_VALUE"""),"iahmadzakari@gmail.com")</f>
        <v>iahmadzakari@gmail.com</v>
      </c>
      <c r="C273" s="4" t="str">
        <f>IFERROR(__xludf.DUMMYFUNCTION("""COMPUTED_VALUE"""),"Sadiq Ilu")</f>
        <v>Sadiq Ilu</v>
      </c>
      <c r="D273" s="4" t="str">
        <f>IFERROR(__xludf.DUMMYFUNCTION("""COMPUTED_VALUE"""),"Cluster 8")</f>
        <v>Cluster 8</v>
      </c>
      <c r="E273" s="4"/>
      <c r="F273" s="4"/>
      <c r="G273" s="4" t="str">
        <f>IFERROR(__xludf.DUMMYFUNCTION("""COMPUTED_VALUE"""),"MYONGU ROAD")</f>
        <v>MYONGU ROAD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 t="str">
        <f>IFERROR(__xludf.DUMMYFUNCTION("""COMPUTED_VALUE"""),"Point 2")</f>
        <v>Point 2</v>
      </c>
      <c r="AC273" s="4">
        <f>IFERROR(__xludf.DUMMYFUNCTION("""COMPUTED_VALUE"""),12.003759)</f>
        <v>12.003759</v>
      </c>
      <c r="AD273" s="4">
        <f>IFERROR(__xludf.DUMMYFUNCTION("""COMPUTED_VALUE"""),8.554211)</f>
        <v>8.554211</v>
      </c>
      <c r="AE273" s="5" t="str">
        <f>IFERROR(__xludf.DUMMYFUNCTION("""COMPUTED_VALUE"""),"https://drive.google.com/open?id=1AlFLj66qIZA-jqTBwudvISMIXDO_RSeS")</f>
        <v>https://drive.google.com/open?id=1AlFLj66qIZA-jqTBwudvISMIXDO_RSeS</v>
      </c>
      <c r="AF273" s="4"/>
      <c r="AG273" s="4"/>
      <c r="AH273" s="4"/>
      <c r="AI273" s="4"/>
      <c r="AL273" s="4" t="str">
        <f t="shared" si="1"/>
        <v>Cluster 8</v>
      </c>
      <c r="AM273" s="4" t="str">
        <f t="shared" si="2"/>
        <v>MYONGU ROAD</v>
      </c>
    </row>
    <row r="274">
      <c r="A274" s="3">
        <f>IFERROR(__xludf.DUMMYFUNCTION("""COMPUTED_VALUE"""),45871.261255289355)</f>
        <v>45871.26126</v>
      </c>
      <c r="B274" s="4" t="str">
        <f>IFERROR(__xludf.DUMMYFUNCTION("""COMPUTED_VALUE"""),"iahmadzakari@gmail.com")</f>
        <v>iahmadzakari@gmail.com</v>
      </c>
      <c r="C274" s="4" t="str">
        <f>IFERROR(__xludf.DUMMYFUNCTION("""COMPUTED_VALUE"""),"Sadiq Ilu")</f>
        <v>Sadiq Ilu</v>
      </c>
      <c r="D274" s="4" t="str">
        <f>IFERROR(__xludf.DUMMYFUNCTION("""COMPUTED_VALUE"""),"Cluster 8")</f>
        <v>Cluster 8</v>
      </c>
      <c r="E274" s="4"/>
      <c r="F274" s="4"/>
      <c r="G274" s="4" t="str">
        <f>IFERROR(__xludf.DUMMYFUNCTION("""COMPUTED_VALUE"""),"MYONGU ROAD")</f>
        <v>MYONGU ROAD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 t="str">
        <f>IFERROR(__xludf.DUMMYFUNCTION("""COMPUTED_VALUE"""),"Point 1")</f>
        <v>Point 1</v>
      </c>
      <c r="AC274" s="4">
        <f>IFERROR(__xludf.DUMMYFUNCTION("""COMPUTED_VALUE"""),12.002765)</f>
        <v>12.002765</v>
      </c>
      <c r="AD274" s="4">
        <f>IFERROR(__xludf.DUMMYFUNCTION("""COMPUTED_VALUE"""),8.54325)</f>
        <v>8.54325</v>
      </c>
      <c r="AE274" s="5" t="str">
        <f>IFERROR(__xludf.DUMMYFUNCTION("""COMPUTED_VALUE"""),"https://drive.google.com/open?id=1ivTlvs4qDTSsVKlhnEP4QVPL7ilFphpy")</f>
        <v>https://drive.google.com/open?id=1ivTlvs4qDTSsVKlhnEP4QVPL7ilFphpy</v>
      </c>
      <c r="AF274" s="4"/>
      <c r="AG274" s="4"/>
      <c r="AH274" s="4"/>
      <c r="AI274" s="4"/>
      <c r="AL274" s="4" t="str">
        <f t="shared" si="1"/>
        <v>Cluster 8</v>
      </c>
      <c r="AM274" s="4" t="str">
        <f t="shared" si="2"/>
        <v>MYONGU ROAD</v>
      </c>
    </row>
    <row r="275">
      <c r="A275" s="3">
        <f>IFERROR(__xludf.DUMMYFUNCTION("""COMPUTED_VALUE"""),45871.25836707176)</f>
        <v>45871.25837</v>
      </c>
      <c r="B275" s="4" t="str">
        <f>IFERROR(__xludf.DUMMYFUNCTION("""COMPUTED_VALUE"""),"iahmadzakari@gmail.com")</f>
        <v>iahmadzakari@gmail.com</v>
      </c>
      <c r="C275" s="4" t="str">
        <f>IFERROR(__xludf.DUMMYFUNCTION("""COMPUTED_VALUE"""),"Sadiq Ilu")</f>
        <v>Sadiq Ilu</v>
      </c>
      <c r="D275" s="4" t="str">
        <f>IFERROR(__xludf.DUMMYFUNCTION("""COMPUTED_VALUE"""),"Cluster 17")</f>
        <v>Cluster 17</v>
      </c>
      <c r="E275" s="4"/>
      <c r="F275" s="4"/>
      <c r="G275" s="4"/>
      <c r="H275" s="4"/>
      <c r="I275" s="4" t="str">
        <f>IFERROR(__xludf.DUMMYFUNCTION("""COMPUTED_VALUE"""),"YUSUF MAITAMA SULE AVENUE")</f>
        <v>YUSUF MAITAMA SULE AVENUE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 t="str">
        <f>IFERROR(__xludf.DUMMYFUNCTION("""COMPUTED_VALUE"""),"Point 2")</f>
        <v>Point 2</v>
      </c>
      <c r="AC275" s="4">
        <f>IFERROR(__xludf.DUMMYFUNCTION("""COMPUTED_VALUE"""),11.992206)</f>
        <v>11.992206</v>
      </c>
      <c r="AD275" s="4">
        <f>IFERROR(__xludf.DUMMYFUNCTION("""COMPUTED_VALUE"""),8.55006)</f>
        <v>8.55006</v>
      </c>
      <c r="AE275" s="5" t="str">
        <f>IFERROR(__xludf.DUMMYFUNCTION("""COMPUTED_VALUE"""),"https://drive.google.com/open?id=1LHgn2oV8lpxRHsV4zvvQeS38dJ_hFRWK")</f>
        <v>https://drive.google.com/open?id=1LHgn2oV8lpxRHsV4zvvQeS38dJ_hFRWK</v>
      </c>
      <c r="AF275" s="4"/>
      <c r="AG275" s="4"/>
      <c r="AH275" s="4"/>
      <c r="AI275" s="4"/>
      <c r="AL275" s="4" t="str">
        <f t="shared" si="1"/>
        <v>Cluster 17</v>
      </c>
      <c r="AM275" s="4" t="str">
        <f t="shared" si="2"/>
        <v>YUSUF MAITAMA SULE AVENUE</v>
      </c>
    </row>
    <row r="276">
      <c r="A276" s="3">
        <f>IFERROR(__xludf.DUMMYFUNCTION("""COMPUTED_VALUE"""),45871.257366122685)</f>
        <v>45871.25737</v>
      </c>
      <c r="B276" s="4" t="str">
        <f>IFERROR(__xludf.DUMMYFUNCTION("""COMPUTED_VALUE"""),"iahmadzakari@gmail.com")</f>
        <v>iahmadzakari@gmail.com</v>
      </c>
      <c r="C276" s="4" t="str">
        <f>IFERROR(__xludf.DUMMYFUNCTION("""COMPUTED_VALUE"""),"Sadiq Ilu")</f>
        <v>Sadiq Ilu</v>
      </c>
      <c r="D276" s="4" t="str">
        <f>IFERROR(__xludf.DUMMYFUNCTION("""COMPUTED_VALUE"""),"Cluster 17")</f>
        <v>Cluster 17</v>
      </c>
      <c r="E276" s="4"/>
      <c r="F276" s="4"/>
      <c r="G276" s="4"/>
      <c r="H276" s="4"/>
      <c r="I276" s="4" t="str">
        <f>IFERROR(__xludf.DUMMYFUNCTION("""COMPUTED_VALUE"""),"YUSUF MAITAMA SULE AVENUE")</f>
        <v>YUSUF MAITAMA SULE AVENUE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 t="str">
        <f>IFERROR(__xludf.DUMMYFUNCTION("""COMPUTED_VALUE"""),"Point 1")</f>
        <v>Point 1</v>
      </c>
      <c r="AC276" s="4">
        <f>IFERROR(__xludf.DUMMYFUNCTION("""COMPUTED_VALUE"""),11.990885)</f>
        <v>11.990885</v>
      </c>
      <c r="AD276" s="4">
        <f>IFERROR(__xludf.DUMMYFUNCTION("""COMPUTED_VALUE"""),8.555753)</f>
        <v>8.555753</v>
      </c>
      <c r="AE276" s="5" t="str">
        <f>IFERROR(__xludf.DUMMYFUNCTION("""COMPUTED_VALUE"""),"https://drive.google.com/open?id=1y_Q76yYB9XMZuwLAoN4mQSu7MQ4uPVbx")</f>
        <v>https://drive.google.com/open?id=1y_Q76yYB9XMZuwLAoN4mQSu7MQ4uPVbx</v>
      </c>
      <c r="AF276" s="4"/>
      <c r="AG276" s="4"/>
      <c r="AH276" s="4"/>
      <c r="AI276" s="4"/>
      <c r="AL276" s="4" t="str">
        <f t="shared" si="1"/>
        <v>Cluster 17</v>
      </c>
      <c r="AM276" s="4" t="str">
        <f t="shared" si="2"/>
        <v>YUSUF MAITAMA SULE AVENUE</v>
      </c>
    </row>
    <row r="277">
      <c r="A277" s="3">
        <f>IFERROR(__xludf.DUMMYFUNCTION("""COMPUTED_VALUE"""),45870.47284207176)</f>
        <v>45870.47284</v>
      </c>
      <c r="B277" s="4" t="str">
        <f>IFERROR(__xludf.DUMMYFUNCTION("""COMPUTED_VALUE"""),"elhabs256@gmail.com")</f>
        <v>elhabs256@gmail.com</v>
      </c>
      <c r="C277" s="4" t="str">
        <f>IFERROR(__xludf.DUMMYFUNCTION("""COMPUTED_VALUE"""),"Abdullahi Elhabeeb")</f>
        <v>Abdullahi Elhabeeb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tr">
        <f>IFERROR(__xludf.DUMMYFUNCTION("""COMPUTED_VALUE"""),"Cluster 6")</f>
        <v>Cluster 6</v>
      </c>
      <c r="Q277" s="4" t="str">
        <f>IFERROR(__xludf.DUMMYFUNCTION("""COMPUTED_VALUE"""),"LAYIN GWAN GWAN STREET")</f>
        <v>LAYIN GWAN GWAN STREET</v>
      </c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 t="str">
        <f>IFERROR(__xludf.DUMMYFUNCTION("""COMPUTED_VALUE"""),"Point 2")</f>
        <v>Point 2</v>
      </c>
      <c r="AC277" s="4">
        <f>IFERROR(__xludf.DUMMYFUNCTION("""COMPUTED_VALUE"""),11.976931)</f>
        <v>11.976931</v>
      </c>
      <c r="AD277" s="4">
        <f>IFERROR(__xludf.DUMMYFUNCTION("""COMPUTED_VALUE"""),8.558882)</f>
        <v>8.558882</v>
      </c>
      <c r="AE277" s="5" t="str">
        <f>IFERROR(__xludf.DUMMYFUNCTION("""COMPUTED_VALUE"""),"https://drive.google.com/open?id=1V5qg9_0arD8UQzYolLGQ7b-Qer1twRp_")</f>
        <v>https://drive.google.com/open?id=1V5qg9_0arD8UQzYolLGQ7b-Qer1twRp_</v>
      </c>
      <c r="AF277" s="4"/>
      <c r="AG277" s="4"/>
      <c r="AH277" s="4"/>
      <c r="AI277" s="4"/>
      <c r="AL277" s="4" t="str">
        <f t="shared" si="1"/>
        <v>Cluster 6</v>
      </c>
      <c r="AM277" s="4" t="str">
        <f t="shared" si="2"/>
        <v>LAYIN GWAN GWAN STREET</v>
      </c>
    </row>
    <row r="278">
      <c r="A278" s="3">
        <f>IFERROR(__xludf.DUMMYFUNCTION("""COMPUTED_VALUE"""),45870.46504115741)</f>
        <v>45870.46504</v>
      </c>
      <c r="B278" s="4" t="str">
        <f>IFERROR(__xludf.DUMMYFUNCTION("""COMPUTED_VALUE"""),"elhabs256@gmail.com")</f>
        <v>elhabs256@gmail.com</v>
      </c>
      <c r="C278" s="4" t="str">
        <f>IFERROR(__xludf.DUMMYFUNCTION("""COMPUTED_VALUE"""),"Abdullahi Elhabeeb")</f>
        <v>Abdullahi Elhabeeb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tr">
        <f>IFERROR(__xludf.DUMMYFUNCTION("""COMPUTED_VALUE"""),"Cluster 6")</f>
        <v>Cluster 6</v>
      </c>
      <c r="Q278" s="4" t="str">
        <f>IFERROR(__xludf.DUMMYFUNCTION("""COMPUTED_VALUE"""),"LAYIN GWAN GWAN STREET")</f>
        <v>LAYIN GWAN GWAN STREET</v>
      </c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 t="str">
        <f>IFERROR(__xludf.DUMMYFUNCTION("""COMPUTED_VALUE"""),"Point 1")</f>
        <v>Point 1</v>
      </c>
      <c r="AC278" s="4">
        <f>IFERROR(__xludf.DUMMYFUNCTION("""COMPUTED_VALUE"""),11.97529)</f>
        <v>11.97529</v>
      </c>
      <c r="AD278" s="4">
        <f>IFERROR(__xludf.DUMMYFUNCTION("""COMPUTED_VALUE"""),8.558121)</f>
        <v>8.558121</v>
      </c>
      <c r="AE278" s="5" t="str">
        <f>IFERROR(__xludf.DUMMYFUNCTION("""COMPUTED_VALUE"""),"https://drive.google.com/open?id=185ffvd4V9WCmDQ19zScKtiye3GyhQNNK")</f>
        <v>https://drive.google.com/open?id=185ffvd4V9WCmDQ19zScKtiye3GyhQNNK</v>
      </c>
      <c r="AF278" s="4"/>
      <c r="AG278" s="4"/>
      <c r="AH278" s="4"/>
      <c r="AI278" s="4"/>
      <c r="AL278" s="4" t="str">
        <f t="shared" si="1"/>
        <v>Cluster 6</v>
      </c>
      <c r="AM278" s="4" t="str">
        <f t="shared" si="2"/>
        <v>LAYIN GWAN GWAN STREET</v>
      </c>
    </row>
    <row r="279">
      <c r="A279" s="3">
        <f>IFERROR(__xludf.DUMMYFUNCTION("""COMPUTED_VALUE"""),45870.462976145835)</f>
        <v>45870.46298</v>
      </c>
      <c r="B279" s="4" t="str">
        <f>IFERROR(__xludf.DUMMYFUNCTION("""COMPUTED_VALUE"""),"elhabs256@gmail.com")</f>
        <v>elhabs256@gmail.com</v>
      </c>
      <c r="C279" s="4" t="str">
        <f>IFERROR(__xludf.DUMMYFUNCTION("""COMPUTED_VALUE"""),"Abdullahi Elhabeeb")</f>
        <v>Abdullahi Elhabeeb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tr">
        <f>IFERROR(__xludf.DUMMYFUNCTION("""COMPUTED_VALUE"""),"Cluster 6")</f>
        <v>Cluster 6</v>
      </c>
      <c r="Q279" s="4" t="str">
        <f>IFERROR(__xludf.DUMMYFUNCTION("""COMPUTED_VALUE"""),"LAUTAI ROAD")</f>
        <v>LAUTAI ROAD</v>
      </c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 t="str">
        <f>IFERROR(__xludf.DUMMYFUNCTION("""COMPUTED_VALUE"""),"Point 2")</f>
        <v>Point 2</v>
      </c>
      <c r="AC279" s="4">
        <f>IFERROR(__xludf.DUMMYFUNCTION("""COMPUTED_VALUE"""),11.962784)</f>
        <v>11.962784</v>
      </c>
      <c r="AD279" s="4">
        <f>IFERROR(__xludf.DUMMYFUNCTION("""COMPUTED_VALUE"""),8.534278)</f>
        <v>8.534278</v>
      </c>
      <c r="AE279" s="5" t="str">
        <f>IFERROR(__xludf.DUMMYFUNCTION("""COMPUTED_VALUE"""),"https://drive.google.com/open?id=12Lf6wkEaro_VZ6Lckfdr7Xkjk4X7qjk0")</f>
        <v>https://drive.google.com/open?id=12Lf6wkEaro_VZ6Lckfdr7Xkjk4X7qjk0</v>
      </c>
      <c r="AF279" s="4"/>
      <c r="AG279" s="4"/>
      <c r="AH279" s="4"/>
      <c r="AI279" s="4"/>
      <c r="AL279" s="4" t="str">
        <f t="shared" si="1"/>
        <v>Cluster 6</v>
      </c>
      <c r="AM279" s="4" t="str">
        <f t="shared" si="2"/>
        <v>LAUTAI ROAD</v>
      </c>
    </row>
    <row r="280">
      <c r="A280" s="3">
        <f>IFERROR(__xludf.DUMMYFUNCTION("""COMPUTED_VALUE"""),45870.46136099537)</f>
        <v>45870.46136</v>
      </c>
      <c r="B280" s="4" t="str">
        <f>IFERROR(__xludf.DUMMYFUNCTION("""COMPUTED_VALUE"""),"elhabs256@gmail.com")</f>
        <v>elhabs256@gmail.com</v>
      </c>
      <c r="C280" s="4" t="str">
        <f>IFERROR(__xludf.DUMMYFUNCTION("""COMPUTED_VALUE"""),"Abdullahi Elhabeeb")</f>
        <v>Abdullahi Elhabeeb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tr">
        <f>IFERROR(__xludf.DUMMYFUNCTION("""COMPUTED_VALUE"""),"Cluster 6")</f>
        <v>Cluster 6</v>
      </c>
      <c r="Q280" s="4" t="str">
        <f>IFERROR(__xludf.DUMMYFUNCTION("""COMPUTED_VALUE"""),"LAUTAI ROAD")</f>
        <v>LAUTAI ROAD</v>
      </c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 t="str">
        <f>IFERROR(__xludf.DUMMYFUNCTION("""COMPUTED_VALUE"""),"Point 1")</f>
        <v>Point 1</v>
      </c>
      <c r="AC280" s="4">
        <f>IFERROR(__xludf.DUMMYFUNCTION("""COMPUTED_VALUE"""),11.977801)</f>
        <v>11.977801</v>
      </c>
      <c r="AD280" s="4">
        <f>IFERROR(__xludf.DUMMYFUNCTION("""COMPUTED_VALUE"""),8.557971)</f>
        <v>8.557971</v>
      </c>
      <c r="AE280" s="5" t="str">
        <f>IFERROR(__xludf.DUMMYFUNCTION("""COMPUTED_VALUE"""),"https://drive.google.com/open?id=1L1RtDDE-9Ukyo9MyZYdCI1ccLEZ3whRM")</f>
        <v>https://drive.google.com/open?id=1L1RtDDE-9Ukyo9MyZYdCI1ccLEZ3whRM</v>
      </c>
      <c r="AF280" s="4"/>
      <c r="AG280" s="4"/>
      <c r="AH280" s="4"/>
      <c r="AI280" s="4"/>
      <c r="AL280" s="4" t="str">
        <f t="shared" si="1"/>
        <v>Cluster 6</v>
      </c>
      <c r="AM280" s="4" t="str">
        <f t="shared" si="2"/>
        <v>LAUTAI ROAD</v>
      </c>
    </row>
    <row r="281">
      <c r="A281" s="3">
        <f>IFERROR(__xludf.DUMMYFUNCTION("""COMPUTED_VALUE"""),45870.456991377316)</f>
        <v>45870.45699</v>
      </c>
      <c r="B281" s="4" t="str">
        <f>IFERROR(__xludf.DUMMYFUNCTION("""COMPUTED_VALUE"""),"elhabs256@gmail.com")</f>
        <v>elhabs256@gmail.com</v>
      </c>
      <c r="C281" s="4" t="str">
        <f>IFERROR(__xludf.DUMMYFUNCTION("""COMPUTED_VALUE"""),"Abdullahi Elhabeeb")</f>
        <v>Abdullahi Elhabeeb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tr">
        <f>IFERROR(__xludf.DUMMYFUNCTION("""COMPUTED_VALUE"""),"Cluster 6")</f>
        <v>Cluster 6</v>
      </c>
      <c r="Q281" s="4" t="str">
        <f>IFERROR(__xludf.DUMMYFUNCTION("""COMPUTED_VALUE"""),"YAUTAI LINK")</f>
        <v>YAUTAI LINK</v>
      </c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 t="str">
        <f>IFERROR(__xludf.DUMMYFUNCTION("""COMPUTED_VALUE"""),"Point 2")</f>
        <v>Point 2</v>
      </c>
      <c r="AC281" s="4">
        <f>IFERROR(__xludf.DUMMYFUNCTION("""COMPUTED_VALUE"""),11.970859)</f>
        <v>11.970859</v>
      </c>
      <c r="AD281" s="4">
        <f>IFERROR(__xludf.DUMMYFUNCTION("""COMPUTED_VALUE"""),8.563453)</f>
        <v>8.563453</v>
      </c>
      <c r="AE281" s="5" t="str">
        <f>IFERROR(__xludf.DUMMYFUNCTION("""COMPUTED_VALUE"""),"https://drive.google.com/open?id=1S2vBs80TlJCuxeHHQrSVQsDSkVr8FiA9")</f>
        <v>https://drive.google.com/open?id=1S2vBs80TlJCuxeHHQrSVQsDSkVr8FiA9</v>
      </c>
      <c r="AF281" s="4"/>
      <c r="AG281" s="4"/>
      <c r="AH281" s="4"/>
      <c r="AI281" s="4"/>
      <c r="AL281" s="4" t="str">
        <f t="shared" si="1"/>
        <v>Cluster 6</v>
      </c>
      <c r="AM281" s="4" t="str">
        <f t="shared" si="2"/>
        <v>YAUTAI LINK</v>
      </c>
    </row>
    <row r="282">
      <c r="A282" s="3">
        <f>IFERROR(__xludf.DUMMYFUNCTION("""COMPUTED_VALUE"""),45870.45422204861)</f>
        <v>45870.45422</v>
      </c>
      <c r="B282" s="4" t="str">
        <f>IFERROR(__xludf.DUMMYFUNCTION("""COMPUTED_VALUE"""),"elhabs256@gmail.com")</f>
        <v>elhabs256@gmail.com</v>
      </c>
      <c r="C282" s="4" t="str">
        <f>IFERROR(__xludf.DUMMYFUNCTION("""COMPUTED_VALUE"""),"Abdullahi Elhabeeb")</f>
        <v>Abdullahi Elhabeeb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tr">
        <f>IFERROR(__xludf.DUMMYFUNCTION("""COMPUTED_VALUE"""),"Cluster 6")</f>
        <v>Cluster 6</v>
      </c>
      <c r="Q282" s="4" t="str">
        <f>IFERROR(__xludf.DUMMYFUNCTION("""COMPUTED_VALUE"""),"YAUTAI LINK")</f>
        <v>YAUTAI LINK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 t="str">
        <f>IFERROR(__xludf.DUMMYFUNCTION("""COMPUTED_VALUE"""),"Point 1")</f>
        <v>Point 1</v>
      </c>
      <c r="AC282" s="4">
        <f>IFERROR(__xludf.DUMMYFUNCTION("""COMPUTED_VALUE"""),11.971331)</f>
        <v>11.971331</v>
      </c>
      <c r="AD282" s="4">
        <f>IFERROR(__xludf.DUMMYFUNCTION("""COMPUTED_VALUE"""),8.55961)</f>
        <v>8.55961</v>
      </c>
      <c r="AE282" s="5" t="str">
        <f>IFERROR(__xludf.DUMMYFUNCTION("""COMPUTED_VALUE"""),"https://drive.google.com/open?id=1ZgJHjSYoStaZ8jsGblBPYuQIrbwGxmkk")</f>
        <v>https://drive.google.com/open?id=1ZgJHjSYoStaZ8jsGblBPYuQIrbwGxmkk</v>
      </c>
      <c r="AF282" s="4"/>
      <c r="AG282" s="4"/>
      <c r="AH282" s="4"/>
      <c r="AI282" s="4"/>
      <c r="AL282" s="4" t="str">
        <f t="shared" si="1"/>
        <v>Cluster 6</v>
      </c>
      <c r="AM282" s="4" t="str">
        <f t="shared" si="2"/>
        <v>YAUTAI LINK</v>
      </c>
    </row>
    <row r="283">
      <c r="A283" s="3">
        <f>IFERROR(__xludf.DUMMYFUNCTION("""COMPUTED_VALUE"""),45870.39378759259)</f>
        <v>45870.39379</v>
      </c>
      <c r="B283" s="4" t="str">
        <f>IFERROR(__xludf.DUMMYFUNCTION("""COMPUTED_VALUE"""),"elhabs256@gmail.com")</f>
        <v>elhabs256@gmail.com</v>
      </c>
      <c r="C283" s="4" t="str">
        <f>IFERROR(__xludf.DUMMYFUNCTION("""COMPUTED_VALUE"""),"Abdullahi Elhabeeb")</f>
        <v>Abdullahi Elhabeeb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tr">
        <f>IFERROR(__xludf.DUMMYFUNCTION("""COMPUTED_VALUE"""),"Cluster 6")</f>
        <v>Cluster 6</v>
      </c>
      <c r="Q283" s="4" t="str">
        <f>IFERROR(__xludf.DUMMYFUNCTION("""COMPUTED_VALUE"""),"MALAMI STREET")</f>
        <v>MALAMI STREET</v>
      </c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 t="str">
        <f>IFERROR(__xludf.DUMMYFUNCTION("""COMPUTED_VALUE"""),"Point 2")</f>
        <v>Point 2</v>
      </c>
      <c r="AC283" s="4">
        <f>IFERROR(__xludf.DUMMYFUNCTION("""COMPUTED_VALUE"""),11.968836)</f>
        <v>11.968836</v>
      </c>
      <c r="AD283" s="4">
        <f>IFERROR(__xludf.DUMMYFUNCTION("""COMPUTED_VALUE"""),8.55718)</f>
        <v>8.55718</v>
      </c>
      <c r="AE283" s="5" t="str">
        <f>IFERROR(__xludf.DUMMYFUNCTION("""COMPUTED_VALUE"""),"https://drive.google.com/open?id=1e2iur-bfGFSJuM2phEw0AxePdJZN2jGm")</f>
        <v>https://drive.google.com/open?id=1e2iur-bfGFSJuM2phEw0AxePdJZN2jGm</v>
      </c>
      <c r="AF283" s="4"/>
      <c r="AG283" s="4"/>
      <c r="AH283" s="4"/>
      <c r="AI283" s="4"/>
      <c r="AL283" s="4" t="str">
        <f t="shared" si="1"/>
        <v>Cluster 6</v>
      </c>
      <c r="AM283" s="4" t="str">
        <f t="shared" si="2"/>
        <v>MALAMI STREET</v>
      </c>
    </row>
    <row r="284">
      <c r="A284" s="3">
        <f>IFERROR(__xludf.DUMMYFUNCTION("""COMPUTED_VALUE"""),45870.392335219905)</f>
        <v>45870.39234</v>
      </c>
      <c r="B284" s="4" t="str">
        <f>IFERROR(__xludf.DUMMYFUNCTION("""COMPUTED_VALUE"""),"elhabs256@gmail.com")</f>
        <v>elhabs256@gmail.com</v>
      </c>
      <c r="C284" s="4" t="str">
        <f>IFERROR(__xludf.DUMMYFUNCTION("""COMPUTED_VALUE"""),"Abdullahi Elhabeeb")</f>
        <v>Abdullahi Elhabeeb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tr">
        <f>IFERROR(__xludf.DUMMYFUNCTION("""COMPUTED_VALUE"""),"Cluster 6")</f>
        <v>Cluster 6</v>
      </c>
      <c r="Q284" s="4" t="str">
        <f>IFERROR(__xludf.DUMMYFUNCTION("""COMPUTED_VALUE"""),"MALAMI STREET")</f>
        <v>MALAMI STREET</v>
      </c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 t="str">
        <f>IFERROR(__xludf.DUMMYFUNCTION("""COMPUTED_VALUE"""),"Point 1")</f>
        <v>Point 1</v>
      </c>
      <c r="AC284" s="4">
        <f>IFERROR(__xludf.DUMMYFUNCTION("""COMPUTED_VALUE"""),11.971336)</f>
        <v>11.971336</v>
      </c>
      <c r="AD284" s="4">
        <f>IFERROR(__xludf.DUMMYFUNCTION("""COMPUTED_VALUE"""),8.555463)</f>
        <v>8.555463</v>
      </c>
      <c r="AE284" s="5" t="str">
        <f>IFERROR(__xludf.DUMMYFUNCTION("""COMPUTED_VALUE"""),"https://drive.google.com/open?id=1UJ-cIwnmzjqAWQBZpiFX4wUiwWkVHeZ4")</f>
        <v>https://drive.google.com/open?id=1UJ-cIwnmzjqAWQBZpiFX4wUiwWkVHeZ4</v>
      </c>
      <c r="AF284" s="4"/>
      <c r="AG284" s="4"/>
      <c r="AH284" s="4"/>
      <c r="AI284" s="4"/>
      <c r="AL284" s="4" t="str">
        <f t="shared" si="1"/>
        <v>Cluster 6</v>
      </c>
      <c r="AM284" s="4" t="str">
        <f t="shared" si="2"/>
        <v>MALAMI STREET</v>
      </c>
    </row>
    <row r="285">
      <c r="A285" s="3">
        <f>IFERROR(__xludf.DUMMYFUNCTION("""COMPUTED_VALUE"""),45870.38813027777)</f>
        <v>45870.38813</v>
      </c>
      <c r="B285" s="4" t="str">
        <f>IFERROR(__xludf.DUMMYFUNCTION("""COMPUTED_VALUE"""),"elhabs256@gmail.com")</f>
        <v>elhabs256@gmail.com</v>
      </c>
      <c r="C285" s="4" t="str">
        <f>IFERROR(__xludf.DUMMYFUNCTION("""COMPUTED_VALUE"""),"Abdullahi Elhabeeb")</f>
        <v>Abdullahi Elhabeeb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tr">
        <f>IFERROR(__xludf.DUMMYFUNCTION("""COMPUTED_VALUE"""),"Cluster 6")</f>
        <v>Cluster 6</v>
      </c>
      <c r="Q285" s="4" t="str">
        <f>IFERROR(__xludf.DUMMYFUNCTION("""COMPUTED_VALUE"""),"BAGUDU STREET")</f>
        <v>BAGUDU STREET</v>
      </c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 t="str">
        <f>IFERROR(__xludf.DUMMYFUNCTION("""COMPUTED_VALUE"""),"Point 2")</f>
        <v>Point 2</v>
      </c>
      <c r="AC285" s="4">
        <f>IFERROR(__xludf.DUMMYFUNCTION("""COMPUTED_VALUE"""),11.973788)</f>
        <v>11.973788</v>
      </c>
      <c r="AD285" s="4">
        <f>IFERROR(__xludf.DUMMYFUNCTION("""COMPUTED_VALUE"""),8.558641)</f>
        <v>8.558641</v>
      </c>
      <c r="AE285" s="5" t="str">
        <f>IFERROR(__xludf.DUMMYFUNCTION("""COMPUTED_VALUE"""),"https://drive.google.com/open?id=1MmxEUU5U3mZS0ZS05ZQVR2aQyWDVHN-E")</f>
        <v>https://drive.google.com/open?id=1MmxEUU5U3mZS0ZS05ZQVR2aQyWDVHN-E</v>
      </c>
      <c r="AF285" s="4"/>
      <c r="AG285" s="4"/>
      <c r="AH285" s="4"/>
      <c r="AI285" s="4"/>
      <c r="AL285" s="4" t="str">
        <f t="shared" si="1"/>
        <v>Cluster 6</v>
      </c>
      <c r="AM285" s="4" t="str">
        <f t="shared" si="2"/>
        <v>BAGUDU STREET</v>
      </c>
    </row>
    <row r="286">
      <c r="A286" s="3">
        <f>IFERROR(__xludf.DUMMYFUNCTION("""COMPUTED_VALUE"""),45870.38453582176)</f>
        <v>45870.38454</v>
      </c>
      <c r="B286" s="4" t="str">
        <f>IFERROR(__xludf.DUMMYFUNCTION("""COMPUTED_VALUE"""),"elhabs256@gmail.com")</f>
        <v>elhabs256@gmail.com</v>
      </c>
      <c r="C286" s="4" t="str">
        <f>IFERROR(__xludf.DUMMYFUNCTION("""COMPUTED_VALUE"""),"Abdullahi Elhabeeb")</f>
        <v>Abdullahi Elhabeeb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tr">
        <f>IFERROR(__xludf.DUMMYFUNCTION("""COMPUTED_VALUE"""),"Cluster 6")</f>
        <v>Cluster 6</v>
      </c>
      <c r="Q286" s="4" t="str">
        <f>IFERROR(__xludf.DUMMYFUNCTION("""COMPUTED_VALUE"""),"BAGUDU STREET")</f>
        <v>BAGUDU STREET</v>
      </c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 t="str">
        <f>IFERROR(__xludf.DUMMYFUNCTION("""COMPUTED_VALUE"""),"Point 1")</f>
        <v>Point 1</v>
      </c>
      <c r="AC286" s="4">
        <f>IFERROR(__xludf.DUMMYFUNCTION("""COMPUTED_VALUE"""),11.972363)</f>
        <v>11.972363</v>
      </c>
      <c r="AD286" s="4">
        <f>IFERROR(__xludf.DUMMYFUNCTION("""COMPUTED_VALUE"""),8.559051)</f>
        <v>8.559051</v>
      </c>
      <c r="AE286" s="5" t="str">
        <f>IFERROR(__xludf.DUMMYFUNCTION("""COMPUTED_VALUE"""),"https://drive.google.com/open?id=1Ima0qYWa5Nwf-MoOSLDV9HDcv0NdWyC6")</f>
        <v>https://drive.google.com/open?id=1Ima0qYWa5Nwf-MoOSLDV9HDcv0NdWyC6</v>
      </c>
      <c r="AF286" s="4"/>
      <c r="AG286" s="4"/>
      <c r="AH286" s="4"/>
      <c r="AI286" s="4"/>
      <c r="AL286" s="4" t="str">
        <f t="shared" si="1"/>
        <v>Cluster 6</v>
      </c>
      <c r="AM286" s="4" t="str">
        <f t="shared" si="2"/>
        <v>BAGUDU STREET</v>
      </c>
    </row>
    <row r="287">
      <c r="A287" s="3">
        <f>IFERROR(__xludf.DUMMYFUNCTION("""COMPUTED_VALUE"""),45870.37496197916)</f>
        <v>45870.37496</v>
      </c>
      <c r="B287" s="4" t="str">
        <f>IFERROR(__xludf.DUMMYFUNCTION("""COMPUTED_VALUE"""),"elhabs256@gmail.com")</f>
        <v>elhabs256@gmail.com</v>
      </c>
      <c r="C287" s="4" t="str">
        <f>IFERROR(__xludf.DUMMYFUNCTION("""COMPUTED_VALUE"""),"Abdullahi Elhabeeb")</f>
        <v>Abdullahi Elhabeeb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tr">
        <f>IFERROR(__xludf.DUMMYFUNCTION("""COMPUTED_VALUE"""),"Cluster 6")</f>
        <v>Cluster 6</v>
      </c>
      <c r="Q287" s="4" t="str">
        <f>IFERROR(__xludf.DUMMYFUNCTION("""COMPUTED_VALUE"""),"SARKIN KASUWA STREET")</f>
        <v>SARKIN KASUWA STREET</v>
      </c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 t="str">
        <f>IFERROR(__xludf.DUMMYFUNCTION("""COMPUTED_VALUE"""),"Point 1")</f>
        <v>Point 1</v>
      </c>
      <c r="AC287" s="4">
        <f>IFERROR(__xludf.DUMMYFUNCTION("""COMPUTED_VALUE"""),11.97367)</f>
        <v>11.97367</v>
      </c>
      <c r="AD287" s="4">
        <f>IFERROR(__xludf.DUMMYFUNCTION("""COMPUTED_VALUE"""),8.560781)</f>
        <v>8.560781</v>
      </c>
      <c r="AE287" s="5" t="str">
        <f>IFERROR(__xludf.DUMMYFUNCTION("""COMPUTED_VALUE"""),"https://drive.google.com/open?id=1SQzBfqWA_XViWaUvkAzR94WKbIGkwy0G")</f>
        <v>https://drive.google.com/open?id=1SQzBfqWA_XViWaUvkAzR94WKbIGkwy0G</v>
      </c>
      <c r="AF287" s="4"/>
      <c r="AG287" s="4"/>
      <c r="AH287" s="4"/>
      <c r="AI287" s="4"/>
      <c r="AL287" s="4" t="str">
        <f t="shared" si="1"/>
        <v>Cluster 6</v>
      </c>
      <c r="AM287" s="4" t="str">
        <f t="shared" si="2"/>
        <v>SARKIN KASUWA STREET</v>
      </c>
    </row>
    <row r="288">
      <c r="A288" s="3">
        <f>IFERROR(__xludf.DUMMYFUNCTION("""COMPUTED_VALUE"""),45870.37342611111)</f>
        <v>45870.37343</v>
      </c>
      <c r="B288" s="4" t="str">
        <f>IFERROR(__xludf.DUMMYFUNCTION("""COMPUTED_VALUE"""),"elhabs256@gmail.com")</f>
        <v>elhabs256@gmail.com</v>
      </c>
      <c r="C288" s="4" t="str">
        <f>IFERROR(__xludf.DUMMYFUNCTION("""COMPUTED_VALUE"""),"Abdullahi Elhabeeb")</f>
        <v>Abdullahi Elhabeeb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tr">
        <f>IFERROR(__xludf.DUMMYFUNCTION("""COMPUTED_VALUE"""),"Cluster 6")</f>
        <v>Cluster 6</v>
      </c>
      <c r="Q288" s="4" t="str">
        <f>IFERROR(__xludf.DUMMYFUNCTION("""COMPUTED_VALUE"""),"SARKIN KASUWA STREET")</f>
        <v>SARKIN KASUWA STREET</v>
      </c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 t="str">
        <f>IFERROR(__xludf.DUMMYFUNCTION("""COMPUTED_VALUE"""),"Point 1")</f>
        <v>Point 1</v>
      </c>
      <c r="AC288" s="4">
        <f>IFERROR(__xludf.DUMMYFUNCTION("""COMPUTED_VALUE"""),11.974862)</f>
        <v>11.974862</v>
      </c>
      <c r="AD288" s="4">
        <f>IFERROR(__xludf.DUMMYFUNCTION("""COMPUTED_VALUE"""),8.559714)</f>
        <v>8.559714</v>
      </c>
      <c r="AE288" s="5" t="str">
        <f>IFERROR(__xludf.DUMMYFUNCTION("""COMPUTED_VALUE"""),"https://drive.google.com/open?id=1-CbSMKcqTey_bsoFKO4os8gIWEfxaVpO")</f>
        <v>https://drive.google.com/open?id=1-CbSMKcqTey_bsoFKO4os8gIWEfxaVpO</v>
      </c>
      <c r="AF288" s="4"/>
      <c r="AG288" s="4"/>
      <c r="AH288" s="4"/>
      <c r="AI288" s="4"/>
      <c r="AL288" s="4" t="str">
        <f t="shared" si="1"/>
        <v>Cluster 6</v>
      </c>
      <c r="AM288" s="4" t="str">
        <f t="shared" si="2"/>
        <v>SARKIN KASUWA STREET</v>
      </c>
    </row>
    <row r="289">
      <c r="A289" s="3">
        <f>IFERROR(__xludf.DUMMYFUNCTION("""COMPUTED_VALUE"""),45870.35216394676)</f>
        <v>45870.35216</v>
      </c>
      <c r="B289" s="4" t="str">
        <f>IFERROR(__xludf.DUMMYFUNCTION("""COMPUTED_VALUE"""),"elhabs256@gmail.com")</f>
        <v>elhabs256@gmail.com</v>
      </c>
      <c r="C289" s="4" t="str">
        <f>IFERROR(__xludf.DUMMYFUNCTION("""COMPUTED_VALUE"""),"Abdullahi Elhabeeb")</f>
        <v>Abdullahi Elhabeeb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tr">
        <f>IFERROR(__xludf.DUMMYFUNCTION("""COMPUTED_VALUE"""),"Cluster 2")</f>
        <v>Cluster 2</v>
      </c>
      <c r="Q289" s="4"/>
      <c r="R289" s="4" t="str">
        <f>IFERROR(__xludf.DUMMYFUNCTION("""COMPUTED_VALUE"""),"MURTALA MOHAMMED WAY")</f>
        <v>MURTALA MOHAMMED WAY</v>
      </c>
      <c r="S289" s="4"/>
      <c r="T289" s="4"/>
      <c r="U289" s="4"/>
      <c r="V289" s="4"/>
      <c r="W289" s="4"/>
      <c r="X289" s="4"/>
      <c r="Y289" s="4"/>
      <c r="Z289" s="4"/>
      <c r="AA289" s="4"/>
      <c r="AB289" s="4" t="str">
        <f>IFERROR(__xludf.DUMMYFUNCTION("""COMPUTED_VALUE"""),"Point 2")</f>
        <v>Point 2</v>
      </c>
      <c r="AC289" s="4">
        <f>IFERROR(__xludf.DUMMYFUNCTION("""COMPUTED_VALUE"""),12.012336)</f>
        <v>12.012336</v>
      </c>
      <c r="AD289" s="4">
        <f>IFERROR(__xludf.DUMMYFUNCTION("""COMPUTED_VALUE"""),8.526393)</f>
        <v>8.526393</v>
      </c>
      <c r="AE289" s="5" t="str">
        <f>IFERROR(__xludf.DUMMYFUNCTION("""COMPUTED_VALUE"""),"https://drive.google.com/open?id=1H20iquCXvw_kyybjkhMMEuTmDAJ0LOf9")</f>
        <v>https://drive.google.com/open?id=1H20iquCXvw_kyybjkhMMEuTmDAJ0LOf9</v>
      </c>
      <c r="AF289" s="4"/>
      <c r="AG289" s="4"/>
      <c r="AH289" s="4"/>
      <c r="AI289" s="4"/>
      <c r="AL289" s="4" t="str">
        <f t="shared" si="1"/>
        <v>Cluster 2</v>
      </c>
      <c r="AM289" s="4" t="str">
        <f t="shared" si="2"/>
        <v>MURTALA MOHAMMED WAY</v>
      </c>
    </row>
    <row r="290">
      <c r="A290" s="3">
        <f>IFERROR(__xludf.DUMMYFUNCTION("""COMPUTED_VALUE"""),45870.34981909722)</f>
        <v>45870.34982</v>
      </c>
      <c r="B290" s="4" t="str">
        <f>IFERROR(__xludf.DUMMYFUNCTION("""COMPUTED_VALUE"""),"elhabs256@gmail.com")</f>
        <v>elhabs256@gmail.com</v>
      </c>
      <c r="C290" s="4" t="str">
        <f>IFERROR(__xludf.DUMMYFUNCTION("""COMPUTED_VALUE"""),"Abdullahi Elhabeeb")</f>
        <v>Abdullahi Elhabeeb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tr">
        <f>IFERROR(__xludf.DUMMYFUNCTION("""COMPUTED_VALUE"""),"Cluster 2")</f>
        <v>Cluster 2</v>
      </c>
      <c r="Q290" s="4"/>
      <c r="R290" s="4" t="str">
        <f>IFERROR(__xludf.DUMMYFUNCTION("""COMPUTED_VALUE"""),"MURTALA MOHAMMED WAY")</f>
        <v>MURTALA MOHAMMED WAY</v>
      </c>
      <c r="S290" s="4"/>
      <c r="T290" s="4"/>
      <c r="U290" s="4"/>
      <c r="V290" s="4"/>
      <c r="W290" s="4"/>
      <c r="X290" s="4"/>
      <c r="Y290" s="4"/>
      <c r="Z290" s="4"/>
      <c r="AA290" s="4"/>
      <c r="AB290" s="4" t="str">
        <f>IFERROR(__xludf.DUMMYFUNCTION("""COMPUTED_VALUE"""),"Point 1")</f>
        <v>Point 1</v>
      </c>
      <c r="AC290" s="4">
        <f>IFERROR(__xludf.DUMMYFUNCTION("""COMPUTED_VALUE"""),12.006149)</f>
        <v>12.006149</v>
      </c>
      <c r="AD290" s="4">
        <f>IFERROR(__xludf.DUMMYFUNCTION("""COMPUTED_VALUE"""),8.56123)</f>
        <v>8.56123</v>
      </c>
      <c r="AE290" s="5" t="str">
        <f>IFERROR(__xludf.DUMMYFUNCTION("""COMPUTED_VALUE"""),"https://drive.google.com/open?id=1Gc-rotebsK53Dyz4WoA6W9jYfEwTN85E")</f>
        <v>https://drive.google.com/open?id=1Gc-rotebsK53Dyz4WoA6W9jYfEwTN85E</v>
      </c>
      <c r="AF290" s="4"/>
      <c r="AG290" s="4"/>
      <c r="AH290" s="4"/>
      <c r="AI290" s="4"/>
      <c r="AL290" s="4" t="str">
        <f t="shared" si="1"/>
        <v>Cluster 2</v>
      </c>
      <c r="AM290" s="4" t="str">
        <f t="shared" si="2"/>
        <v>MURTALA MOHAMMED WAY</v>
      </c>
    </row>
    <row r="291">
      <c r="A291" s="3">
        <f>IFERROR(__xludf.DUMMYFUNCTION("""COMPUTED_VALUE"""),45870.34834730324)</f>
        <v>45870.34835</v>
      </c>
      <c r="B291" s="4" t="str">
        <f>IFERROR(__xludf.DUMMYFUNCTION("""COMPUTED_VALUE"""),"elhabs256@gmail.com")</f>
        <v>elhabs256@gmail.com</v>
      </c>
      <c r="C291" s="4" t="str">
        <f>IFERROR(__xludf.DUMMYFUNCTION("""COMPUTED_VALUE"""),"Abdullahi Elhabeeb")</f>
        <v>Abdullahi Elhabeeb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tr">
        <f>IFERROR(__xludf.DUMMYFUNCTION("""COMPUTED_VALUE"""),"Cluster 2")</f>
        <v>Cluster 2</v>
      </c>
      <c r="Q291" s="4"/>
      <c r="R291" s="4" t="str">
        <f>IFERROR(__xludf.DUMMYFUNCTION("""COMPUTED_VALUE"""),"LAGOS STREET")</f>
        <v>LAGOS STREET</v>
      </c>
      <c r="S291" s="4"/>
      <c r="T291" s="4"/>
      <c r="U291" s="4"/>
      <c r="V291" s="4"/>
      <c r="W291" s="4"/>
      <c r="X291" s="4"/>
      <c r="Y291" s="4"/>
      <c r="Z291" s="4"/>
      <c r="AA291" s="4"/>
      <c r="AB291" s="4" t="str">
        <f>IFERROR(__xludf.DUMMYFUNCTION("""COMPUTED_VALUE"""),"Point 2")</f>
        <v>Point 2</v>
      </c>
      <c r="AC291" s="4">
        <f>IFERROR(__xludf.DUMMYFUNCTION("""COMPUTED_VALUE"""),12.004751)</f>
        <v>12.004751</v>
      </c>
      <c r="AD291" s="4">
        <f>IFERROR(__xludf.DUMMYFUNCTION("""COMPUTED_VALUE"""),8.541733)</f>
        <v>8.541733</v>
      </c>
      <c r="AE291" s="5" t="str">
        <f>IFERROR(__xludf.DUMMYFUNCTION("""COMPUTED_VALUE"""),"https://drive.google.com/open?id=1xAxar2PVy0SIVL8qLoKeLVce1y-4GciO")</f>
        <v>https://drive.google.com/open?id=1xAxar2PVy0SIVL8qLoKeLVce1y-4GciO</v>
      </c>
      <c r="AF291" s="4"/>
      <c r="AG291" s="4"/>
      <c r="AH291" s="4"/>
      <c r="AI291" s="4"/>
      <c r="AL291" s="4" t="str">
        <f t="shared" si="1"/>
        <v>Cluster 2</v>
      </c>
      <c r="AM291" s="4" t="str">
        <f t="shared" si="2"/>
        <v>LAGOS STREET</v>
      </c>
    </row>
    <row r="292">
      <c r="A292" s="3">
        <f>IFERROR(__xludf.DUMMYFUNCTION("""COMPUTED_VALUE"""),45870.34719695602)</f>
        <v>45870.3472</v>
      </c>
      <c r="B292" s="4" t="str">
        <f>IFERROR(__xludf.DUMMYFUNCTION("""COMPUTED_VALUE"""),"elhabs256@gmail.com")</f>
        <v>elhabs256@gmail.com</v>
      </c>
      <c r="C292" s="4" t="str">
        <f>IFERROR(__xludf.DUMMYFUNCTION("""COMPUTED_VALUE"""),"Abdullahi Elhabeeb")</f>
        <v>Abdullahi Elhabeeb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tr">
        <f>IFERROR(__xludf.DUMMYFUNCTION("""COMPUTED_VALUE"""),"Cluster 2")</f>
        <v>Cluster 2</v>
      </c>
      <c r="Q292" s="4"/>
      <c r="R292" s="4" t="str">
        <f>IFERROR(__xludf.DUMMYFUNCTION("""COMPUTED_VALUE"""),"LAGOS STREET")</f>
        <v>LAGOS STREET</v>
      </c>
      <c r="S292" s="4"/>
      <c r="T292" s="4"/>
      <c r="U292" s="4"/>
      <c r="V292" s="4"/>
      <c r="W292" s="4"/>
      <c r="X292" s="4"/>
      <c r="Y292" s="4"/>
      <c r="Z292" s="4"/>
      <c r="AA292" s="4"/>
      <c r="AB292" s="4" t="str">
        <f>IFERROR(__xludf.DUMMYFUNCTION("""COMPUTED_VALUE"""),"Point 1")</f>
        <v>Point 1</v>
      </c>
      <c r="AC292" s="4">
        <f>IFERROR(__xludf.DUMMYFUNCTION("""COMPUTED_VALUE"""),12.009262)</f>
        <v>12.009262</v>
      </c>
      <c r="AD292" s="4">
        <f>IFERROR(__xludf.DUMMYFUNCTION("""COMPUTED_VALUE"""),8.542594)</f>
        <v>8.542594</v>
      </c>
      <c r="AE292" s="5" t="str">
        <f>IFERROR(__xludf.DUMMYFUNCTION("""COMPUTED_VALUE"""),"https://drive.google.com/open?id=1C7j14mc7h5fS3PnD_rbuHWDzi9At0cMB")</f>
        <v>https://drive.google.com/open?id=1C7j14mc7h5fS3PnD_rbuHWDzi9At0cMB</v>
      </c>
      <c r="AF292" s="4"/>
      <c r="AG292" s="4"/>
      <c r="AH292" s="4"/>
      <c r="AI292" s="4"/>
      <c r="AL292" s="4" t="str">
        <f t="shared" si="1"/>
        <v>Cluster 2</v>
      </c>
      <c r="AM292" s="4" t="str">
        <f t="shared" si="2"/>
        <v>LAGOS STREET</v>
      </c>
    </row>
    <row r="293">
      <c r="A293" s="3">
        <f>IFERROR(__xludf.DUMMYFUNCTION("""COMPUTED_VALUE"""),45870.28396556713)</f>
        <v>45870.28397</v>
      </c>
      <c r="B293" s="4" t="str">
        <f>IFERROR(__xludf.DUMMYFUNCTION("""COMPUTED_VALUE"""),"ajisadiqdala@gmail.com")</f>
        <v>ajisadiqdala@gmail.com</v>
      </c>
      <c r="C293" s="4" t="str">
        <f>IFERROR(__xludf.DUMMYFUNCTION("""COMPUTED_VALUE"""),"Sadiq Dala")</f>
        <v>Sadiq Dala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 t="str">
        <f>IFERROR(__xludf.DUMMYFUNCTION("""COMPUTED_VALUE"""),"Cluster 9")</f>
        <v>Cluster 9</v>
      </c>
      <c r="W293" s="4"/>
      <c r="X293" s="4" t="str">
        <f>IFERROR(__xludf.DUMMYFUNCTION("""COMPUTED_VALUE"""),"SANI UNGOGGO ROAD")</f>
        <v>SANI UNGOGGO ROAD</v>
      </c>
      <c r="Y293" s="4"/>
      <c r="Z293" s="4"/>
      <c r="AA293" s="4"/>
      <c r="AB293" s="4" t="str">
        <f>IFERROR(__xludf.DUMMYFUNCTION("""COMPUTED_VALUE"""),"Point 2")</f>
        <v>Point 2</v>
      </c>
      <c r="AC293" s="4">
        <f>IFERROR(__xludf.DUMMYFUNCTION("""COMPUTED_VALUE"""),12.00569228)</f>
        <v>12.00569228</v>
      </c>
      <c r="AD293" s="4">
        <f>IFERROR(__xludf.DUMMYFUNCTION("""COMPUTED_VALUE"""),8.532885957)</f>
        <v>8.532885957</v>
      </c>
      <c r="AE293" s="5" t="str">
        <f>IFERROR(__xludf.DUMMYFUNCTION("""COMPUTED_VALUE"""),"https://drive.google.com/open?id=1BHuqy-Hmfp06RWKS63T7zOLUQQ8K9vai")</f>
        <v>https://drive.google.com/open?id=1BHuqy-Hmfp06RWKS63T7zOLUQQ8K9vai</v>
      </c>
      <c r="AF293" s="4"/>
      <c r="AG293" s="4"/>
      <c r="AH293" s="4"/>
      <c r="AI293" s="4"/>
      <c r="AL293" s="4" t="str">
        <f t="shared" si="1"/>
        <v>Cluster 9</v>
      </c>
      <c r="AM293" s="4" t="str">
        <f t="shared" si="2"/>
        <v>SANI UNGOGGO ROAD</v>
      </c>
    </row>
    <row r="294">
      <c r="A294" s="3">
        <f>IFERROR(__xludf.DUMMYFUNCTION("""COMPUTED_VALUE"""),45870.282918310186)</f>
        <v>45870.28292</v>
      </c>
      <c r="B294" s="4" t="str">
        <f>IFERROR(__xludf.DUMMYFUNCTION("""COMPUTED_VALUE"""),"ajisadiqdala@gmail.com")</f>
        <v>ajisadiqdala@gmail.com</v>
      </c>
      <c r="C294" s="4" t="str">
        <f>IFERROR(__xludf.DUMMYFUNCTION("""COMPUTED_VALUE"""),"Sadiq Dala")</f>
        <v>Sadiq Dala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 t="str">
        <f>IFERROR(__xludf.DUMMYFUNCTION("""COMPUTED_VALUE"""),"Cluster 9")</f>
        <v>Cluster 9</v>
      </c>
      <c r="W294" s="4"/>
      <c r="X294" s="4" t="str">
        <f>IFERROR(__xludf.DUMMYFUNCTION("""COMPUTED_VALUE"""),"SANI UNGOGGO ROAD")</f>
        <v>SANI UNGOGGO ROAD</v>
      </c>
      <c r="Y294" s="4"/>
      <c r="Z294" s="4"/>
      <c r="AA294" s="4"/>
      <c r="AB294" s="4" t="str">
        <f>IFERROR(__xludf.DUMMYFUNCTION("""COMPUTED_VALUE"""),"Point 1")</f>
        <v>Point 1</v>
      </c>
      <c r="AC294" s="4">
        <f>IFERROR(__xludf.DUMMYFUNCTION("""COMPUTED_VALUE"""),12.00797793)</f>
        <v>12.00797793</v>
      </c>
      <c r="AD294" s="4">
        <f>IFERROR(__xludf.DUMMYFUNCTION("""COMPUTED_VALUE"""),8.532098973)</f>
        <v>8.532098973</v>
      </c>
      <c r="AE294" s="5" t="str">
        <f>IFERROR(__xludf.DUMMYFUNCTION("""COMPUTED_VALUE"""),"https://drive.google.com/open?id=1jSnOja_Ha0wT3jfLxm0GK-T5c07zg6zY")</f>
        <v>https://drive.google.com/open?id=1jSnOja_Ha0wT3jfLxm0GK-T5c07zg6zY</v>
      </c>
      <c r="AF294" s="4"/>
      <c r="AG294" s="4"/>
      <c r="AH294" s="4"/>
      <c r="AI294" s="4"/>
      <c r="AL294" s="4" t="str">
        <f t="shared" si="1"/>
        <v>Cluster 9</v>
      </c>
      <c r="AM294" s="4" t="str">
        <f t="shared" si="2"/>
        <v>SANI UNGOGGO ROAD</v>
      </c>
    </row>
    <row r="295">
      <c r="A295" s="3">
        <f>IFERROR(__xludf.DUMMYFUNCTION("""COMPUTED_VALUE"""),45870.28071365741)</f>
        <v>45870.28071</v>
      </c>
      <c r="B295" s="4" t="str">
        <f>IFERROR(__xludf.DUMMYFUNCTION("""COMPUTED_VALUE"""),"ajisadiqdala@gmail.com")</f>
        <v>ajisadiqdala@gmail.com</v>
      </c>
      <c r="C295" s="4" t="str">
        <f>IFERROR(__xludf.DUMMYFUNCTION("""COMPUTED_VALUE"""),"Sadiq Dala")</f>
        <v>Sadiq Dala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 t="str">
        <f>IFERROR(__xludf.DUMMYFUNCTION("""COMPUTED_VALUE"""),"Cluster 12")</f>
        <v>Cluster 12</v>
      </c>
      <c r="W295" s="4"/>
      <c r="X295" s="4"/>
      <c r="Y295" s="4"/>
      <c r="Z295" s="4" t="str">
        <f>IFERROR(__xludf.DUMMYFUNCTION("""COMPUTED_VALUE"""),"JUSTICE DAHIRU MUSTAPHA ROAD")</f>
        <v>JUSTICE DAHIRU MUSTAPHA ROAD</v>
      </c>
      <c r="AA295" s="4"/>
      <c r="AB295" s="4" t="str">
        <f>IFERROR(__xludf.DUMMYFUNCTION("""COMPUTED_VALUE"""),"Point 1")</f>
        <v>Point 1</v>
      </c>
      <c r="AC295" s="4">
        <f>IFERROR(__xludf.DUMMYFUNCTION("""COMPUTED_VALUE"""),11.978291)</f>
        <v>11.978291</v>
      </c>
      <c r="AD295" s="4">
        <f>IFERROR(__xludf.DUMMYFUNCTION("""COMPUTED_VALUE"""),8.5444972)</f>
        <v>8.5444972</v>
      </c>
      <c r="AE295" s="5" t="str">
        <f>IFERROR(__xludf.DUMMYFUNCTION("""COMPUTED_VALUE"""),"https://drive.google.com/open?id=1ioalXLlUCf_SZn136EZtEhBpiwemMA09")</f>
        <v>https://drive.google.com/open?id=1ioalXLlUCf_SZn136EZtEhBpiwemMA09</v>
      </c>
      <c r="AF295" s="4"/>
      <c r="AG295" s="4"/>
      <c r="AH295" s="4"/>
      <c r="AI295" s="4"/>
      <c r="AL295" s="4" t="str">
        <f t="shared" si="1"/>
        <v>Cluster 12</v>
      </c>
      <c r="AM295" s="4" t="str">
        <f t="shared" si="2"/>
        <v>JUSTICE DAHIRU MUSTAPHA ROAD</v>
      </c>
    </row>
    <row r="296">
      <c r="A296" s="3">
        <f>IFERROR(__xludf.DUMMYFUNCTION("""COMPUTED_VALUE"""),45870.276999849535)</f>
        <v>45870.277</v>
      </c>
      <c r="B296" s="4" t="str">
        <f>IFERROR(__xludf.DUMMYFUNCTION("""COMPUTED_VALUE"""),"ajisadiqdala@gmail.com")</f>
        <v>ajisadiqdala@gmail.com</v>
      </c>
      <c r="C296" s="4" t="str">
        <f>IFERROR(__xludf.DUMMYFUNCTION("""COMPUTED_VALUE"""),"Sadiq Dala")</f>
        <v>Sadiq Dala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 t="str">
        <f>IFERROR(__xludf.DUMMYFUNCTION("""COMPUTED_VALUE"""),"Cluster 12")</f>
        <v>Cluster 12</v>
      </c>
      <c r="W296" s="4"/>
      <c r="X296" s="4"/>
      <c r="Y296" s="4"/>
      <c r="Z296" s="4" t="str">
        <f>IFERROR(__xludf.DUMMYFUNCTION("""COMPUTED_VALUE"""),"AHMADU BELLO WAY")</f>
        <v>AHMADU BELLO WAY</v>
      </c>
      <c r="AA296" s="4"/>
      <c r="AB296" s="4" t="str">
        <f>IFERROR(__xludf.DUMMYFUNCTION("""COMPUTED_VALUE"""),"Point 2")</f>
        <v>Point 2</v>
      </c>
      <c r="AC296" s="4">
        <f>IFERROR(__xludf.DUMMYFUNCTION("""COMPUTED_VALUE"""),12.005735)</f>
        <v>12.005735</v>
      </c>
      <c r="AD296" s="4">
        <f>IFERROR(__xludf.DUMMYFUNCTION("""COMPUTED_VALUE"""),8.561053)</f>
        <v>8.561053</v>
      </c>
      <c r="AE296" s="5" t="str">
        <f>IFERROR(__xludf.DUMMYFUNCTION("""COMPUTED_VALUE"""),"https://drive.google.com/open?id=1RDUke50z829Q6yyvcGY7hOkZYmG6Rz-z")</f>
        <v>https://drive.google.com/open?id=1RDUke50z829Q6yyvcGY7hOkZYmG6Rz-z</v>
      </c>
      <c r="AF296" s="4"/>
      <c r="AG296" s="4"/>
      <c r="AH296" s="4"/>
      <c r="AI296" s="4"/>
      <c r="AL296" s="4" t="str">
        <f t="shared" si="1"/>
        <v>Cluster 12</v>
      </c>
      <c r="AM296" s="4" t="str">
        <f t="shared" si="2"/>
        <v>AHMADU BELLO WAY</v>
      </c>
    </row>
    <row r="297">
      <c r="A297" s="3">
        <f>IFERROR(__xludf.DUMMYFUNCTION("""COMPUTED_VALUE"""),45870.275805219906)</f>
        <v>45870.27581</v>
      </c>
      <c r="B297" s="4" t="str">
        <f>IFERROR(__xludf.DUMMYFUNCTION("""COMPUTED_VALUE"""),"ajisadiqdala@gmail.com")</f>
        <v>ajisadiqdala@gmail.com</v>
      </c>
      <c r="C297" s="4" t="str">
        <f>IFERROR(__xludf.DUMMYFUNCTION("""COMPUTED_VALUE"""),"Sadiq Dala")</f>
        <v>Sadiq Dala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 t="str">
        <f>IFERROR(__xludf.DUMMYFUNCTION("""COMPUTED_VALUE"""),"Cluster 12")</f>
        <v>Cluster 12</v>
      </c>
      <c r="W297" s="4"/>
      <c r="X297" s="4"/>
      <c r="Y297" s="4"/>
      <c r="Z297" s="4" t="str">
        <f>IFERROR(__xludf.DUMMYFUNCTION("""COMPUTED_VALUE"""),"AHMADU BELLO WAY")</f>
        <v>AHMADU BELLO WAY</v>
      </c>
      <c r="AA297" s="4"/>
      <c r="AB297" s="4" t="str">
        <f>IFERROR(__xludf.DUMMYFUNCTION("""COMPUTED_VALUE"""),"Point 1")</f>
        <v>Point 1</v>
      </c>
      <c r="AC297" s="4">
        <f>IFERROR(__xludf.DUMMYFUNCTION("""COMPUTED_VALUE"""),11.986157)</f>
        <v>11.986157</v>
      </c>
      <c r="AD297" s="4">
        <f>IFERROR(__xludf.DUMMYFUNCTION("""COMPUTED_VALUE"""),8.551136)</f>
        <v>8.551136</v>
      </c>
      <c r="AE297" s="5" t="str">
        <f>IFERROR(__xludf.DUMMYFUNCTION("""COMPUTED_VALUE"""),"https://drive.google.com/open?id=12LwhxK7nWRARhQChyLRIDo3-a9jz64qU")</f>
        <v>https://drive.google.com/open?id=12LwhxK7nWRARhQChyLRIDo3-a9jz64qU</v>
      </c>
      <c r="AF297" s="4"/>
      <c r="AG297" s="4"/>
      <c r="AH297" s="4"/>
      <c r="AI297" s="4"/>
      <c r="AL297" s="4" t="str">
        <f t="shared" si="1"/>
        <v>Cluster 12</v>
      </c>
      <c r="AM297" s="4" t="str">
        <f t="shared" si="2"/>
        <v>AHMADU BELLO WAY</v>
      </c>
    </row>
    <row r="298">
      <c r="A298" s="3">
        <f>IFERROR(__xludf.DUMMYFUNCTION("""COMPUTED_VALUE"""),45870.273753472226)</f>
        <v>45870.27375</v>
      </c>
      <c r="B298" s="4" t="str">
        <f>IFERROR(__xludf.DUMMYFUNCTION("""COMPUTED_VALUE"""),"ajisadiqdala@gmail.com")</f>
        <v>ajisadiqdala@gmail.com</v>
      </c>
      <c r="C298" s="4" t="str">
        <f>IFERROR(__xludf.DUMMYFUNCTION("""COMPUTED_VALUE"""),"Sadiq Dala")</f>
        <v>Sadiq Dala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 t="str">
        <f>IFERROR(__xludf.DUMMYFUNCTION("""COMPUTED_VALUE"""),"Cluster 9")</f>
        <v>Cluster 9</v>
      </c>
      <c r="W298" s="4"/>
      <c r="X298" s="4" t="str">
        <f>IFERROR(__xludf.DUMMYFUNCTION("""COMPUTED_VALUE"""),"DUNI STREET")</f>
        <v>DUNI STREET</v>
      </c>
      <c r="Y298" s="4"/>
      <c r="Z298" s="4"/>
      <c r="AA298" s="4"/>
      <c r="AB298" s="4" t="str">
        <f>IFERROR(__xludf.DUMMYFUNCTION("""COMPUTED_VALUE"""),"Point 2")</f>
        <v>Point 2</v>
      </c>
      <c r="AC298" s="4">
        <f>IFERROR(__xludf.DUMMYFUNCTION("""COMPUTED_VALUE"""),12.003455)</f>
        <v>12.003455</v>
      </c>
      <c r="AD298" s="4">
        <f>IFERROR(__xludf.DUMMYFUNCTION("""COMPUTED_VALUE"""),8.529414)</f>
        <v>8.529414</v>
      </c>
      <c r="AE298" s="5" t="str">
        <f>IFERROR(__xludf.DUMMYFUNCTION("""COMPUTED_VALUE"""),"https://drive.google.com/open?id=1HF17MRg5_knHWYgtPQSuCm2MbWikUIVI")</f>
        <v>https://drive.google.com/open?id=1HF17MRg5_knHWYgtPQSuCm2MbWikUIVI</v>
      </c>
      <c r="AF298" s="4"/>
      <c r="AG298" s="4"/>
      <c r="AH298" s="4"/>
      <c r="AI298" s="4"/>
      <c r="AL298" s="4" t="str">
        <f t="shared" si="1"/>
        <v>Cluster 9</v>
      </c>
      <c r="AM298" s="4" t="str">
        <f t="shared" si="2"/>
        <v>DUNI STREET</v>
      </c>
    </row>
    <row r="299">
      <c r="A299" s="3">
        <f>IFERROR(__xludf.DUMMYFUNCTION("""COMPUTED_VALUE"""),45870.27233702547)</f>
        <v>45870.27234</v>
      </c>
      <c r="B299" s="4" t="str">
        <f>IFERROR(__xludf.DUMMYFUNCTION("""COMPUTED_VALUE"""),"ajisadiqdala@gmail.com")</f>
        <v>ajisadiqdala@gmail.com</v>
      </c>
      <c r="C299" s="4" t="str">
        <f>IFERROR(__xludf.DUMMYFUNCTION("""COMPUTED_VALUE"""),"Sadiq Dala")</f>
        <v>Sadiq Dala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 t="str">
        <f>IFERROR(__xludf.DUMMYFUNCTION("""COMPUTED_VALUE"""),"Cluster 9")</f>
        <v>Cluster 9</v>
      </c>
      <c r="W299" s="4"/>
      <c r="X299" s="4" t="str">
        <f>IFERROR(__xludf.DUMMYFUNCTION("""COMPUTED_VALUE"""),"DUNI STREET")</f>
        <v>DUNI STREET</v>
      </c>
      <c r="Y299" s="4"/>
      <c r="Z299" s="4"/>
      <c r="AA299" s="4"/>
      <c r="AB299" s="4" t="str">
        <f>IFERROR(__xludf.DUMMYFUNCTION("""COMPUTED_VALUE"""),"Point 1")</f>
        <v>Point 1</v>
      </c>
      <c r="AC299" s="4">
        <f>IFERROR(__xludf.DUMMYFUNCTION("""COMPUTED_VALUE"""),12.012136)</f>
        <v>12.012136</v>
      </c>
      <c r="AD299" s="4">
        <f>IFERROR(__xludf.DUMMYFUNCTION("""COMPUTED_VALUE"""),8.526198)</f>
        <v>8.526198</v>
      </c>
      <c r="AE299" s="5" t="str">
        <f>IFERROR(__xludf.DUMMYFUNCTION("""COMPUTED_VALUE"""),"https://drive.google.com/open?id=1IyczN1_uixvgQfOXAFWvWqbql3t7Be5A")</f>
        <v>https://drive.google.com/open?id=1IyczN1_uixvgQfOXAFWvWqbql3t7Be5A</v>
      </c>
      <c r="AF299" s="4"/>
      <c r="AG299" s="4"/>
      <c r="AH299" s="4"/>
      <c r="AI299" s="4"/>
      <c r="AL299" s="4" t="str">
        <f t="shared" si="1"/>
        <v>Cluster 9</v>
      </c>
      <c r="AM299" s="4" t="str">
        <f t="shared" si="2"/>
        <v>DUNI STREET</v>
      </c>
    </row>
    <row r="300">
      <c r="A300" s="3">
        <f>IFERROR(__xludf.DUMMYFUNCTION("""COMPUTED_VALUE"""),45870.25952739583)</f>
        <v>45870.25953</v>
      </c>
      <c r="B300" s="4" t="str">
        <f>IFERROR(__xludf.DUMMYFUNCTION("""COMPUTED_VALUE"""),"ajisadiqdala@gmail.com")</f>
        <v>ajisadiqdala@gmail.com</v>
      </c>
      <c r="C300" s="4" t="str">
        <f>IFERROR(__xludf.DUMMYFUNCTION("""COMPUTED_VALUE"""),"Sadiq Dala")</f>
        <v>Sadiq Dala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 t="str">
        <f>IFERROR(__xludf.DUMMYFUNCTION("""COMPUTED_VALUE"""),"Cluster 12")</f>
        <v>Cluster 12</v>
      </c>
      <c r="W300" s="4"/>
      <c r="X300" s="4"/>
      <c r="Y300" s="4"/>
      <c r="Z300" s="4" t="str">
        <f>IFERROR(__xludf.DUMMYFUNCTION("""COMPUTED_VALUE"""),"JIGAWA ROAD")</f>
        <v>JIGAWA ROAD</v>
      </c>
      <c r="AA300" s="4"/>
      <c r="AB300" s="4" t="str">
        <f>IFERROR(__xludf.DUMMYFUNCTION("""COMPUTED_VALUE"""),"Point 1")</f>
        <v>Point 1</v>
      </c>
      <c r="AC300" s="4">
        <f>IFERROR(__xludf.DUMMYFUNCTION("""COMPUTED_VALUE"""),11.98983086)</f>
        <v>11.98983086</v>
      </c>
      <c r="AD300" s="4">
        <f>IFERROR(__xludf.DUMMYFUNCTION("""COMPUTED_VALUE"""),8.544421984)</f>
        <v>8.544421984</v>
      </c>
      <c r="AE300" s="5" t="str">
        <f>IFERROR(__xludf.DUMMYFUNCTION("""COMPUTED_VALUE"""),"https://drive.google.com/open?id=13wyxqr6oktnR6GKfN80KqUSQAdlmZonj")</f>
        <v>https://drive.google.com/open?id=13wyxqr6oktnR6GKfN80KqUSQAdlmZonj</v>
      </c>
      <c r="AF300" s="4"/>
      <c r="AG300" s="4"/>
      <c r="AH300" s="4"/>
      <c r="AI300" s="4"/>
      <c r="AL300" s="4" t="str">
        <f t="shared" si="1"/>
        <v>Cluster 12</v>
      </c>
      <c r="AM300" s="4" t="str">
        <f t="shared" si="2"/>
        <v>JIGAWA ROAD</v>
      </c>
    </row>
    <row r="301">
      <c r="A301" s="3">
        <f>IFERROR(__xludf.DUMMYFUNCTION("""COMPUTED_VALUE"""),45870.2566906713)</f>
        <v>45870.25669</v>
      </c>
      <c r="B301" s="4" t="str">
        <f>IFERROR(__xludf.DUMMYFUNCTION("""COMPUTED_VALUE"""),"ajisadiqdala@gmail.com")</f>
        <v>ajisadiqdala@gmail.com</v>
      </c>
      <c r="C301" s="4" t="str">
        <f>IFERROR(__xludf.DUMMYFUNCTION("""COMPUTED_VALUE"""),"Sadiq Dala")</f>
        <v>Sadiq Dala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 t="str">
        <f>IFERROR(__xludf.DUMMYFUNCTION("""COMPUTED_VALUE"""),"Cluster 5")</f>
        <v>Cluster 5</v>
      </c>
      <c r="W301" s="4" t="str">
        <f>IFERROR(__xludf.DUMMYFUNCTION("""COMPUTED_VALUE"""),"GARKI ROAD")</f>
        <v>GARKI ROAD</v>
      </c>
      <c r="X301" s="4"/>
      <c r="Y301" s="4"/>
      <c r="Z301" s="4"/>
      <c r="AA301" s="4"/>
      <c r="AB301" s="4" t="str">
        <f>IFERROR(__xludf.DUMMYFUNCTION("""COMPUTED_VALUE"""),"Point 2")</f>
        <v>Point 2</v>
      </c>
      <c r="AC301" s="4">
        <f>IFERROR(__xludf.DUMMYFUNCTION("""COMPUTED_VALUE"""),11.99175)</f>
        <v>11.99175</v>
      </c>
      <c r="AD301" s="4">
        <f>IFERROR(__xludf.DUMMYFUNCTION("""COMPUTED_VALUE"""),8.541601)</f>
        <v>8.541601</v>
      </c>
      <c r="AE301" s="5" t="str">
        <f>IFERROR(__xludf.DUMMYFUNCTION("""COMPUTED_VALUE"""),"https://drive.google.com/open?id=10boUr0VQ1wm8L7NVtL09gwwkAll1ul5J")</f>
        <v>https://drive.google.com/open?id=10boUr0VQ1wm8L7NVtL09gwwkAll1ul5J</v>
      </c>
      <c r="AF301" s="4"/>
      <c r="AG301" s="4"/>
      <c r="AH301" s="4"/>
      <c r="AI301" s="4"/>
      <c r="AL301" s="4" t="str">
        <f t="shared" si="1"/>
        <v>Cluster 5</v>
      </c>
      <c r="AM301" s="4" t="str">
        <f t="shared" si="2"/>
        <v>GARKI ROAD</v>
      </c>
    </row>
    <row r="302">
      <c r="A302" s="3">
        <f>IFERROR(__xludf.DUMMYFUNCTION("""COMPUTED_VALUE"""),45870.25321087963)</f>
        <v>45870.25321</v>
      </c>
      <c r="B302" s="4" t="str">
        <f>IFERROR(__xludf.DUMMYFUNCTION("""COMPUTED_VALUE"""),"ajisadiqdala@gmail.com")</f>
        <v>ajisadiqdala@gmail.com</v>
      </c>
      <c r="C302" s="4" t="str">
        <f>IFERROR(__xludf.DUMMYFUNCTION("""COMPUTED_VALUE"""),"Sadiq Dala")</f>
        <v>Sadiq Dala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 t="str">
        <f>IFERROR(__xludf.DUMMYFUNCTION("""COMPUTED_VALUE"""),"Cluster 5")</f>
        <v>Cluster 5</v>
      </c>
      <c r="W302" s="4" t="str">
        <f>IFERROR(__xludf.DUMMYFUNCTION("""COMPUTED_VALUE"""),"GARKI ROAD")</f>
        <v>GARKI ROAD</v>
      </c>
      <c r="X302" s="4"/>
      <c r="Y302" s="4"/>
      <c r="Z302" s="4"/>
      <c r="AA302" s="4"/>
      <c r="AB302" s="4" t="str">
        <f>IFERROR(__xludf.DUMMYFUNCTION("""COMPUTED_VALUE"""),"Point 1")</f>
        <v>Point 1</v>
      </c>
      <c r="AC302" s="4">
        <f>IFERROR(__xludf.DUMMYFUNCTION("""COMPUTED_VALUE"""),11.94202045)</f>
        <v>11.94202045</v>
      </c>
      <c r="AD302" s="4">
        <f>IFERROR(__xludf.DUMMYFUNCTION("""COMPUTED_VALUE"""),8.55784802)</f>
        <v>8.55784802</v>
      </c>
      <c r="AE302" s="5" t="str">
        <f>IFERROR(__xludf.DUMMYFUNCTION("""COMPUTED_VALUE"""),"https://drive.google.com/open?id=1Ad3XAT6mGapcwa00s3Y59OYA7X3q8lG3")</f>
        <v>https://drive.google.com/open?id=1Ad3XAT6mGapcwa00s3Y59OYA7X3q8lG3</v>
      </c>
      <c r="AF302" s="4"/>
      <c r="AG302" s="4"/>
      <c r="AH302" s="4"/>
      <c r="AI302" s="4"/>
      <c r="AL302" s="4" t="str">
        <f t="shared" si="1"/>
        <v>Cluster 5</v>
      </c>
      <c r="AM302" s="4" t="str">
        <f t="shared" si="2"/>
        <v>GARKI ROAD</v>
      </c>
    </row>
    <row r="303">
      <c r="A303" s="3">
        <f>IFERROR(__xludf.DUMMYFUNCTION("""COMPUTED_VALUE"""),45870.25067966435)</f>
        <v>45870.25068</v>
      </c>
      <c r="B303" s="4" t="str">
        <f>IFERROR(__xludf.DUMMYFUNCTION("""COMPUTED_VALUE"""),"ajisadiqdala@gmail.com")</f>
        <v>ajisadiqdala@gmail.com</v>
      </c>
      <c r="C303" s="4" t="str">
        <f>IFERROR(__xludf.DUMMYFUNCTION("""COMPUTED_VALUE"""),"Sadiq Dala")</f>
        <v>Sadiq Dala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 t="str">
        <f>IFERROR(__xludf.DUMMYFUNCTION("""COMPUTED_VALUE"""),"Cluster 9")</f>
        <v>Cluster 9</v>
      </c>
      <c r="W303" s="4"/>
      <c r="X303" s="4" t="str">
        <f>IFERROR(__xludf.DUMMYFUNCTION("""COMPUTED_VALUE"""),"UNITY ROAD")</f>
        <v>UNITY ROAD</v>
      </c>
      <c r="Y303" s="4"/>
      <c r="Z303" s="4"/>
      <c r="AA303" s="4"/>
      <c r="AB303" s="4" t="str">
        <f>IFERROR(__xludf.DUMMYFUNCTION("""COMPUTED_VALUE"""),"Point 1")</f>
        <v>Point 1</v>
      </c>
      <c r="AC303" s="4">
        <f>IFERROR(__xludf.DUMMYFUNCTION("""COMPUTED_VALUE"""),12.0026072)</f>
        <v>12.0026072</v>
      </c>
      <c r="AD303" s="4">
        <f>IFERROR(__xludf.DUMMYFUNCTION("""COMPUTED_VALUE"""),8.532088277)</f>
        <v>8.532088277</v>
      </c>
      <c r="AE303" s="5" t="str">
        <f>IFERROR(__xludf.DUMMYFUNCTION("""COMPUTED_VALUE"""),"https://drive.google.com/open?id=1Kw0CLL7pEdPC5XXkc6drWmQZXEZZm7fB")</f>
        <v>https://drive.google.com/open?id=1Kw0CLL7pEdPC5XXkc6drWmQZXEZZm7fB</v>
      </c>
      <c r="AF303" s="4"/>
      <c r="AG303" s="4"/>
      <c r="AH303" s="4"/>
      <c r="AI303" s="4"/>
      <c r="AL303" s="4" t="str">
        <f t="shared" si="1"/>
        <v>Cluster 9</v>
      </c>
      <c r="AM303" s="4" t="str">
        <f t="shared" si="2"/>
        <v>UNITY ROAD</v>
      </c>
    </row>
    <row r="304">
      <c r="A304" s="3">
        <f>IFERROR(__xludf.DUMMYFUNCTION("""COMPUTED_VALUE"""),45870.24913758102)</f>
        <v>45870.24914</v>
      </c>
      <c r="B304" s="4" t="str">
        <f>IFERROR(__xludf.DUMMYFUNCTION("""COMPUTED_VALUE"""),"ajisadiqdala@gmail.com")</f>
        <v>ajisadiqdala@gmail.com</v>
      </c>
      <c r="C304" s="4" t="str">
        <f>IFERROR(__xludf.DUMMYFUNCTION("""COMPUTED_VALUE"""),"Sadiq Dala")</f>
        <v>Sadiq Dala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 t="str">
        <f>IFERROR(__xludf.DUMMYFUNCTION("""COMPUTED_VALUE"""),"Cluster 9")</f>
        <v>Cluster 9</v>
      </c>
      <c r="W304" s="4"/>
      <c r="X304" s="4" t="str">
        <f>IFERROR(__xludf.DUMMYFUNCTION("""COMPUTED_VALUE"""),"COURT ROAD")</f>
        <v>COURT ROAD</v>
      </c>
      <c r="Y304" s="4"/>
      <c r="Z304" s="4"/>
      <c r="AA304" s="4"/>
      <c r="AB304" s="4" t="str">
        <f>IFERROR(__xludf.DUMMYFUNCTION("""COMPUTED_VALUE"""),"Point 1")</f>
        <v>Point 1</v>
      </c>
      <c r="AC304" s="4">
        <f>IFERROR(__xludf.DUMMYFUNCTION("""COMPUTED_VALUE"""),12.01069936)</f>
        <v>12.01069936</v>
      </c>
      <c r="AD304" s="4">
        <f>IFERROR(__xludf.DUMMYFUNCTION("""COMPUTED_VALUE"""),8.53462193)</f>
        <v>8.53462193</v>
      </c>
      <c r="AE304" s="5" t="str">
        <f>IFERROR(__xludf.DUMMYFUNCTION("""COMPUTED_VALUE"""),"https://drive.google.com/open?id=12YOeI9-3zGMBQAsZH7r3jtz1KKumK8pK")</f>
        <v>https://drive.google.com/open?id=12YOeI9-3zGMBQAsZH7r3jtz1KKumK8pK</v>
      </c>
      <c r="AF304" s="4"/>
      <c r="AG304" s="4"/>
      <c r="AH304" s="4"/>
      <c r="AI304" s="4"/>
      <c r="AL304" s="4" t="str">
        <f t="shared" si="1"/>
        <v>Cluster 9</v>
      </c>
      <c r="AM304" s="4" t="str">
        <f t="shared" si="2"/>
        <v>COURT ROAD</v>
      </c>
    </row>
    <row r="305">
      <c r="A305" s="3">
        <f>IFERROR(__xludf.DUMMYFUNCTION("""COMPUTED_VALUE"""),45870.247360787034)</f>
        <v>45870.24736</v>
      </c>
      <c r="B305" s="4" t="str">
        <f>IFERROR(__xludf.DUMMYFUNCTION("""COMPUTED_VALUE"""),"ajisadiqdala@gmail.com")</f>
        <v>ajisadiqdala@gmail.com</v>
      </c>
      <c r="C305" s="4" t="str">
        <f>IFERROR(__xludf.DUMMYFUNCTION("""COMPUTED_VALUE"""),"Sadiq Dala")</f>
        <v>Sadiq Dala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 t="str">
        <f>IFERROR(__xludf.DUMMYFUNCTION("""COMPUTED_VALUE"""),"Cluster 9")</f>
        <v>Cluster 9</v>
      </c>
      <c r="W305" s="4"/>
      <c r="X305" s="4" t="str">
        <f>IFERROR(__xludf.DUMMYFUNCTION("""COMPUTED_VALUE"""),"ABDULLAHI BAYERO ROAD")</f>
        <v>ABDULLAHI BAYERO ROAD</v>
      </c>
      <c r="Y305" s="4"/>
      <c r="Z305" s="4"/>
      <c r="AA305" s="4"/>
      <c r="AB305" s="4" t="str">
        <f>IFERROR(__xludf.DUMMYFUNCTION("""COMPUTED_VALUE"""),"Point 1")</f>
        <v>Point 1</v>
      </c>
      <c r="AC305" s="4">
        <f>IFERROR(__xludf.DUMMYFUNCTION("""COMPUTED_VALUE"""),11.993774)</f>
        <v>11.993774</v>
      </c>
      <c r="AD305" s="4">
        <f>IFERROR(__xludf.DUMMYFUNCTION("""COMPUTED_VALUE"""),8.544438)</f>
        <v>8.544438</v>
      </c>
      <c r="AE305" s="5" t="str">
        <f>IFERROR(__xludf.DUMMYFUNCTION("""COMPUTED_VALUE"""),"https://drive.google.com/open?id=1ICQZBqz_IB6sJOAYCJ58_NjKvzMBloqp")</f>
        <v>https://drive.google.com/open?id=1ICQZBqz_IB6sJOAYCJ58_NjKvzMBloqp</v>
      </c>
      <c r="AF305" s="4"/>
      <c r="AG305" s="4"/>
      <c r="AH305" s="4"/>
      <c r="AI305" s="4"/>
      <c r="AL305" s="4" t="str">
        <f t="shared" si="1"/>
        <v>Cluster 9</v>
      </c>
      <c r="AM305" s="4" t="str">
        <f t="shared" si="2"/>
        <v>ABDULLAHI BAYERO ROAD</v>
      </c>
    </row>
    <row r="306">
      <c r="A306" s="3">
        <f>IFERROR(__xludf.DUMMYFUNCTION("""COMPUTED_VALUE"""),45870.24552589121)</f>
        <v>45870.24553</v>
      </c>
      <c r="B306" s="4" t="str">
        <f>IFERROR(__xludf.DUMMYFUNCTION("""COMPUTED_VALUE"""),"ajisadiqdala@gmail.com")</f>
        <v>ajisadiqdala@gmail.com</v>
      </c>
      <c r="C306" s="4" t="str">
        <f>IFERROR(__xludf.DUMMYFUNCTION("""COMPUTED_VALUE"""),"Sadiq Dala")</f>
        <v>Sadiq Dala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 t="str">
        <f>IFERROR(__xludf.DUMMYFUNCTION("""COMPUTED_VALUE"""),"Cluster 9")</f>
        <v>Cluster 9</v>
      </c>
      <c r="W306" s="4"/>
      <c r="X306" s="4" t="str">
        <f>IFERROR(__xludf.DUMMYFUNCTION("""COMPUTED_VALUE"""),"NEW ROAD")</f>
        <v>NEW ROAD</v>
      </c>
      <c r="Y306" s="4"/>
      <c r="Z306" s="4"/>
      <c r="AA306" s="4"/>
      <c r="AB306" s="4" t="str">
        <f>IFERROR(__xludf.DUMMYFUNCTION("""COMPUTED_VALUE"""),"Point 2")</f>
        <v>Point 2</v>
      </c>
      <c r="AC306" s="4">
        <f>IFERROR(__xludf.DUMMYFUNCTION("""COMPUTED_VALUE"""),12.018467)</f>
        <v>12.018467</v>
      </c>
      <c r="AD306" s="4">
        <f>IFERROR(__xludf.DUMMYFUNCTION("""COMPUTED_VALUE"""),8.529527)</f>
        <v>8.529527</v>
      </c>
      <c r="AE306" s="5" t="str">
        <f>IFERROR(__xludf.DUMMYFUNCTION("""COMPUTED_VALUE"""),"https://drive.google.com/open?id=1DBh9oMotF_DOMV-XPMnZb9UxiFeXd7-K")</f>
        <v>https://drive.google.com/open?id=1DBh9oMotF_DOMV-XPMnZb9UxiFeXd7-K</v>
      </c>
      <c r="AF306" s="4"/>
      <c r="AG306" s="4"/>
      <c r="AH306" s="4"/>
      <c r="AI306" s="4"/>
      <c r="AL306" s="4" t="str">
        <f t="shared" si="1"/>
        <v>Cluster 9</v>
      </c>
      <c r="AM306" s="4" t="str">
        <f t="shared" si="2"/>
        <v>NEW ROAD</v>
      </c>
    </row>
    <row r="307">
      <c r="A307" s="3">
        <f>IFERROR(__xludf.DUMMYFUNCTION("""COMPUTED_VALUE"""),45870.24400564814)</f>
        <v>45870.24401</v>
      </c>
      <c r="B307" s="4" t="str">
        <f>IFERROR(__xludf.DUMMYFUNCTION("""COMPUTED_VALUE"""),"ajisadiqdala@gmail.com")</f>
        <v>ajisadiqdala@gmail.com</v>
      </c>
      <c r="C307" s="4" t="str">
        <f>IFERROR(__xludf.DUMMYFUNCTION("""COMPUTED_VALUE"""),"Sadiq Dala")</f>
        <v>Sadiq Dala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 t="str">
        <f>IFERROR(__xludf.DUMMYFUNCTION("""COMPUTED_VALUE"""),"Cluster 9")</f>
        <v>Cluster 9</v>
      </c>
      <c r="W307" s="4"/>
      <c r="X307" s="4" t="str">
        <f>IFERROR(__xludf.DUMMYFUNCTION("""COMPUTED_VALUE"""),"NEW ROAD")</f>
        <v>NEW ROAD</v>
      </c>
      <c r="Y307" s="4"/>
      <c r="Z307" s="4"/>
      <c r="AA307" s="4"/>
      <c r="AB307" s="4" t="str">
        <f>IFERROR(__xludf.DUMMYFUNCTION("""COMPUTED_VALUE"""),"Point 1")</f>
        <v>Point 1</v>
      </c>
      <c r="AC307" s="4">
        <f>IFERROR(__xludf.DUMMYFUNCTION("""COMPUTED_VALUE"""),12.01855129)</f>
        <v>12.01855129</v>
      </c>
      <c r="AD307" s="4">
        <f>IFERROR(__xludf.DUMMYFUNCTION("""COMPUTED_VALUE"""),8.52943567)</f>
        <v>8.52943567</v>
      </c>
      <c r="AE307" s="5" t="str">
        <f>IFERROR(__xludf.DUMMYFUNCTION("""COMPUTED_VALUE"""),"https://drive.google.com/open?id=1b7myKdYJqB7B154N38Vu8E4RAY1zXDfh")</f>
        <v>https://drive.google.com/open?id=1b7myKdYJqB7B154N38Vu8E4RAY1zXDfh</v>
      </c>
      <c r="AF307" s="4"/>
      <c r="AG307" s="4"/>
      <c r="AH307" s="4"/>
      <c r="AI307" s="4"/>
      <c r="AL307" s="4" t="str">
        <f t="shared" si="1"/>
        <v>Cluster 9</v>
      </c>
      <c r="AM307" s="4" t="str">
        <f t="shared" si="2"/>
        <v>NEW ROAD</v>
      </c>
    </row>
    <row r="308">
      <c r="A308" s="3">
        <f>IFERROR(__xludf.DUMMYFUNCTION("""COMPUTED_VALUE"""),45870.23903627315)</f>
        <v>45870.23904</v>
      </c>
      <c r="B308" s="4" t="str">
        <f>IFERROR(__xludf.DUMMYFUNCTION("""COMPUTED_VALUE"""),"ajisadiqdala@gmail.com")</f>
        <v>ajisadiqdala@gmail.com</v>
      </c>
      <c r="C308" s="4" t="str">
        <f>IFERROR(__xludf.DUMMYFUNCTION("""COMPUTED_VALUE"""),"Sadiq Dala")</f>
        <v>Sadiq Dala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 t="str">
        <f>IFERROR(__xludf.DUMMYFUNCTION("""COMPUTED_VALUE"""),"Cluster 12")</f>
        <v>Cluster 12</v>
      </c>
      <c r="W308" s="4"/>
      <c r="X308" s="4"/>
      <c r="Y308" s="4"/>
      <c r="Z308" s="4" t="str">
        <f>IFERROR(__xludf.DUMMYFUNCTION("""COMPUTED_VALUE"""),"IBRAHIM DABO ROAD")</f>
        <v>IBRAHIM DABO ROAD</v>
      </c>
      <c r="AA308" s="4"/>
      <c r="AB308" s="4" t="str">
        <f>IFERROR(__xludf.DUMMYFUNCTION("""COMPUTED_VALUE"""),"Point 2")</f>
        <v>Point 2</v>
      </c>
      <c r="AC308" s="4">
        <f>IFERROR(__xludf.DUMMYFUNCTION("""COMPUTED_VALUE"""),11.979475)</f>
        <v>11.979475</v>
      </c>
      <c r="AD308" s="4">
        <f>IFERROR(__xludf.DUMMYFUNCTION("""COMPUTED_VALUE"""),8.54441)</f>
        <v>8.54441</v>
      </c>
      <c r="AE308" s="5" t="str">
        <f>IFERROR(__xludf.DUMMYFUNCTION("""COMPUTED_VALUE"""),"https://drive.google.com/open?id=1p5suCkaR2ENnjqAJNbNkKjjAIP7VQ8gO")</f>
        <v>https://drive.google.com/open?id=1p5suCkaR2ENnjqAJNbNkKjjAIP7VQ8gO</v>
      </c>
      <c r="AF308" s="4"/>
      <c r="AG308" s="4"/>
      <c r="AH308" s="4"/>
      <c r="AI308" s="4"/>
      <c r="AL308" s="4" t="str">
        <f t="shared" si="1"/>
        <v>Cluster 12</v>
      </c>
      <c r="AM308" s="4" t="str">
        <f t="shared" si="2"/>
        <v>IBRAHIM DABO ROAD</v>
      </c>
    </row>
    <row r="309">
      <c r="A309" s="3">
        <f>IFERROR(__xludf.DUMMYFUNCTION("""COMPUTED_VALUE"""),45870.23388664352)</f>
        <v>45870.23389</v>
      </c>
      <c r="B309" s="4" t="str">
        <f>IFERROR(__xludf.DUMMYFUNCTION("""COMPUTED_VALUE"""),"ajisadiqdala@gmail.com")</f>
        <v>ajisadiqdala@gmail.com</v>
      </c>
      <c r="C309" s="4" t="str">
        <f>IFERROR(__xludf.DUMMYFUNCTION("""COMPUTED_VALUE"""),"Sadiq Dala")</f>
        <v>Sadiq Dala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 t="str">
        <f>IFERROR(__xludf.DUMMYFUNCTION("""COMPUTED_VALUE"""),"Cluster 12")</f>
        <v>Cluster 12</v>
      </c>
      <c r="W309" s="4"/>
      <c r="X309" s="4"/>
      <c r="Y309" s="4"/>
      <c r="Z309" s="4" t="str">
        <f>IFERROR(__xludf.DUMMYFUNCTION("""COMPUTED_VALUE"""),"IBRAHIM DABO ROAD")</f>
        <v>IBRAHIM DABO ROAD</v>
      </c>
      <c r="AA309" s="4"/>
      <c r="AB309" s="4" t="str">
        <f>IFERROR(__xludf.DUMMYFUNCTION("""COMPUTED_VALUE"""),"Point 1")</f>
        <v>Point 1</v>
      </c>
      <c r="AC309" s="4">
        <f>IFERROR(__xludf.DUMMYFUNCTION("""COMPUTED_VALUE"""),11.9821)</f>
        <v>11.9821</v>
      </c>
      <c r="AD309" s="4">
        <f>IFERROR(__xludf.DUMMYFUNCTION("""COMPUTED_VALUE"""),8.538826)</f>
        <v>8.538826</v>
      </c>
      <c r="AE309" s="5" t="str">
        <f>IFERROR(__xludf.DUMMYFUNCTION("""COMPUTED_VALUE"""),"https://drive.google.com/open?id=1uoaRQQpcdssfJ2z14gx96LaS4lsNPs6A")</f>
        <v>https://drive.google.com/open?id=1uoaRQQpcdssfJ2z14gx96LaS4lsNPs6A</v>
      </c>
      <c r="AF309" s="4"/>
      <c r="AG309" s="4"/>
      <c r="AH309" s="4"/>
      <c r="AI309" s="4"/>
      <c r="AL309" s="4" t="str">
        <f t="shared" si="1"/>
        <v>Cluster 12</v>
      </c>
      <c r="AM309" s="4" t="str">
        <f t="shared" si="2"/>
        <v>IBRAHIM DABO ROAD</v>
      </c>
    </row>
    <row r="310">
      <c r="A310" s="3">
        <f>IFERROR(__xludf.DUMMYFUNCTION("""COMPUTED_VALUE"""),45870.23048549768)</f>
        <v>45870.23049</v>
      </c>
      <c r="B310" s="4" t="str">
        <f>IFERROR(__xludf.DUMMYFUNCTION("""COMPUTED_VALUE"""),"ajisadiqdala@gmail.com")</f>
        <v>ajisadiqdala@gmail.com</v>
      </c>
      <c r="C310" s="4" t="str">
        <f>IFERROR(__xludf.DUMMYFUNCTION("""COMPUTED_VALUE"""),"Sadiq Dala")</f>
        <v>Sadiq Dala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 t="str">
        <f>IFERROR(__xludf.DUMMYFUNCTION("""COMPUTED_VALUE"""),"Cluster 9")</f>
        <v>Cluster 9</v>
      </c>
      <c r="W310" s="4"/>
      <c r="X310" s="4" t="str">
        <f>IFERROR(__xludf.DUMMYFUNCTION("""COMPUTED_VALUE"""),"GALADIMA STREET")</f>
        <v>GALADIMA STREET</v>
      </c>
      <c r="Y310" s="4"/>
      <c r="Z310" s="4"/>
      <c r="AA310" s="4"/>
      <c r="AB310" s="4" t="str">
        <f>IFERROR(__xludf.DUMMYFUNCTION("""COMPUTED_VALUE"""),"Point 2")</f>
        <v>Point 2</v>
      </c>
      <c r="AC310" s="4">
        <f>IFERROR(__xludf.DUMMYFUNCTION("""COMPUTED_VALUE"""),12.01077)</f>
        <v>12.01077</v>
      </c>
      <c r="AD310" s="4">
        <f>IFERROR(__xludf.DUMMYFUNCTION("""COMPUTED_VALUE"""),8.532935)</f>
        <v>8.532935</v>
      </c>
      <c r="AE310" s="5" t="str">
        <f>IFERROR(__xludf.DUMMYFUNCTION("""COMPUTED_VALUE"""),"https://drive.google.com/open?id=1qhL6qf1_uqC_dN2KDHLB_ip0eEL2aVLG")</f>
        <v>https://drive.google.com/open?id=1qhL6qf1_uqC_dN2KDHLB_ip0eEL2aVLG</v>
      </c>
      <c r="AF310" s="4"/>
      <c r="AG310" s="4"/>
      <c r="AH310" s="4"/>
      <c r="AI310" s="4"/>
      <c r="AL310" s="4" t="str">
        <f t="shared" si="1"/>
        <v>Cluster 9</v>
      </c>
      <c r="AM310" s="4" t="str">
        <f t="shared" si="2"/>
        <v>GALADIMA STREET</v>
      </c>
    </row>
    <row r="311">
      <c r="A311" s="3">
        <f>IFERROR(__xludf.DUMMYFUNCTION("""COMPUTED_VALUE"""),45870.22788711806)</f>
        <v>45870.22789</v>
      </c>
      <c r="B311" s="4" t="str">
        <f>IFERROR(__xludf.DUMMYFUNCTION("""COMPUTED_VALUE"""),"ajisadiqdala@gmail.com")</f>
        <v>ajisadiqdala@gmail.com</v>
      </c>
      <c r="C311" s="4" t="str">
        <f>IFERROR(__xludf.DUMMYFUNCTION("""COMPUTED_VALUE"""),"Sadiq Dala")</f>
        <v>Sadiq Dala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 t="str">
        <f>IFERROR(__xludf.DUMMYFUNCTION("""COMPUTED_VALUE"""),"Cluster 9")</f>
        <v>Cluster 9</v>
      </c>
      <c r="W311" s="4"/>
      <c r="X311" s="4" t="str">
        <f>IFERROR(__xludf.DUMMYFUNCTION("""COMPUTED_VALUE"""),"GALADIMA STREET")</f>
        <v>GALADIMA STREET</v>
      </c>
      <c r="Y311" s="4"/>
      <c r="Z311" s="4"/>
      <c r="AA311" s="4"/>
      <c r="AB311" s="4" t="str">
        <f>IFERROR(__xludf.DUMMYFUNCTION("""COMPUTED_VALUE"""),"Point 1")</f>
        <v>Point 1</v>
      </c>
      <c r="AC311" s="4">
        <f>IFERROR(__xludf.DUMMYFUNCTION("""COMPUTED_VALUE"""),12.01422)</f>
        <v>12.01422</v>
      </c>
      <c r="AD311" s="4">
        <f>IFERROR(__xludf.DUMMYFUNCTION("""COMPUTED_VALUE"""),8.532455)</f>
        <v>8.532455</v>
      </c>
      <c r="AE311" s="5" t="str">
        <f>IFERROR(__xludf.DUMMYFUNCTION("""COMPUTED_VALUE"""),"https://drive.google.com/open?id=1-OgwIscBRwYnwhGPtPJZeJf3wmUF0A13")</f>
        <v>https://drive.google.com/open?id=1-OgwIscBRwYnwhGPtPJZeJf3wmUF0A13</v>
      </c>
      <c r="AF311" s="4"/>
      <c r="AG311" s="4"/>
      <c r="AH311" s="4"/>
      <c r="AI311" s="4"/>
      <c r="AL311" s="4" t="str">
        <f t="shared" si="1"/>
        <v>Cluster 9</v>
      </c>
      <c r="AM311" s="4" t="str">
        <f t="shared" si="2"/>
        <v>GALADIMA STREET</v>
      </c>
    </row>
    <row r="312">
      <c r="A312" s="3">
        <f>IFERROR(__xludf.DUMMYFUNCTION("""COMPUTED_VALUE"""),45870.088063206014)</f>
        <v>45870.08806</v>
      </c>
      <c r="B312" s="4" t="str">
        <f>IFERROR(__xludf.DUMMYFUNCTION("""COMPUTED_VALUE"""),"elhabs256@gmail.com")</f>
        <v>elhabs256@gmail.com</v>
      </c>
      <c r="C312" s="4" t="str">
        <f>IFERROR(__xludf.DUMMYFUNCTION("""COMPUTED_VALUE"""),"Abdullahi Elhabeeb")</f>
        <v>Abdullahi Elhabeeb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tr">
        <f>IFERROR(__xludf.DUMMYFUNCTION("""COMPUTED_VALUE"""),"Cluster 2")</f>
        <v>Cluster 2</v>
      </c>
      <c r="Q312" s="4"/>
      <c r="R312" s="4" t="str">
        <f>IFERROR(__xludf.DUMMYFUNCTION("""COMPUTED_VALUE"""),"BIDA ROAD")</f>
        <v>BIDA ROAD</v>
      </c>
      <c r="S312" s="4"/>
      <c r="T312" s="4"/>
      <c r="U312" s="4"/>
      <c r="V312" s="4"/>
      <c r="W312" s="4"/>
      <c r="X312" s="4"/>
      <c r="Y312" s="4"/>
      <c r="Z312" s="4"/>
      <c r="AA312" s="4"/>
      <c r="AB312" s="4" t="str">
        <f>IFERROR(__xludf.DUMMYFUNCTION("""COMPUTED_VALUE"""),"Point 1")</f>
        <v>Point 1</v>
      </c>
      <c r="AC312" s="4">
        <f>IFERROR(__xludf.DUMMYFUNCTION("""COMPUTED_VALUE"""),12.0005)</f>
        <v>12.0005</v>
      </c>
      <c r="AD312" s="4">
        <f>IFERROR(__xludf.DUMMYFUNCTION("""COMPUTED_VALUE"""),8.537457)</f>
        <v>8.537457</v>
      </c>
      <c r="AE312" s="5" t="str">
        <f>IFERROR(__xludf.DUMMYFUNCTION("""COMPUTED_VALUE"""),"https://drive.google.com/open?id=1s4OULOmk71mQQbdHtJPkFzTZNEG5f-Ha")</f>
        <v>https://drive.google.com/open?id=1s4OULOmk71mQQbdHtJPkFzTZNEG5f-Ha</v>
      </c>
      <c r="AF312" s="4"/>
      <c r="AG312" s="4"/>
      <c r="AH312" s="4"/>
      <c r="AI312" s="4"/>
      <c r="AL312" s="4" t="str">
        <f t="shared" si="1"/>
        <v>Cluster 2</v>
      </c>
      <c r="AM312" s="4" t="str">
        <f t="shared" si="2"/>
        <v>BIDA ROAD</v>
      </c>
    </row>
    <row r="313">
      <c r="A313" s="3">
        <f>IFERROR(__xludf.DUMMYFUNCTION("""COMPUTED_VALUE"""),45870.08297497685)</f>
        <v>45870.08297</v>
      </c>
      <c r="B313" s="4" t="str">
        <f>IFERROR(__xludf.DUMMYFUNCTION("""COMPUTED_VALUE"""),"elhabs256@gmail.com")</f>
        <v>elhabs256@gmail.com</v>
      </c>
      <c r="C313" s="4" t="str">
        <f>IFERROR(__xludf.DUMMYFUNCTION("""COMPUTED_VALUE"""),"Abdullahi Elhabeeb")</f>
        <v>Abdullahi Elhabeeb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tr">
        <f>IFERROR(__xludf.DUMMYFUNCTION("""COMPUTED_VALUE"""),"Cluster 2")</f>
        <v>Cluster 2</v>
      </c>
      <c r="Q313" s="4"/>
      <c r="R313" s="4" t="str">
        <f>IFERROR(__xludf.DUMMYFUNCTION("""COMPUTED_VALUE"""),"BIDA ROAD")</f>
        <v>BIDA ROAD</v>
      </c>
      <c r="S313" s="4"/>
      <c r="T313" s="4"/>
      <c r="U313" s="4"/>
      <c r="V313" s="4"/>
      <c r="W313" s="4"/>
      <c r="X313" s="4"/>
      <c r="Y313" s="4"/>
      <c r="Z313" s="4"/>
      <c r="AA313" s="4"/>
      <c r="AB313" s="4" t="str">
        <f>IFERROR(__xludf.DUMMYFUNCTION("""COMPUTED_VALUE"""),"Point 2")</f>
        <v>Point 2</v>
      </c>
      <c r="AC313" s="4">
        <f>IFERROR(__xludf.DUMMYFUNCTION("""COMPUTED_VALUE"""),12.0003373)</f>
        <v>12.0003373</v>
      </c>
      <c r="AD313" s="4">
        <f>IFERROR(__xludf.DUMMYFUNCTION("""COMPUTED_VALUE"""),8.537727)</f>
        <v>8.537727</v>
      </c>
      <c r="AE313" s="5" t="str">
        <f>IFERROR(__xludf.DUMMYFUNCTION("""COMPUTED_VALUE"""),"https://drive.google.com/open?id=1LbSdZIc1s4k908HVlxlwIsODaDxU5ROA")</f>
        <v>https://drive.google.com/open?id=1LbSdZIc1s4k908HVlxlwIsODaDxU5ROA</v>
      </c>
      <c r="AF313" s="4"/>
      <c r="AG313" s="4"/>
      <c r="AH313" s="4"/>
      <c r="AI313" s="4"/>
      <c r="AL313" s="4" t="str">
        <f t="shared" si="1"/>
        <v>Cluster 2</v>
      </c>
      <c r="AM313" s="4" t="str">
        <f t="shared" si="2"/>
        <v>BIDA ROAD</v>
      </c>
    </row>
    <row r="314">
      <c r="A314" s="3">
        <f>IFERROR(__xludf.DUMMYFUNCTION("""COMPUTED_VALUE"""),45870.08142552083)</f>
        <v>45870.08143</v>
      </c>
      <c r="B314" s="4" t="str">
        <f>IFERROR(__xludf.DUMMYFUNCTION("""COMPUTED_VALUE"""),"elhabs256@gmail.com")</f>
        <v>elhabs256@gmail.com</v>
      </c>
      <c r="C314" s="4" t="str">
        <f>IFERROR(__xludf.DUMMYFUNCTION("""COMPUTED_VALUE"""),"Abdullahi Elhabeeb")</f>
        <v>Abdullahi Elhabeeb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tr">
        <f>IFERROR(__xludf.DUMMYFUNCTION("""COMPUTED_VALUE"""),"Cluster 2")</f>
        <v>Cluster 2</v>
      </c>
      <c r="Q314" s="4"/>
      <c r="R314" s="4" t="str">
        <f>IFERROR(__xludf.DUMMYFUNCTION("""COMPUTED_VALUE"""),"AJASA YAN SIMINTI ROAD")</f>
        <v>AJASA YAN SIMINTI ROAD</v>
      </c>
      <c r="S314" s="4"/>
      <c r="T314" s="4"/>
      <c r="U314" s="4"/>
      <c r="V314" s="4"/>
      <c r="W314" s="4"/>
      <c r="X314" s="4"/>
      <c r="Y314" s="4"/>
      <c r="Z314" s="4"/>
      <c r="AA314" s="4"/>
      <c r="AB314" s="4" t="str">
        <f>IFERROR(__xludf.DUMMYFUNCTION("""COMPUTED_VALUE"""),"Point 2")</f>
        <v>Point 2</v>
      </c>
      <c r="AC314" s="4">
        <f>IFERROR(__xludf.DUMMYFUNCTION("""COMPUTED_VALUE"""),11.998402)</f>
        <v>11.998402</v>
      </c>
      <c r="AD314" s="4">
        <f>IFERROR(__xludf.DUMMYFUNCTION("""COMPUTED_VALUE"""),8.535807)</f>
        <v>8.535807</v>
      </c>
      <c r="AE314" s="5" t="str">
        <f>IFERROR(__xludf.DUMMYFUNCTION("""COMPUTED_VALUE"""),"https://drive.google.com/open?id=1y4N2U0R6-075tofwsF0UDl989KkYIdoR")</f>
        <v>https://drive.google.com/open?id=1y4N2U0R6-075tofwsF0UDl989KkYIdoR</v>
      </c>
      <c r="AF314" s="4"/>
      <c r="AG314" s="4"/>
      <c r="AH314" s="4"/>
      <c r="AI314" s="4"/>
      <c r="AL314" s="4" t="str">
        <f t="shared" si="1"/>
        <v>Cluster 2</v>
      </c>
      <c r="AM314" s="4" t="str">
        <f t="shared" si="2"/>
        <v>AJASA YAN SIMINTI ROAD</v>
      </c>
    </row>
    <row r="315">
      <c r="A315" s="3">
        <f>IFERROR(__xludf.DUMMYFUNCTION("""COMPUTED_VALUE"""),45870.07477521991)</f>
        <v>45870.07478</v>
      </c>
      <c r="B315" s="4" t="str">
        <f>IFERROR(__xludf.DUMMYFUNCTION("""COMPUTED_VALUE"""),"elhabs256@gmail.com")</f>
        <v>elhabs256@gmail.com</v>
      </c>
      <c r="C315" s="4" t="str">
        <f>IFERROR(__xludf.DUMMYFUNCTION("""COMPUTED_VALUE"""),"Abdullahi Elhabeeb")</f>
        <v>Abdullahi Elhabeeb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tr">
        <f>IFERROR(__xludf.DUMMYFUNCTION("""COMPUTED_VALUE"""),"Cluster 18")</f>
        <v>Cluster 18</v>
      </c>
      <c r="Q315" s="4"/>
      <c r="R315" s="4"/>
      <c r="S315" s="4"/>
      <c r="T315" s="4"/>
      <c r="U315" s="4" t="str">
        <f>IFERROR(__xludf.DUMMYFUNCTION("""COMPUTED_VALUE"""),"YAKUBU BAKO CLOSE")</f>
        <v>YAKUBU BAKO CLOSE</v>
      </c>
      <c r="V315" s="4"/>
      <c r="W315" s="4"/>
      <c r="X315" s="4"/>
      <c r="Y315" s="4"/>
      <c r="Z315" s="4"/>
      <c r="AA315" s="4"/>
      <c r="AB315" s="4" t="str">
        <f>IFERROR(__xludf.DUMMYFUNCTION("""COMPUTED_VALUE"""),"Point 1")</f>
        <v>Point 1</v>
      </c>
      <c r="AC315" s="4">
        <f>IFERROR(__xludf.DUMMYFUNCTION("""COMPUTED_VALUE"""),11.99702)</f>
        <v>11.99702</v>
      </c>
      <c r="AD315" s="4">
        <f>IFERROR(__xludf.DUMMYFUNCTION("""COMPUTED_VALUE"""),8.555647)</f>
        <v>8.555647</v>
      </c>
      <c r="AE315" s="5" t="str">
        <f>IFERROR(__xludf.DUMMYFUNCTION("""COMPUTED_VALUE"""),"https://drive.google.com/open?id=1W06GGURxEzTrCea5t8TUkqQ6G1HAUTRb")</f>
        <v>https://drive.google.com/open?id=1W06GGURxEzTrCea5t8TUkqQ6G1HAUTRb</v>
      </c>
      <c r="AF315" s="4"/>
      <c r="AG315" s="4"/>
      <c r="AH315" s="4"/>
      <c r="AI315" s="4"/>
      <c r="AL315" s="4" t="str">
        <f t="shared" si="1"/>
        <v>Cluster 18</v>
      </c>
      <c r="AM315" s="4" t="str">
        <f t="shared" si="2"/>
        <v>YAKUBU BAKO CLOSE</v>
      </c>
    </row>
    <row r="316">
      <c r="A316" s="3">
        <f>IFERROR(__xludf.DUMMYFUNCTION("""COMPUTED_VALUE"""),45870.07208060185)</f>
        <v>45870.07208</v>
      </c>
      <c r="B316" s="4" t="str">
        <f>IFERROR(__xludf.DUMMYFUNCTION("""COMPUTED_VALUE"""),"elhabs256@gmail.com")</f>
        <v>elhabs256@gmail.com</v>
      </c>
      <c r="C316" s="4" t="str">
        <f>IFERROR(__xludf.DUMMYFUNCTION("""COMPUTED_VALUE"""),"Abdullahi Elhabeeb")</f>
        <v>Abdullahi Elhabeeb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tr">
        <f>IFERROR(__xludf.DUMMYFUNCTION("""COMPUTED_VALUE"""),"Cluster 2")</f>
        <v>Cluster 2</v>
      </c>
      <c r="Q316" s="4"/>
      <c r="R316" s="4" t="str">
        <f>IFERROR(__xludf.DUMMYFUNCTION("""COMPUTED_VALUE"""),"MATAN FADA ROAD")</f>
        <v>MATAN FADA ROAD</v>
      </c>
      <c r="S316" s="4"/>
      <c r="T316" s="4"/>
      <c r="U316" s="4"/>
      <c r="V316" s="4"/>
      <c r="W316" s="4"/>
      <c r="X316" s="4"/>
      <c r="Y316" s="4"/>
      <c r="Z316" s="4"/>
      <c r="AA316" s="4"/>
      <c r="AB316" s="4" t="str">
        <f>IFERROR(__xludf.DUMMYFUNCTION("""COMPUTED_VALUE"""),"Point 2")</f>
        <v>Point 2</v>
      </c>
      <c r="AC316" s="4">
        <f>IFERROR(__xludf.DUMMYFUNCTION("""COMPUTED_VALUE"""),11.98717)</f>
        <v>11.98717</v>
      </c>
      <c r="AD316" s="4">
        <f>IFERROR(__xludf.DUMMYFUNCTION("""COMPUTED_VALUE"""),8.542012)</f>
        <v>8.542012</v>
      </c>
      <c r="AE316" s="5" t="str">
        <f>IFERROR(__xludf.DUMMYFUNCTION("""COMPUTED_VALUE"""),"https://drive.google.com/open?id=1vUrChfi3MeIFvlyBVpJGaUAVwX3SNsUg")</f>
        <v>https://drive.google.com/open?id=1vUrChfi3MeIFvlyBVpJGaUAVwX3SNsUg</v>
      </c>
      <c r="AF316" s="4"/>
      <c r="AG316" s="4"/>
      <c r="AH316" s="4"/>
      <c r="AI316" s="4"/>
      <c r="AL316" s="4" t="str">
        <f t="shared" si="1"/>
        <v>Cluster 2</v>
      </c>
      <c r="AM316" s="4" t="str">
        <f t="shared" si="2"/>
        <v>MATAN FADA ROAD</v>
      </c>
    </row>
    <row r="317">
      <c r="A317" s="3">
        <f>IFERROR(__xludf.DUMMYFUNCTION("""COMPUTED_VALUE"""),45870.07043689815)</f>
        <v>45870.07044</v>
      </c>
      <c r="B317" s="4" t="str">
        <f>IFERROR(__xludf.DUMMYFUNCTION("""COMPUTED_VALUE"""),"elhabs256@gmail.com")</f>
        <v>elhabs256@gmail.com</v>
      </c>
      <c r="C317" s="4" t="str">
        <f>IFERROR(__xludf.DUMMYFUNCTION("""COMPUTED_VALUE"""),"Abdullahi Elhabeeb")</f>
        <v>Abdullahi Elhabeeb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tr">
        <f>IFERROR(__xludf.DUMMYFUNCTION("""COMPUTED_VALUE"""),"Cluster 2")</f>
        <v>Cluster 2</v>
      </c>
      <c r="Q317" s="4"/>
      <c r="R317" s="4" t="str">
        <f>IFERROR(__xludf.DUMMYFUNCTION("""COMPUTED_VALUE"""),"MATAN FADA ROAD")</f>
        <v>MATAN FADA ROAD</v>
      </c>
      <c r="S317" s="4"/>
      <c r="T317" s="4"/>
      <c r="U317" s="4"/>
      <c r="V317" s="4"/>
      <c r="W317" s="4"/>
      <c r="X317" s="4"/>
      <c r="Y317" s="4"/>
      <c r="Z317" s="4"/>
      <c r="AA317" s="4"/>
      <c r="AB317" s="4" t="str">
        <f>IFERROR(__xludf.DUMMYFUNCTION("""COMPUTED_VALUE"""),"Point 1")</f>
        <v>Point 1</v>
      </c>
      <c r="AC317" s="4">
        <f>IFERROR(__xludf.DUMMYFUNCTION("""COMPUTED_VALUE"""),11.992928)</f>
        <v>11.992928</v>
      </c>
      <c r="AD317" s="4">
        <f>IFERROR(__xludf.DUMMYFUNCTION("""COMPUTED_VALUE"""),8.541444)</f>
        <v>8.541444</v>
      </c>
      <c r="AE317" s="5" t="str">
        <f>IFERROR(__xludf.DUMMYFUNCTION("""COMPUTED_VALUE"""),"https://drive.google.com/open?id=1uWRRK4NDwmYl55QaASwsP2JcJXOKaGqL")</f>
        <v>https://drive.google.com/open?id=1uWRRK4NDwmYl55QaASwsP2JcJXOKaGqL</v>
      </c>
      <c r="AF317" s="4"/>
      <c r="AG317" s="4"/>
      <c r="AH317" s="4"/>
      <c r="AI317" s="4"/>
      <c r="AL317" s="4" t="str">
        <f t="shared" si="1"/>
        <v>Cluster 2</v>
      </c>
      <c r="AM317" s="4" t="str">
        <f t="shared" si="2"/>
        <v>MATAN FADA ROAD</v>
      </c>
    </row>
    <row r="318">
      <c r="A318" s="3">
        <f>IFERROR(__xludf.DUMMYFUNCTION("""COMPUTED_VALUE"""),45870.064971562504)</f>
        <v>45870.06497</v>
      </c>
      <c r="B318" s="4" t="str">
        <f>IFERROR(__xludf.DUMMYFUNCTION("""COMPUTED_VALUE"""),"elhabs256@gmail.com")</f>
        <v>elhabs256@gmail.com</v>
      </c>
      <c r="C318" s="4" t="str">
        <f>IFERROR(__xludf.DUMMYFUNCTION("""COMPUTED_VALUE"""),"Abdullahi Elhabeeb")</f>
        <v>Abdullahi Elhabeeb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tr">
        <f>IFERROR(__xludf.DUMMYFUNCTION("""COMPUTED_VALUE"""),"Cluster 6")</f>
        <v>Cluster 6</v>
      </c>
      <c r="Q318" s="4" t="str">
        <f>IFERROR(__xludf.DUMMYFUNCTION("""COMPUTED_VALUE"""),"LAMIDO CRESCENT")</f>
        <v>LAMIDO CRESCENT</v>
      </c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 t="str">
        <f>IFERROR(__xludf.DUMMYFUNCTION("""COMPUTED_VALUE"""),"Point 2")</f>
        <v>Point 2</v>
      </c>
      <c r="AC318" s="4">
        <f>IFERROR(__xludf.DUMMYFUNCTION("""COMPUTED_VALUE"""),12.002561)</f>
        <v>12.002561</v>
      </c>
      <c r="AD318" s="4">
        <f>IFERROR(__xludf.DUMMYFUNCTION("""COMPUTED_VALUE"""),8.568747)</f>
        <v>8.568747</v>
      </c>
      <c r="AE318" s="5" t="str">
        <f>IFERROR(__xludf.DUMMYFUNCTION("""COMPUTED_VALUE"""),"https://drive.google.com/open?id=19viOUUftPEMZHDZsWwh1_Q85uysR4TNX")</f>
        <v>https://drive.google.com/open?id=19viOUUftPEMZHDZsWwh1_Q85uysR4TNX</v>
      </c>
      <c r="AF318" s="4"/>
      <c r="AG318" s="4"/>
      <c r="AH318" s="4"/>
      <c r="AI318" s="4"/>
      <c r="AL318" s="4" t="str">
        <f t="shared" si="1"/>
        <v>Cluster 6</v>
      </c>
      <c r="AM318" s="4" t="str">
        <f t="shared" si="2"/>
        <v>LAMIDO CRESCENT</v>
      </c>
    </row>
    <row r="319">
      <c r="A319" s="3">
        <f>IFERROR(__xludf.DUMMYFUNCTION("""COMPUTED_VALUE"""),45870.06359282407)</f>
        <v>45870.06359</v>
      </c>
      <c r="B319" s="4" t="str">
        <f>IFERROR(__xludf.DUMMYFUNCTION("""COMPUTED_VALUE"""),"elhabs256@gmail.com")</f>
        <v>elhabs256@gmail.com</v>
      </c>
      <c r="C319" s="4" t="str">
        <f>IFERROR(__xludf.DUMMYFUNCTION("""COMPUTED_VALUE"""),"Abdullahi Elhabeeb")</f>
        <v>Abdullahi Elhabeeb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tr">
        <f>IFERROR(__xludf.DUMMYFUNCTION("""COMPUTED_VALUE"""),"Cluster 6")</f>
        <v>Cluster 6</v>
      </c>
      <c r="Q319" s="4" t="str">
        <f>IFERROR(__xludf.DUMMYFUNCTION("""COMPUTED_VALUE"""),"LAMIDO CRESCENT")</f>
        <v>LAMIDO CRESCENT</v>
      </c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 t="str">
        <f>IFERROR(__xludf.DUMMYFUNCTION("""COMPUTED_VALUE"""),"Point 1")</f>
        <v>Point 1</v>
      </c>
      <c r="AC319" s="4">
        <f>IFERROR(__xludf.DUMMYFUNCTION("""COMPUTED_VALUE"""),11.979842)</f>
        <v>11.979842</v>
      </c>
      <c r="AD319" s="4">
        <f>IFERROR(__xludf.DUMMYFUNCTION("""COMPUTED_VALUE"""),8.561489)</f>
        <v>8.561489</v>
      </c>
      <c r="AE319" s="5" t="str">
        <f>IFERROR(__xludf.DUMMYFUNCTION("""COMPUTED_VALUE"""),"https://drive.google.com/open?id=1brlAcMo_4ajWrqQbJV8koS5PhXuv_xgp")</f>
        <v>https://drive.google.com/open?id=1brlAcMo_4ajWrqQbJV8koS5PhXuv_xgp</v>
      </c>
      <c r="AF319" s="4"/>
      <c r="AG319" s="4"/>
      <c r="AH319" s="4"/>
      <c r="AI319" s="4"/>
      <c r="AL319" s="4" t="str">
        <f t="shared" si="1"/>
        <v>Cluster 6</v>
      </c>
      <c r="AM319" s="4" t="str">
        <f t="shared" si="2"/>
        <v>LAMIDO CRESCENT</v>
      </c>
    </row>
    <row r="320">
      <c r="A320" s="3">
        <f>IFERROR(__xludf.DUMMYFUNCTION("""COMPUTED_VALUE"""),45870.05985013889)</f>
        <v>45870.05985</v>
      </c>
      <c r="B320" s="4" t="str">
        <f>IFERROR(__xludf.DUMMYFUNCTION("""COMPUTED_VALUE"""),"elhabs256@gmail.com")</f>
        <v>elhabs256@gmail.com</v>
      </c>
      <c r="C320" s="4" t="str">
        <f>IFERROR(__xludf.DUMMYFUNCTION("""COMPUTED_VALUE"""),"Abdullahi Elhabeeb")</f>
        <v>Abdullahi Elhabeeb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tr">
        <f>IFERROR(__xludf.DUMMYFUNCTION("""COMPUTED_VALUE"""),"Cluster 6")</f>
        <v>Cluster 6</v>
      </c>
      <c r="Q320" s="4" t="str">
        <f>IFERROR(__xludf.DUMMYFUNCTION("""COMPUTED_VALUE"""),"MAGAJIN RUMFA ROAD")</f>
        <v>MAGAJIN RUMFA ROAD</v>
      </c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 t="str">
        <f>IFERROR(__xludf.DUMMYFUNCTION("""COMPUTED_VALUE"""),"Point 2")</f>
        <v>Point 2</v>
      </c>
      <c r="AC320" s="4">
        <f>IFERROR(__xludf.DUMMYFUNCTION("""COMPUTED_VALUE"""),11.989596)</f>
        <v>11.989596</v>
      </c>
      <c r="AD320" s="4">
        <f>IFERROR(__xludf.DUMMYFUNCTION("""COMPUTED_VALUE"""),8.550549)</f>
        <v>8.550549</v>
      </c>
      <c r="AE320" s="5" t="str">
        <f>IFERROR(__xludf.DUMMYFUNCTION("""COMPUTED_VALUE"""),"https://drive.google.com/open?id=1nd1VPMrgektpPkSHZyKWacSFs6angPvG")</f>
        <v>https://drive.google.com/open?id=1nd1VPMrgektpPkSHZyKWacSFs6angPvG</v>
      </c>
      <c r="AF320" s="4"/>
      <c r="AG320" s="4"/>
      <c r="AH320" s="4"/>
      <c r="AI320" s="4"/>
      <c r="AL320" s="4" t="str">
        <f t="shared" si="1"/>
        <v>Cluster 6</v>
      </c>
      <c r="AM320" s="4" t="str">
        <f t="shared" si="2"/>
        <v>MAGAJIN RUMFA ROAD</v>
      </c>
    </row>
    <row r="321">
      <c r="A321" s="3">
        <f>IFERROR(__xludf.DUMMYFUNCTION("""COMPUTED_VALUE"""),45870.05661962963)</f>
        <v>45870.05662</v>
      </c>
      <c r="B321" s="4" t="str">
        <f>IFERROR(__xludf.DUMMYFUNCTION("""COMPUTED_VALUE"""),"elhabs256@gmail.com")</f>
        <v>elhabs256@gmail.com</v>
      </c>
      <c r="C321" s="4" t="str">
        <f>IFERROR(__xludf.DUMMYFUNCTION("""COMPUTED_VALUE"""),"Abdullahi Elhabeeb")</f>
        <v>Abdullahi Elhabeeb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tr">
        <f>IFERROR(__xludf.DUMMYFUNCTION("""COMPUTED_VALUE"""),"Cluster 6")</f>
        <v>Cluster 6</v>
      </c>
      <c r="Q321" s="4" t="str">
        <f>IFERROR(__xludf.DUMMYFUNCTION("""COMPUTED_VALUE"""),"MAGAJIN RUMFA ROAD")</f>
        <v>MAGAJIN RUMFA ROAD</v>
      </c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 t="str">
        <f>IFERROR(__xludf.DUMMYFUNCTION("""COMPUTED_VALUE"""),"Point 1")</f>
        <v>Point 1</v>
      </c>
      <c r="AC321" s="4">
        <f>IFERROR(__xludf.DUMMYFUNCTION("""COMPUTED_VALUE"""),11.981576)</f>
        <v>11.981576</v>
      </c>
      <c r="AD321" s="4">
        <f>IFERROR(__xludf.DUMMYFUNCTION("""COMPUTED_VALUE"""),8.558385)</f>
        <v>8.558385</v>
      </c>
      <c r="AE321" s="5" t="str">
        <f>IFERROR(__xludf.DUMMYFUNCTION("""COMPUTED_VALUE"""),"https://drive.google.com/open?id=1xI65L7MUYRXnY2b5kyxzWT2dIszOY1b6")</f>
        <v>https://drive.google.com/open?id=1xI65L7MUYRXnY2b5kyxzWT2dIszOY1b6</v>
      </c>
      <c r="AF321" s="4"/>
      <c r="AG321" s="4"/>
      <c r="AH321" s="4"/>
      <c r="AI321" s="4"/>
      <c r="AL321" s="4" t="str">
        <f t="shared" si="1"/>
        <v>Cluster 6</v>
      </c>
      <c r="AM321" s="4" t="str">
        <f t="shared" si="2"/>
        <v>MAGAJIN RUMFA ROAD</v>
      </c>
    </row>
    <row r="322">
      <c r="A322" s="3">
        <f>IFERROR(__xludf.DUMMYFUNCTION("""COMPUTED_VALUE"""),45870.05237335648)</f>
        <v>45870.05237</v>
      </c>
      <c r="B322" s="4" t="str">
        <f>IFERROR(__xludf.DUMMYFUNCTION("""COMPUTED_VALUE"""),"elhabs256@gmail.com")</f>
        <v>elhabs256@gmail.com</v>
      </c>
      <c r="C322" s="4" t="str">
        <f>IFERROR(__xludf.DUMMYFUNCTION("""COMPUTED_VALUE"""),"Abdullahi Elhabeeb")</f>
        <v>Abdullahi Elhabeeb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tr">
        <f>IFERROR(__xludf.DUMMYFUNCTION("""COMPUTED_VALUE"""),"Cluster 13")</f>
        <v>Cluster 13</v>
      </c>
      <c r="Q322" s="4"/>
      <c r="R322" s="4"/>
      <c r="S322" s="4"/>
      <c r="T322" s="4" t="str">
        <f>IFERROR(__xludf.DUMMYFUNCTION("""COMPUTED_VALUE"""),"KWAIRANGA ROAD")</f>
        <v>KWAIRANGA ROAD</v>
      </c>
      <c r="U322" s="4"/>
      <c r="V322" s="4"/>
      <c r="W322" s="4"/>
      <c r="X322" s="4"/>
      <c r="Y322" s="4"/>
      <c r="Z322" s="4"/>
      <c r="AA322" s="4"/>
      <c r="AB322" s="4" t="str">
        <f>IFERROR(__xludf.DUMMYFUNCTION("""COMPUTED_VALUE"""),"Point 1")</f>
        <v>Point 1</v>
      </c>
      <c r="AC322" s="4">
        <f>IFERROR(__xludf.DUMMYFUNCTION("""COMPUTED_VALUE"""),11.9908)</f>
        <v>11.9908</v>
      </c>
      <c r="AD322" s="4">
        <f>IFERROR(__xludf.DUMMYFUNCTION("""COMPUTED_VALUE"""),8.55583)</f>
        <v>8.55583</v>
      </c>
      <c r="AE322" s="5" t="str">
        <f>IFERROR(__xludf.DUMMYFUNCTION("""COMPUTED_VALUE"""),"https://drive.google.com/open?id=12xNnYEDRaZ3oJ5NDRhl2o1LGXexRyYLq")</f>
        <v>https://drive.google.com/open?id=12xNnYEDRaZ3oJ5NDRhl2o1LGXexRyYLq</v>
      </c>
      <c r="AF322" s="4"/>
      <c r="AG322" s="4"/>
      <c r="AH322" s="4"/>
      <c r="AI322" s="4"/>
      <c r="AL322" s="4" t="str">
        <f t="shared" si="1"/>
        <v>Cluster 13</v>
      </c>
      <c r="AM322" s="4" t="str">
        <f t="shared" si="2"/>
        <v>KWAIRANGA ROAD</v>
      </c>
    </row>
    <row r="323">
      <c r="A323" s="3">
        <f>IFERROR(__xludf.DUMMYFUNCTION("""COMPUTED_VALUE"""),45870.050078125)</f>
        <v>45870.05008</v>
      </c>
      <c r="B323" s="4" t="str">
        <f>IFERROR(__xludf.DUMMYFUNCTION("""COMPUTED_VALUE"""),"elhabs256@gmail.com")</f>
        <v>elhabs256@gmail.com</v>
      </c>
      <c r="C323" s="4" t="str">
        <f>IFERROR(__xludf.DUMMYFUNCTION("""COMPUTED_VALUE"""),"Abdullahi Elhabeeb")</f>
        <v>Abdullahi Elhabeeb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tr">
        <f>IFERROR(__xludf.DUMMYFUNCTION("""COMPUTED_VALUE"""),"Cluster 13")</f>
        <v>Cluster 13</v>
      </c>
      <c r="Q323" s="4"/>
      <c r="R323" s="4"/>
      <c r="S323" s="4"/>
      <c r="T323" s="4" t="str">
        <f>IFERROR(__xludf.DUMMYFUNCTION("""COMPUTED_VALUE"""),"DANBAZAU ROAD")</f>
        <v>DANBAZAU ROAD</v>
      </c>
      <c r="U323" s="4"/>
      <c r="V323" s="4"/>
      <c r="W323" s="4"/>
      <c r="X323" s="4"/>
      <c r="Y323" s="4"/>
      <c r="Z323" s="4"/>
      <c r="AA323" s="4"/>
      <c r="AB323" s="4" t="str">
        <f>IFERROR(__xludf.DUMMYFUNCTION("""COMPUTED_VALUE"""),"Point 2")</f>
        <v>Point 2</v>
      </c>
      <c r="AC323" s="4">
        <f>IFERROR(__xludf.DUMMYFUNCTION("""COMPUTED_VALUE"""),11.9896101)</f>
        <v>11.9896101</v>
      </c>
      <c r="AD323" s="4">
        <f>IFERROR(__xludf.DUMMYFUNCTION("""COMPUTED_VALUE"""),8.550353053)</f>
        <v>8.550353053</v>
      </c>
      <c r="AE323" s="5" t="str">
        <f>IFERROR(__xludf.DUMMYFUNCTION("""COMPUTED_VALUE"""),"https://drive.google.com/open?id=1L_jr8BFXVZqyqYPmZglqekvgnP8oI9K7")</f>
        <v>https://drive.google.com/open?id=1L_jr8BFXVZqyqYPmZglqekvgnP8oI9K7</v>
      </c>
      <c r="AF323" s="4"/>
      <c r="AG323" s="4"/>
      <c r="AH323" s="4"/>
      <c r="AI323" s="4"/>
      <c r="AL323" s="4" t="str">
        <f t="shared" si="1"/>
        <v>Cluster 13</v>
      </c>
      <c r="AM323" s="4" t="str">
        <f t="shared" si="2"/>
        <v>DANBAZAU ROAD</v>
      </c>
    </row>
    <row r="324">
      <c r="A324" s="3">
        <f>IFERROR(__xludf.DUMMYFUNCTION("""COMPUTED_VALUE"""),45870.047283437496)</f>
        <v>45870.04728</v>
      </c>
      <c r="B324" s="4" t="str">
        <f>IFERROR(__xludf.DUMMYFUNCTION("""COMPUTED_VALUE"""),"elhabs256@gmail.com")</f>
        <v>elhabs256@gmail.com</v>
      </c>
      <c r="C324" s="4" t="str">
        <f>IFERROR(__xludf.DUMMYFUNCTION("""COMPUTED_VALUE"""),"Abdullahi Elhabeeb")</f>
        <v>Abdullahi Elhabeeb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tr">
        <f>IFERROR(__xludf.DUMMYFUNCTION("""COMPUTED_VALUE"""),"Cluster 13")</f>
        <v>Cluster 13</v>
      </c>
      <c r="Q324" s="4"/>
      <c r="R324" s="4"/>
      <c r="S324" s="4"/>
      <c r="T324" s="4" t="str">
        <f>IFERROR(__xludf.DUMMYFUNCTION("""COMPUTED_VALUE"""),"DANBAZAU ROAD")</f>
        <v>DANBAZAU ROAD</v>
      </c>
      <c r="U324" s="4"/>
      <c r="V324" s="4"/>
      <c r="W324" s="4"/>
      <c r="X324" s="4"/>
      <c r="Y324" s="4"/>
      <c r="Z324" s="4"/>
      <c r="AA324" s="4"/>
      <c r="AB324" s="4" t="str">
        <f>IFERROR(__xludf.DUMMYFUNCTION("""COMPUTED_VALUE"""),"Point 1")</f>
        <v>Point 1</v>
      </c>
      <c r="AC324" s="4">
        <f>IFERROR(__xludf.DUMMYFUNCTION("""COMPUTED_VALUE"""),11.989596)</f>
        <v>11.989596</v>
      </c>
      <c r="AD324" s="4">
        <f>IFERROR(__xludf.DUMMYFUNCTION("""COMPUTED_VALUE"""),8.550549)</f>
        <v>8.550549</v>
      </c>
      <c r="AE324" s="5" t="str">
        <f>IFERROR(__xludf.DUMMYFUNCTION("""COMPUTED_VALUE"""),"https://drive.google.com/open?id=1HPShFFZVYMP9Tih-7p9pVSndtPo_99Gi")</f>
        <v>https://drive.google.com/open?id=1HPShFFZVYMP9Tih-7p9pVSndtPo_99Gi</v>
      </c>
      <c r="AF324" s="4"/>
      <c r="AG324" s="4"/>
      <c r="AH324" s="4"/>
      <c r="AI324" s="4"/>
      <c r="AL324" s="4" t="str">
        <f t="shared" si="1"/>
        <v>Cluster 13</v>
      </c>
      <c r="AM324" s="4" t="str">
        <f t="shared" si="2"/>
        <v>DANBAZAU ROAD</v>
      </c>
    </row>
    <row r="325">
      <c r="A325" s="3">
        <f>IFERROR(__xludf.DUMMYFUNCTION("""COMPUTED_VALUE"""),45870.045450879625)</f>
        <v>45870.04545</v>
      </c>
      <c r="B325" s="4" t="str">
        <f>IFERROR(__xludf.DUMMYFUNCTION("""COMPUTED_VALUE"""),"elhabs256@gmail.com")</f>
        <v>elhabs256@gmail.com</v>
      </c>
      <c r="C325" s="4" t="str">
        <f>IFERROR(__xludf.DUMMYFUNCTION("""COMPUTED_VALUE"""),"Abdullahi Elhabeeb")</f>
        <v>Abdullahi Elhabeeb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tr">
        <f>IFERROR(__xludf.DUMMYFUNCTION("""COMPUTED_VALUE"""),"Cluster 13")</f>
        <v>Cluster 13</v>
      </c>
      <c r="Q325" s="4"/>
      <c r="R325" s="4"/>
      <c r="S325" s="4"/>
      <c r="T325" s="4" t="str">
        <f>IFERROR(__xludf.DUMMYFUNCTION("""COMPUTED_VALUE"""),"MAYU ROAD")</f>
        <v>MAYU ROAD</v>
      </c>
      <c r="U325" s="4"/>
      <c r="V325" s="4"/>
      <c r="W325" s="4"/>
      <c r="X325" s="4"/>
      <c r="Y325" s="4"/>
      <c r="Z325" s="4"/>
      <c r="AA325" s="4"/>
      <c r="AB325" s="4" t="str">
        <f>IFERROR(__xludf.DUMMYFUNCTION("""COMPUTED_VALUE"""),"Point 2")</f>
        <v>Point 2</v>
      </c>
      <c r="AC325" s="4">
        <f>IFERROR(__xludf.DUMMYFUNCTION("""COMPUTED_VALUE"""),11.99953262)</f>
        <v>11.99953262</v>
      </c>
      <c r="AD325" s="4">
        <f>IFERROR(__xludf.DUMMYFUNCTION("""COMPUTED_VALUE"""),8.546634259)</f>
        <v>8.546634259</v>
      </c>
      <c r="AE325" s="5" t="str">
        <f>IFERROR(__xludf.DUMMYFUNCTION("""COMPUTED_VALUE"""),"https://drive.google.com/open?id=1t48Zcm9wyCK0L6GukLCeDIuUyQkTVAGA")</f>
        <v>https://drive.google.com/open?id=1t48Zcm9wyCK0L6GukLCeDIuUyQkTVAGA</v>
      </c>
      <c r="AF325" s="4"/>
      <c r="AG325" s="4"/>
      <c r="AH325" s="4"/>
      <c r="AI325" s="4"/>
      <c r="AL325" s="4" t="str">
        <f t="shared" si="1"/>
        <v>Cluster 13</v>
      </c>
      <c r="AM325" s="4" t="str">
        <f t="shared" si="2"/>
        <v>MAYU ROAD</v>
      </c>
    </row>
    <row r="326">
      <c r="A326" s="3">
        <f>IFERROR(__xludf.DUMMYFUNCTION("""COMPUTED_VALUE"""),45870.04401005787)</f>
        <v>45870.04401</v>
      </c>
      <c r="B326" s="4" t="str">
        <f>IFERROR(__xludf.DUMMYFUNCTION("""COMPUTED_VALUE"""),"elhabs256@gmail.com")</f>
        <v>elhabs256@gmail.com</v>
      </c>
      <c r="C326" s="4" t="str">
        <f>IFERROR(__xludf.DUMMYFUNCTION("""COMPUTED_VALUE"""),"Abdullahi Elhabeeb")</f>
        <v>Abdullahi Elhabeeb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tr">
        <f>IFERROR(__xludf.DUMMYFUNCTION("""COMPUTED_VALUE"""),"Cluster 13")</f>
        <v>Cluster 13</v>
      </c>
      <c r="Q326" s="4"/>
      <c r="R326" s="4"/>
      <c r="S326" s="4"/>
      <c r="T326" s="4" t="str">
        <f>IFERROR(__xludf.DUMMYFUNCTION("""COMPUTED_VALUE"""),"MAYU ROAD")</f>
        <v>MAYU ROAD</v>
      </c>
      <c r="U326" s="4"/>
      <c r="V326" s="4"/>
      <c r="W326" s="4"/>
      <c r="X326" s="4"/>
      <c r="Y326" s="4"/>
      <c r="Z326" s="4"/>
      <c r="AA326" s="4"/>
      <c r="AB326" s="4" t="str">
        <f>IFERROR(__xludf.DUMMYFUNCTION("""COMPUTED_VALUE"""),"Point 1")</f>
        <v>Point 1</v>
      </c>
      <c r="AC326" s="4">
        <f>IFERROR(__xludf.DUMMYFUNCTION("""COMPUTED_VALUE"""),11.998708)</f>
        <v>11.998708</v>
      </c>
      <c r="AD326" s="4">
        <f>IFERROR(__xludf.DUMMYFUNCTION("""COMPUTED_VALUE"""),8.542747)</f>
        <v>8.542747</v>
      </c>
      <c r="AE326" s="5" t="str">
        <f>IFERROR(__xludf.DUMMYFUNCTION("""COMPUTED_VALUE"""),"https://drive.google.com/open?id=12ClMPERUym5i6JKzLdbsuj6sXOTU9A2O")</f>
        <v>https://drive.google.com/open?id=12ClMPERUym5i6JKzLdbsuj6sXOTU9A2O</v>
      </c>
      <c r="AF326" s="4"/>
      <c r="AG326" s="4"/>
      <c r="AH326" s="4"/>
      <c r="AI326" s="4"/>
      <c r="AL326" s="4" t="str">
        <f t="shared" si="1"/>
        <v>Cluster 13</v>
      </c>
      <c r="AM326" s="4" t="str">
        <f t="shared" si="2"/>
        <v>MAYU ROAD</v>
      </c>
    </row>
    <row r="327">
      <c r="A327" s="3">
        <f>IFERROR(__xludf.DUMMYFUNCTION("""COMPUTED_VALUE"""),45869.891191863426)</f>
        <v>45869.89119</v>
      </c>
      <c r="B327" s="4" t="str">
        <f>IFERROR(__xludf.DUMMYFUNCTION("""COMPUTED_VALUE"""),"umrdalhatu@gmail.com")</f>
        <v>umrdalhatu@gmail.com</v>
      </c>
      <c r="C327" s="4" t="str">
        <f>IFERROR(__xludf.DUMMYFUNCTION("""COMPUTED_VALUE"""),"Umar Dalhatu")</f>
        <v>Umar Dalhatu</v>
      </c>
      <c r="D327" s="4"/>
      <c r="E327" s="4"/>
      <c r="F327" s="4"/>
      <c r="G327" s="4"/>
      <c r="H327" s="4"/>
      <c r="I327" s="4"/>
      <c r="J327" s="4" t="str">
        <f>IFERROR(__xludf.DUMMYFUNCTION("""COMPUTED_VALUE"""),"Cluster 10")</f>
        <v>Cluster 10</v>
      </c>
      <c r="K327" s="4"/>
      <c r="L327" s="4"/>
      <c r="M327" s="4" t="str">
        <f>IFERROR(__xludf.DUMMYFUNCTION("""COMPUTED_VALUE"""),"SOCIAL INSURANCE ROAD")</f>
        <v>SOCIAL INSURANCE ROAD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 t="str">
        <f>IFERROR(__xludf.DUMMYFUNCTION("""COMPUTED_VALUE"""),"Point 2")</f>
        <v>Point 2</v>
      </c>
      <c r="AC327" s="4">
        <f>IFERROR(__xludf.DUMMYFUNCTION("""COMPUTED_VALUE"""),11.97817563)</f>
        <v>11.97817563</v>
      </c>
      <c r="AD327" s="4">
        <f>IFERROR(__xludf.DUMMYFUNCTION("""COMPUTED_VALUE"""),8.540660359)</f>
        <v>8.540660359</v>
      </c>
      <c r="AE327" s="5" t="str">
        <f>IFERROR(__xludf.DUMMYFUNCTION("""COMPUTED_VALUE"""),"https://drive.google.com/open?id=1s4rrnrsB-wY-ukWFCeBXptCEbrltk6JO")</f>
        <v>https://drive.google.com/open?id=1s4rrnrsB-wY-ukWFCeBXptCEbrltk6JO</v>
      </c>
      <c r="AF327" s="4"/>
      <c r="AG327" s="4"/>
      <c r="AH327" s="4"/>
      <c r="AI327" s="4"/>
      <c r="AL327" s="4" t="str">
        <f t="shared" si="1"/>
        <v>Cluster 10</v>
      </c>
      <c r="AM327" s="4" t="str">
        <f t="shared" si="2"/>
        <v>SOCIAL INSURANCE ROAD</v>
      </c>
    </row>
    <row r="328">
      <c r="A328" s="3">
        <f>IFERROR(__xludf.DUMMYFUNCTION("""COMPUTED_VALUE"""),45869.8905034375)</f>
        <v>45869.8905</v>
      </c>
      <c r="B328" s="4" t="str">
        <f>IFERROR(__xludf.DUMMYFUNCTION("""COMPUTED_VALUE"""),"umrdalhatu@gmail.com")</f>
        <v>umrdalhatu@gmail.com</v>
      </c>
      <c r="C328" s="4" t="str">
        <f>IFERROR(__xludf.DUMMYFUNCTION("""COMPUTED_VALUE"""),"Umar Dalhatu")</f>
        <v>Umar Dalhatu</v>
      </c>
      <c r="D328" s="4"/>
      <c r="E328" s="4"/>
      <c r="F328" s="4"/>
      <c r="G328" s="4"/>
      <c r="H328" s="4"/>
      <c r="I328" s="4"/>
      <c r="J328" s="4" t="str">
        <f>IFERROR(__xludf.DUMMYFUNCTION("""COMPUTED_VALUE"""),"Cluster 10")</f>
        <v>Cluster 10</v>
      </c>
      <c r="K328" s="4"/>
      <c r="L328" s="4"/>
      <c r="M328" s="4" t="str">
        <f>IFERROR(__xludf.DUMMYFUNCTION("""COMPUTED_VALUE"""),"SOCIAL INSURANCE ROAD")</f>
        <v>SOCIAL INSURANCE ROAD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 t="str">
        <f>IFERROR(__xludf.DUMMYFUNCTION("""COMPUTED_VALUE"""),"Point 1")</f>
        <v>Point 1</v>
      </c>
      <c r="AC328" s="4">
        <f>IFERROR(__xludf.DUMMYFUNCTION("""COMPUTED_VALUE"""),11.98127403)</f>
        <v>11.98127403</v>
      </c>
      <c r="AD328" s="4">
        <f>IFERROR(__xludf.DUMMYFUNCTION("""COMPUTED_VALUE"""),8.533878499)</f>
        <v>8.533878499</v>
      </c>
      <c r="AE328" s="5" t="str">
        <f>IFERROR(__xludf.DUMMYFUNCTION("""COMPUTED_VALUE"""),"https://drive.google.com/open?id=1ztnAEpXJP3PVF--XvY76_uUuFbNBskup")</f>
        <v>https://drive.google.com/open?id=1ztnAEpXJP3PVF--XvY76_uUuFbNBskup</v>
      </c>
      <c r="AF328" s="4"/>
      <c r="AG328" s="4"/>
      <c r="AH328" s="4"/>
      <c r="AI328" s="4"/>
      <c r="AL328" s="4" t="str">
        <f t="shared" si="1"/>
        <v>Cluster 10</v>
      </c>
      <c r="AM328" s="4" t="str">
        <f t="shared" si="2"/>
        <v>SOCIAL INSURANCE ROAD</v>
      </c>
    </row>
    <row r="329">
      <c r="A329" s="3">
        <f>IFERROR(__xludf.DUMMYFUNCTION("""COMPUTED_VALUE"""),45869.88939141204)</f>
        <v>45869.88939</v>
      </c>
      <c r="B329" s="4" t="str">
        <f>IFERROR(__xludf.DUMMYFUNCTION("""COMPUTED_VALUE"""),"umrdalhatu@gmail.com")</f>
        <v>umrdalhatu@gmail.com</v>
      </c>
      <c r="C329" s="4" t="str">
        <f>IFERROR(__xludf.DUMMYFUNCTION("""COMPUTED_VALUE"""),"Umar Dalhatu")</f>
        <v>Umar Dalhatu</v>
      </c>
      <c r="D329" s="4"/>
      <c r="E329" s="4"/>
      <c r="F329" s="4"/>
      <c r="G329" s="4"/>
      <c r="H329" s="4"/>
      <c r="I329" s="4"/>
      <c r="J329" s="4" t="str">
        <f>IFERROR(__xludf.DUMMYFUNCTION("""COMPUTED_VALUE"""),"Cluster 10")</f>
        <v>Cluster 10</v>
      </c>
      <c r="K329" s="4"/>
      <c r="L329" s="4"/>
      <c r="M329" s="4" t="str">
        <f>IFERROR(__xludf.DUMMYFUNCTION("""COMPUTED_VALUE"""),"A ISMAIL ADAMU GANO STREET")</f>
        <v>A ISMAIL ADAMU GANO STREET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 t="str">
        <f>IFERROR(__xludf.DUMMYFUNCTION("""COMPUTED_VALUE"""),"Point 2")</f>
        <v>Point 2</v>
      </c>
      <c r="AC329" s="4">
        <f>IFERROR(__xludf.DUMMYFUNCTION("""COMPUTED_VALUE"""),11.98127403)</f>
        <v>11.98127403</v>
      </c>
      <c r="AD329" s="4">
        <f>IFERROR(__xludf.DUMMYFUNCTION("""COMPUTED_VALUE"""),8.533878499)</f>
        <v>8.533878499</v>
      </c>
      <c r="AE329" s="5" t="str">
        <f>IFERROR(__xludf.DUMMYFUNCTION("""COMPUTED_VALUE"""),"https://drive.google.com/open?id=1AuKPi7EGqKLcZpkujG-TU-tmjbfRamga")</f>
        <v>https://drive.google.com/open?id=1AuKPi7EGqKLcZpkujG-TU-tmjbfRamga</v>
      </c>
      <c r="AF329" s="4"/>
      <c r="AG329" s="4"/>
      <c r="AH329" s="4"/>
      <c r="AI329" s="4"/>
      <c r="AL329" s="4" t="str">
        <f t="shared" si="1"/>
        <v>Cluster 10</v>
      </c>
      <c r="AM329" s="4" t="str">
        <f t="shared" si="2"/>
        <v>A ISMAIL ADAMU GANO STREET</v>
      </c>
    </row>
    <row r="330">
      <c r="A330" s="3">
        <f>IFERROR(__xludf.DUMMYFUNCTION("""COMPUTED_VALUE"""),45869.8877168287)</f>
        <v>45869.88772</v>
      </c>
      <c r="B330" s="4" t="str">
        <f>IFERROR(__xludf.DUMMYFUNCTION("""COMPUTED_VALUE"""),"umrdalhatu@gmail.com")</f>
        <v>umrdalhatu@gmail.com</v>
      </c>
      <c r="C330" s="4" t="str">
        <f>IFERROR(__xludf.DUMMYFUNCTION("""COMPUTED_VALUE"""),"Umar Dalhatu")</f>
        <v>Umar Dalhatu</v>
      </c>
      <c r="D330" s="4"/>
      <c r="E330" s="4"/>
      <c r="F330" s="4"/>
      <c r="G330" s="4"/>
      <c r="H330" s="4"/>
      <c r="I330" s="4"/>
      <c r="J330" s="4" t="str">
        <f>IFERROR(__xludf.DUMMYFUNCTION("""COMPUTED_VALUE"""),"Cluster 10")</f>
        <v>Cluster 10</v>
      </c>
      <c r="K330" s="4"/>
      <c r="L330" s="4"/>
      <c r="M330" s="4" t="str">
        <f>IFERROR(__xludf.DUMMYFUNCTION("""COMPUTED_VALUE"""),"A ISMAIL ADAMU GANO STREET")</f>
        <v>A ISMAIL ADAMU GANO STREET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 t="str">
        <f>IFERROR(__xludf.DUMMYFUNCTION("""COMPUTED_VALUE"""),"Point 2")</f>
        <v>Point 2</v>
      </c>
      <c r="AC330" s="4">
        <f>IFERROR(__xludf.DUMMYFUNCTION("""COMPUTED_VALUE"""),11.98127403)</f>
        <v>11.98127403</v>
      </c>
      <c r="AD330" s="4">
        <f>IFERROR(__xludf.DUMMYFUNCTION("""COMPUTED_VALUE"""),8.533878499)</f>
        <v>8.533878499</v>
      </c>
      <c r="AE330" s="5" t="str">
        <f>IFERROR(__xludf.DUMMYFUNCTION("""COMPUTED_VALUE"""),"https://drive.google.com/open?id=1s8JjT5rG6q6eT3OpglYhECEV3gg5dB3G")</f>
        <v>https://drive.google.com/open?id=1s8JjT5rG6q6eT3OpglYhECEV3gg5dB3G</v>
      </c>
      <c r="AF330" s="4"/>
      <c r="AG330" s="4"/>
      <c r="AH330" s="4"/>
      <c r="AI330" s="4"/>
      <c r="AL330" s="4" t="str">
        <f t="shared" si="1"/>
        <v>Cluster 10</v>
      </c>
      <c r="AM330" s="4" t="str">
        <f t="shared" si="2"/>
        <v>A ISMAIL ADAMU GANO STREET</v>
      </c>
    </row>
    <row r="331">
      <c r="A331" s="3">
        <f>IFERROR(__xludf.DUMMYFUNCTION("""COMPUTED_VALUE"""),45869.8862446875)</f>
        <v>45869.88624</v>
      </c>
      <c r="B331" s="4" t="str">
        <f>IFERROR(__xludf.DUMMYFUNCTION("""COMPUTED_VALUE"""),"umrdalhatu@gmail.com")</f>
        <v>umrdalhatu@gmail.com</v>
      </c>
      <c r="C331" s="4" t="str">
        <f>IFERROR(__xludf.DUMMYFUNCTION("""COMPUTED_VALUE"""),"Umar Dalhatu")</f>
        <v>Umar Dalhatu</v>
      </c>
      <c r="D331" s="4"/>
      <c r="E331" s="4"/>
      <c r="F331" s="4"/>
      <c r="G331" s="4"/>
      <c r="H331" s="4"/>
      <c r="I331" s="4"/>
      <c r="J331" s="4" t="str">
        <f>IFERROR(__xludf.DUMMYFUNCTION("""COMPUTED_VALUE"""),"Cluster 10")</f>
        <v>Cluster 10</v>
      </c>
      <c r="K331" s="4"/>
      <c r="L331" s="4"/>
      <c r="M331" s="4" t="str">
        <f>IFERROR(__xludf.DUMMYFUNCTION("""COMPUTED_VALUE"""),"A ISMAIL ADAMU GANO STREET")</f>
        <v>A ISMAIL ADAMU GANO STREET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 t="str">
        <f>IFERROR(__xludf.DUMMYFUNCTION("""COMPUTED_VALUE"""),"Point 1")</f>
        <v>Point 1</v>
      </c>
      <c r="AC331" s="4">
        <f>IFERROR(__xludf.DUMMYFUNCTION("""COMPUTED_VALUE"""),11.98097198)</f>
        <v>11.98097198</v>
      </c>
      <c r="AD331" s="4">
        <f>IFERROR(__xludf.DUMMYFUNCTION("""COMPUTED_VALUE"""),8.53259112)</f>
        <v>8.53259112</v>
      </c>
      <c r="AE331" s="5" t="str">
        <f>IFERROR(__xludf.DUMMYFUNCTION("""COMPUTED_VALUE"""),"https://drive.google.com/open?id=1ImFtAoTJ31Zakr_5ECIqoyyOkP7vd7ai")</f>
        <v>https://drive.google.com/open?id=1ImFtAoTJ31Zakr_5ECIqoyyOkP7vd7ai</v>
      </c>
      <c r="AF331" s="4"/>
      <c r="AG331" s="4"/>
      <c r="AH331" s="4"/>
      <c r="AI331" s="4"/>
      <c r="AL331" s="4" t="str">
        <f t="shared" si="1"/>
        <v>Cluster 10</v>
      </c>
      <c r="AM331" s="4" t="str">
        <f t="shared" si="2"/>
        <v>A ISMAIL ADAMU GANO STREET</v>
      </c>
    </row>
    <row r="332">
      <c r="A332" s="3">
        <f>IFERROR(__xludf.DUMMYFUNCTION("""COMPUTED_VALUE"""),45869.88471627315)</f>
        <v>45869.88472</v>
      </c>
      <c r="B332" s="4" t="str">
        <f>IFERROR(__xludf.DUMMYFUNCTION("""COMPUTED_VALUE"""),"umrdalhatu@gmail.com")</f>
        <v>umrdalhatu@gmail.com</v>
      </c>
      <c r="C332" s="4" t="str">
        <f>IFERROR(__xludf.DUMMYFUNCTION("""COMPUTED_VALUE"""),"Umar Dalhatu")</f>
        <v>Umar Dalhatu</v>
      </c>
      <c r="D332" s="4"/>
      <c r="E332" s="4"/>
      <c r="F332" s="4"/>
      <c r="G332" s="4"/>
      <c r="H332" s="4"/>
      <c r="I332" s="4"/>
      <c r="J332" s="4" t="str">
        <f>IFERROR(__xludf.DUMMYFUNCTION("""COMPUTED_VALUE"""),"Cluster 10")</f>
        <v>Cluster 10</v>
      </c>
      <c r="K332" s="4"/>
      <c r="L332" s="4"/>
      <c r="M332" s="4" t="str">
        <f>IFERROR(__xludf.DUMMYFUNCTION("""COMPUTED_VALUE"""),"MUHAMMAD DANKABO AVENUE")</f>
        <v>MUHAMMAD DANKABO AVENUE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 t="str">
        <f>IFERROR(__xludf.DUMMYFUNCTION("""COMPUTED_VALUE"""),"Point 2")</f>
        <v>Point 2</v>
      </c>
      <c r="AC332" s="4">
        <f>IFERROR(__xludf.DUMMYFUNCTION("""COMPUTED_VALUE"""),11.98097198)</f>
        <v>11.98097198</v>
      </c>
      <c r="AD332" s="4">
        <f>IFERROR(__xludf.DUMMYFUNCTION("""COMPUTED_VALUE"""),8.53259112)</f>
        <v>8.53259112</v>
      </c>
      <c r="AE332" s="5" t="str">
        <f>IFERROR(__xludf.DUMMYFUNCTION("""COMPUTED_VALUE"""),"https://drive.google.com/open?id=1rX14oBNkTP3dLs5rObaaT0McshSRSOoo")</f>
        <v>https://drive.google.com/open?id=1rX14oBNkTP3dLs5rObaaT0McshSRSOoo</v>
      </c>
      <c r="AF332" s="4"/>
      <c r="AG332" s="4"/>
      <c r="AH332" s="4"/>
      <c r="AI332" s="4"/>
      <c r="AL332" s="4" t="str">
        <f t="shared" si="1"/>
        <v>Cluster 10</v>
      </c>
      <c r="AM332" s="4" t="str">
        <f t="shared" si="2"/>
        <v>MUHAMMAD DANKABO AVENUE</v>
      </c>
    </row>
    <row r="333">
      <c r="A333" s="3">
        <f>IFERROR(__xludf.DUMMYFUNCTION("""COMPUTED_VALUE"""),45869.883498020834)</f>
        <v>45869.8835</v>
      </c>
      <c r="B333" s="4" t="str">
        <f>IFERROR(__xludf.DUMMYFUNCTION("""COMPUTED_VALUE"""),"umrdalhatu@gmail.com")</f>
        <v>umrdalhatu@gmail.com</v>
      </c>
      <c r="C333" s="4" t="str">
        <f>IFERROR(__xludf.DUMMYFUNCTION("""COMPUTED_VALUE"""),"Umar Dalhatu")</f>
        <v>Umar Dalhatu</v>
      </c>
      <c r="D333" s="4"/>
      <c r="E333" s="4"/>
      <c r="F333" s="4"/>
      <c r="G333" s="4"/>
      <c r="H333" s="4"/>
      <c r="I333" s="4"/>
      <c r="J333" s="4" t="str">
        <f>IFERROR(__xludf.DUMMYFUNCTION("""COMPUTED_VALUE"""),"Cluster 10")</f>
        <v>Cluster 10</v>
      </c>
      <c r="K333" s="4"/>
      <c r="L333" s="4"/>
      <c r="M333" s="4" t="str">
        <f>IFERROR(__xludf.DUMMYFUNCTION("""COMPUTED_VALUE"""),"MUHAMMAD DANKABO AVENUE")</f>
        <v>MUHAMMAD DANKABO AVENUE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 t="str">
        <f>IFERROR(__xludf.DUMMYFUNCTION("""COMPUTED_VALUE"""),"Point 1")</f>
        <v>Point 1</v>
      </c>
      <c r="AC333" s="4">
        <f>IFERROR(__xludf.DUMMYFUNCTION("""COMPUTED_VALUE"""),11.977067)</f>
        <v>11.977067</v>
      </c>
      <c r="AD333" s="4">
        <f>IFERROR(__xludf.DUMMYFUNCTION("""COMPUTED_VALUE"""),8.53032)</f>
        <v>8.53032</v>
      </c>
      <c r="AE333" s="5" t="str">
        <f>IFERROR(__xludf.DUMMYFUNCTION("""COMPUTED_VALUE"""),"https://drive.google.com/open?id=1a1BwfjndKP3MdSnTaXWB5d0aEDaRkbV8")</f>
        <v>https://drive.google.com/open?id=1a1BwfjndKP3MdSnTaXWB5d0aEDaRkbV8</v>
      </c>
      <c r="AF333" s="4"/>
      <c r="AG333" s="4"/>
      <c r="AH333" s="4"/>
      <c r="AI333" s="4"/>
      <c r="AL333" s="4" t="str">
        <f t="shared" si="1"/>
        <v>Cluster 10</v>
      </c>
      <c r="AM333" s="4" t="str">
        <f t="shared" si="2"/>
        <v>MUHAMMAD DANKABO AVENUE</v>
      </c>
    </row>
    <row r="334">
      <c r="A334" s="3">
        <f>IFERROR(__xludf.DUMMYFUNCTION("""COMPUTED_VALUE"""),45869.88115861111)</f>
        <v>45869.88116</v>
      </c>
      <c r="B334" s="4" t="str">
        <f>IFERROR(__xludf.DUMMYFUNCTION("""COMPUTED_VALUE"""),"umrdalhatu@gmail.com")</f>
        <v>umrdalhatu@gmail.com</v>
      </c>
      <c r="C334" s="4" t="str">
        <f>IFERROR(__xludf.DUMMYFUNCTION("""COMPUTED_VALUE"""),"Umar Dalhatu")</f>
        <v>Umar Dalhatu</v>
      </c>
      <c r="D334" s="4"/>
      <c r="E334" s="4"/>
      <c r="F334" s="4"/>
      <c r="G334" s="4"/>
      <c r="H334" s="4"/>
      <c r="I334" s="4"/>
      <c r="J334" s="4" t="str">
        <f>IFERROR(__xludf.DUMMYFUNCTION("""COMPUTED_VALUE"""),"Cluster 10")</f>
        <v>Cluster 10</v>
      </c>
      <c r="K334" s="4"/>
      <c r="L334" s="4"/>
      <c r="M334" s="4" t="str">
        <f>IFERROR(__xludf.DUMMYFUNCTION("""COMPUTED_VALUE"""),"DAN KURA STREET")</f>
        <v>DAN KURA STREET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 t="str">
        <f>IFERROR(__xludf.DUMMYFUNCTION("""COMPUTED_VALUE"""),"Point 2")</f>
        <v>Point 2</v>
      </c>
      <c r="AC334" s="4">
        <f>IFERROR(__xludf.DUMMYFUNCTION("""COMPUTED_VALUE"""),11.96685046)</f>
        <v>11.96685046</v>
      </c>
      <c r="AD334" s="4">
        <f>IFERROR(__xludf.DUMMYFUNCTION("""COMPUTED_VALUE"""),8.530215322)</f>
        <v>8.530215322</v>
      </c>
      <c r="AE334" s="5" t="str">
        <f>IFERROR(__xludf.DUMMYFUNCTION("""COMPUTED_VALUE"""),"https://drive.google.com/open?id=1EBlUfgDk0W4IhSadWP8c-cp9SxuLiwnN")</f>
        <v>https://drive.google.com/open?id=1EBlUfgDk0W4IhSadWP8c-cp9SxuLiwnN</v>
      </c>
      <c r="AF334" s="4"/>
      <c r="AG334" s="4"/>
      <c r="AH334" s="4"/>
      <c r="AI334" s="4"/>
      <c r="AL334" s="4" t="str">
        <f t="shared" si="1"/>
        <v>Cluster 10</v>
      </c>
      <c r="AM334" s="4" t="str">
        <f t="shared" si="2"/>
        <v>DAN KURA STREET</v>
      </c>
    </row>
    <row r="335">
      <c r="A335" s="3">
        <f>IFERROR(__xludf.DUMMYFUNCTION("""COMPUTED_VALUE"""),45869.87995914352)</f>
        <v>45869.87996</v>
      </c>
      <c r="B335" s="4" t="str">
        <f>IFERROR(__xludf.DUMMYFUNCTION("""COMPUTED_VALUE"""),"umrdalhatu@gmail.com")</f>
        <v>umrdalhatu@gmail.com</v>
      </c>
      <c r="C335" s="4" t="str">
        <f>IFERROR(__xludf.DUMMYFUNCTION("""COMPUTED_VALUE"""),"Umar Dalhatu")</f>
        <v>Umar Dalhatu</v>
      </c>
      <c r="D335" s="4"/>
      <c r="E335" s="4"/>
      <c r="F335" s="4"/>
      <c r="G335" s="4"/>
      <c r="H335" s="4"/>
      <c r="I335" s="4"/>
      <c r="J335" s="4" t="str">
        <f>IFERROR(__xludf.DUMMYFUNCTION("""COMPUTED_VALUE"""),"Cluster 10")</f>
        <v>Cluster 10</v>
      </c>
      <c r="K335" s="4"/>
      <c r="L335" s="4"/>
      <c r="M335" s="4" t="str">
        <f>IFERROR(__xludf.DUMMYFUNCTION("""COMPUTED_VALUE"""),"DAN KURA STREET")</f>
        <v>DAN KURA STREET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 t="str">
        <f>IFERROR(__xludf.DUMMYFUNCTION("""COMPUTED_VALUE"""),"Point 1")</f>
        <v>Point 1</v>
      </c>
      <c r="AC335" s="4">
        <f>IFERROR(__xludf.DUMMYFUNCTION("""COMPUTED_VALUE"""),11.970077)</f>
        <v>11.970077</v>
      </c>
      <c r="AD335" s="4">
        <f>IFERROR(__xludf.DUMMYFUNCTION("""COMPUTED_VALUE"""),8.530935)</f>
        <v>8.530935</v>
      </c>
      <c r="AE335" s="5" t="str">
        <f>IFERROR(__xludf.DUMMYFUNCTION("""COMPUTED_VALUE"""),"https://drive.google.com/open?id=1b9MvlEtr5Hrd-FZuj_qVxEHlx2_FO9Rc")</f>
        <v>https://drive.google.com/open?id=1b9MvlEtr5Hrd-FZuj_qVxEHlx2_FO9Rc</v>
      </c>
      <c r="AF335" s="4"/>
      <c r="AG335" s="4"/>
      <c r="AH335" s="4"/>
      <c r="AI335" s="4"/>
      <c r="AL335" s="4" t="str">
        <f t="shared" si="1"/>
        <v>Cluster 10</v>
      </c>
      <c r="AM335" s="4" t="str">
        <f t="shared" si="2"/>
        <v>DAN KURA STREET</v>
      </c>
    </row>
    <row r="336">
      <c r="A336" s="3">
        <f>IFERROR(__xludf.DUMMYFUNCTION("""COMPUTED_VALUE"""),45869.877754016205)</f>
        <v>45869.87775</v>
      </c>
      <c r="B336" s="4" t="str">
        <f>IFERROR(__xludf.DUMMYFUNCTION("""COMPUTED_VALUE"""),"umrdalhatu@gmail.com")</f>
        <v>umrdalhatu@gmail.com</v>
      </c>
      <c r="C336" s="4" t="str">
        <f>IFERROR(__xludf.DUMMYFUNCTION("""COMPUTED_VALUE"""),"Umar Dalhatu")</f>
        <v>Umar Dalhatu</v>
      </c>
      <c r="D336" s="4"/>
      <c r="E336" s="4"/>
      <c r="F336" s="4"/>
      <c r="G336" s="4"/>
      <c r="H336" s="4"/>
      <c r="I336" s="4"/>
      <c r="J336" s="4" t="str">
        <f>IFERROR(__xludf.DUMMYFUNCTION("""COMPUTED_VALUE"""),"Cluster 10")</f>
        <v>Cluster 10</v>
      </c>
      <c r="K336" s="4"/>
      <c r="L336" s="4"/>
      <c r="M336" s="4" t="str">
        <f>IFERROR(__xludf.DUMMYFUNCTION("""COMPUTED_VALUE"""),"ZOO ROAD")</f>
        <v>ZOO ROAD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 t="str">
        <f>IFERROR(__xludf.DUMMYFUNCTION("""COMPUTED_VALUE"""),"Point 2")</f>
        <v>Point 2</v>
      </c>
      <c r="AC336" s="4">
        <f>IFERROR(__xludf.DUMMYFUNCTION("""COMPUTED_VALUE"""),11.97140713)</f>
        <v>11.97140713</v>
      </c>
      <c r="AD336" s="4">
        <f>IFERROR(__xludf.DUMMYFUNCTION("""COMPUTED_VALUE"""),8.542502622)</f>
        <v>8.542502622</v>
      </c>
      <c r="AE336" s="5" t="str">
        <f>IFERROR(__xludf.DUMMYFUNCTION("""COMPUTED_VALUE"""),"https://drive.google.com/open?id=1RUUCXqmhlnAE10lAmv4BTAkdHqRYFSw9")</f>
        <v>https://drive.google.com/open?id=1RUUCXqmhlnAE10lAmv4BTAkdHqRYFSw9</v>
      </c>
      <c r="AF336" s="4"/>
      <c r="AG336" s="4"/>
      <c r="AH336" s="4"/>
      <c r="AI336" s="4"/>
      <c r="AL336" s="4" t="str">
        <f t="shared" si="1"/>
        <v>Cluster 10</v>
      </c>
      <c r="AM336" s="4" t="str">
        <f t="shared" si="2"/>
        <v>ZOO ROAD</v>
      </c>
    </row>
    <row r="337">
      <c r="A337" s="3">
        <f>IFERROR(__xludf.DUMMYFUNCTION("""COMPUTED_VALUE"""),45869.87699788195)</f>
        <v>45869.877</v>
      </c>
      <c r="B337" s="4" t="str">
        <f>IFERROR(__xludf.DUMMYFUNCTION("""COMPUTED_VALUE"""),"umrdalhatu@gmail.com")</f>
        <v>umrdalhatu@gmail.com</v>
      </c>
      <c r="C337" s="4" t="str">
        <f>IFERROR(__xludf.DUMMYFUNCTION("""COMPUTED_VALUE"""),"Umar Dalhatu")</f>
        <v>Umar Dalhatu</v>
      </c>
      <c r="D337" s="4"/>
      <c r="E337" s="4"/>
      <c r="F337" s="4"/>
      <c r="G337" s="4"/>
      <c r="H337" s="4"/>
      <c r="I337" s="4"/>
      <c r="J337" s="4" t="str">
        <f>IFERROR(__xludf.DUMMYFUNCTION("""COMPUTED_VALUE"""),"Cluster 10")</f>
        <v>Cluster 10</v>
      </c>
      <c r="K337" s="4"/>
      <c r="L337" s="4"/>
      <c r="M337" s="4" t="str">
        <f>IFERROR(__xludf.DUMMYFUNCTION("""COMPUTED_VALUE"""),"ZOO ROAD")</f>
        <v>ZOO ROAD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 t="str">
        <f>IFERROR(__xludf.DUMMYFUNCTION("""COMPUTED_VALUE"""),"Point 1")</f>
        <v>Point 1</v>
      </c>
      <c r="AC337" s="4">
        <f>IFERROR(__xludf.DUMMYFUNCTION("""COMPUTED_VALUE"""),11.97817563)</f>
        <v>11.97817563</v>
      </c>
      <c r="AD337" s="4">
        <f>IFERROR(__xludf.DUMMYFUNCTION("""COMPUTED_VALUE"""),8.540660359)</f>
        <v>8.540660359</v>
      </c>
      <c r="AE337" s="5" t="str">
        <f>IFERROR(__xludf.DUMMYFUNCTION("""COMPUTED_VALUE"""),"https://drive.google.com/open?id=1J09CEZ3HK_SPMq45Lw917MqMOLhyNwBB")</f>
        <v>https://drive.google.com/open?id=1J09CEZ3HK_SPMq45Lw917MqMOLhyNwBB</v>
      </c>
      <c r="AF337" s="4"/>
      <c r="AG337" s="4"/>
      <c r="AH337" s="4"/>
      <c r="AI337" s="4"/>
      <c r="AL337" s="4" t="str">
        <f t="shared" si="1"/>
        <v>Cluster 10</v>
      </c>
      <c r="AM337" s="4" t="str">
        <f t="shared" si="2"/>
        <v>ZOO ROAD</v>
      </c>
    </row>
    <row r="338">
      <c r="A338" s="3">
        <f>IFERROR(__xludf.DUMMYFUNCTION("""COMPUTED_VALUE"""),45869.87560526621)</f>
        <v>45869.87561</v>
      </c>
      <c r="B338" s="4" t="str">
        <f>IFERROR(__xludf.DUMMYFUNCTION("""COMPUTED_VALUE"""),"umrdalhatu@gmail.com")</f>
        <v>umrdalhatu@gmail.com</v>
      </c>
      <c r="C338" s="4" t="str">
        <f>IFERROR(__xludf.DUMMYFUNCTION("""COMPUTED_VALUE"""),"Umar Dalhatu")</f>
        <v>Umar Dalhatu</v>
      </c>
      <c r="D338" s="4"/>
      <c r="E338" s="4"/>
      <c r="F338" s="4"/>
      <c r="G338" s="4"/>
      <c r="H338" s="4"/>
      <c r="I338" s="4"/>
      <c r="J338" s="4" t="str">
        <f>IFERROR(__xludf.DUMMYFUNCTION("""COMPUTED_VALUE"""),"Cluster 10")</f>
        <v>Cluster 10</v>
      </c>
      <c r="K338" s="4"/>
      <c r="L338" s="4"/>
      <c r="M338" s="4" t="str">
        <f>IFERROR(__xludf.DUMMYFUNCTION("""COMPUTED_VALUE"""),"SULE BATSARI AVENUE")</f>
        <v>SULE BATSARI AVENUE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 t="str">
        <f>IFERROR(__xludf.DUMMYFUNCTION("""COMPUTED_VALUE"""),"Point 2")</f>
        <v>Point 2</v>
      </c>
      <c r="AC338" s="4">
        <f>IFERROR(__xludf.DUMMYFUNCTION("""COMPUTED_VALUE"""),11.96981028)</f>
        <v>11.96981028</v>
      </c>
      <c r="AD338" s="4">
        <f>IFERROR(__xludf.DUMMYFUNCTION("""COMPUTED_VALUE"""),8.536706054)</f>
        <v>8.536706054</v>
      </c>
      <c r="AE338" s="5" t="str">
        <f>IFERROR(__xludf.DUMMYFUNCTION("""COMPUTED_VALUE"""),"https://drive.google.com/open?id=1f-DGG7-3jrkPjGFu7FV8b0z-9ManYT2x")</f>
        <v>https://drive.google.com/open?id=1f-DGG7-3jrkPjGFu7FV8b0z-9ManYT2x</v>
      </c>
      <c r="AF338" s="4"/>
      <c r="AG338" s="4"/>
      <c r="AH338" s="4"/>
      <c r="AI338" s="4"/>
      <c r="AL338" s="4" t="str">
        <f t="shared" si="1"/>
        <v>Cluster 10</v>
      </c>
      <c r="AM338" s="4" t="str">
        <f t="shared" si="2"/>
        <v>SULE BATSARI AVENUE</v>
      </c>
    </row>
    <row r="339">
      <c r="A339" s="3">
        <f>IFERROR(__xludf.DUMMYFUNCTION("""COMPUTED_VALUE"""),45869.8747428125)</f>
        <v>45869.87474</v>
      </c>
      <c r="B339" s="4" t="str">
        <f>IFERROR(__xludf.DUMMYFUNCTION("""COMPUTED_VALUE"""),"umrdalhatu@gmail.com")</f>
        <v>umrdalhatu@gmail.com</v>
      </c>
      <c r="C339" s="4" t="str">
        <f>IFERROR(__xludf.DUMMYFUNCTION("""COMPUTED_VALUE"""),"Umar Dalhatu")</f>
        <v>Umar Dalhatu</v>
      </c>
      <c r="D339" s="4"/>
      <c r="E339" s="4"/>
      <c r="F339" s="4"/>
      <c r="G339" s="4"/>
      <c r="H339" s="4"/>
      <c r="I339" s="4"/>
      <c r="J339" s="4" t="str">
        <f>IFERROR(__xludf.DUMMYFUNCTION("""COMPUTED_VALUE"""),"Cluster 10")</f>
        <v>Cluster 10</v>
      </c>
      <c r="K339" s="4"/>
      <c r="L339" s="4"/>
      <c r="M339" s="4" t="str">
        <f>IFERROR(__xludf.DUMMYFUNCTION("""COMPUTED_VALUE"""),"SULE BATSARI AVENUE")</f>
        <v>SULE BATSARI AVENUE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 t="str">
        <f>IFERROR(__xludf.DUMMYFUNCTION("""COMPUTED_VALUE"""),"Point 1")</f>
        <v>Point 1</v>
      </c>
      <c r="AC339" s="4">
        <f>IFERROR(__xludf.DUMMYFUNCTION("""COMPUTED_VALUE"""),11.96705682)</f>
        <v>11.96705682</v>
      </c>
      <c r="AD339" s="4">
        <f>IFERROR(__xludf.DUMMYFUNCTION("""COMPUTED_VALUE"""),8.536942153)</f>
        <v>8.536942153</v>
      </c>
      <c r="AE339" s="5" t="str">
        <f>IFERROR(__xludf.DUMMYFUNCTION("""COMPUTED_VALUE"""),"https://drive.google.com/open?id=1NZJZoQFfKDEod08PtPPi1s0rWJCo-3sV")</f>
        <v>https://drive.google.com/open?id=1NZJZoQFfKDEod08PtPPi1s0rWJCo-3sV</v>
      </c>
      <c r="AF339" s="4"/>
      <c r="AG339" s="4"/>
      <c r="AH339" s="4"/>
      <c r="AI339" s="4"/>
      <c r="AL339" s="4" t="str">
        <f t="shared" si="1"/>
        <v>Cluster 10</v>
      </c>
      <c r="AM339" s="4" t="str">
        <f t="shared" si="2"/>
        <v>SULE BATSARI AVENUE</v>
      </c>
    </row>
    <row r="340">
      <c r="A340" s="3">
        <f>IFERROR(__xludf.DUMMYFUNCTION("""COMPUTED_VALUE"""),45869.86874313657)</f>
        <v>45869.86874</v>
      </c>
      <c r="B340" s="4" t="str">
        <f>IFERROR(__xludf.DUMMYFUNCTION("""COMPUTED_VALUE"""),"umrdalhatu@gmail.com")</f>
        <v>umrdalhatu@gmail.com</v>
      </c>
      <c r="C340" s="4" t="str">
        <f>IFERROR(__xludf.DUMMYFUNCTION("""COMPUTED_VALUE"""),"Umar Dalhatu")</f>
        <v>Umar Dalhatu</v>
      </c>
      <c r="D340" s="4"/>
      <c r="E340" s="4"/>
      <c r="F340" s="4"/>
      <c r="G340" s="4"/>
      <c r="H340" s="4"/>
      <c r="I340" s="4"/>
      <c r="J340" s="4" t="str">
        <f>IFERROR(__xludf.DUMMYFUNCTION("""COMPUTED_VALUE"""),"Cluster 10")</f>
        <v>Cluster 10</v>
      </c>
      <c r="K340" s="4"/>
      <c r="L340" s="4"/>
      <c r="M340" s="4" t="str">
        <f>IFERROR(__xludf.DUMMYFUNCTION("""COMPUTED_VALUE"""),"SULE DANBATTA STREET")</f>
        <v>SULE DANBATTA STREET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 t="str">
        <f>IFERROR(__xludf.DUMMYFUNCTION("""COMPUTED_VALUE"""),"Point 2")</f>
        <v>Point 2</v>
      </c>
      <c r="AC340" s="4">
        <f>IFERROR(__xludf.DUMMYFUNCTION("""COMPUTED_VALUE"""),11.97480263)</f>
        <v>11.97480263</v>
      </c>
      <c r="AD340" s="4">
        <f>IFERROR(__xludf.DUMMYFUNCTION("""COMPUTED_VALUE"""),8.537340337)</f>
        <v>8.537340337</v>
      </c>
      <c r="AE340" s="5" t="str">
        <f>IFERROR(__xludf.DUMMYFUNCTION("""COMPUTED_VALUE"""),"https://drive.google.com/open?id=1aFGJhiKJJc8oUpn4JbDXU8_dhwTCP2RV")</f>
        <v>https://drive.google.com/open?id=1aFGJhiKJJc8oUpn4JbDXU8_dhwTCP2RV</v>
      </c>
      <c r="AF340" s="4"/>
      <c r="AG340" s="4"/>
      <c r="AH340" s="4"/>
      <c r="AI340" s="4"/>
      <c r="AL340" s="4" t="str">
        <f t="shared" si="1"/>
        <v>Cluster 10</v>
      </c>
      <c r="AM340" s="4" t="str">
        <f t="shared" si="2"/>
        <v>SULE DANBATTA STREET</v>
      </c>
    </row>
    <row r="341">
      <c r="A341" s="3">
        <f>IFERROR(__xludf.DUMMYFUNCTION("""COMPUTED_VALUE"""),45869.8677531713)</f>
        <v>45869.86775</v>
      </c>
      <c r="B341" s="4" t="str">
        <f>IFERROR(__xludf.DUMMYFUNCTION("""COMPUTED_VALUE"""),"umrdalhatu@gmail.com")</f>
        <v>umrdalhatu@gmail.com</v>
      </c>
      <c r="C341" s="4" t="str">
        <f>IFERROR(__xludf.DUMMYFUNCTION("""COMPUTED_VALUE"""),"Umar Dalhatu")</f>
        <v>Umar Dalhatu</v>
      </c>
      <c r="D341" s="4"/>
      <c r="E341" s="4"/>
      <c r="F341" s="4"/>
      <c r="G341" s="4"/>
      <c r="H341" s="4"/>
      <c r="I341" s="4"/>
      <c r="J341" s="4" t="str">
        <f>IFERROR(__xludf.DUMMYFUNCTION("""COMPUTED_VALUE"""),"Cluster 10")</f>
        <v>Cluster 10</v>
      </c>
      <c r="K341" s="4"/>
      <c r="L341" s="4"/>
      <c r="M341" s="4" t="str">
        <f>IFERROR(__xludf.DUMMYFUNCTION("""COMPUTED_VALUE"""),"SULE DANBATTA STREET")</f>
        <v>SULE DANBATTA STREET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 t="str">
        <f>IFERROR(__xludf.DUMMYFUNCTION("""COMPUTED_VALUE"""),"Point 1")</f>
        <v>Point 1</v>
      </c>
      <c r="AC341" s="4">
        <f>IFERROR(__xludf.DUMMYFUNCTION("""COMPUTED_VALUE"""),11.972536)</f>
        <v>11.972536</v>
      </c>
      <c r="AD341" s="4">
        <f>IFERROR(__xludf.DUMMYFUNCTION("""COMPUTED_VALUE"""),8.537933)</f>
        <v>8.537933</v>
      </c>
      <c r="AE341" s="5" t="str">
        <f>IFERROR(__xludf.DUMMYFUNCTION("""COMPUTED_VALUE"""),"https://drive.google.com/open?id=1-jID0F8vLWkPZIDA9gO6EIQJvoPZaK3g")</f>
        <v>https://drive.google.com/open?id=1-jID0F8vLWkPZIDA9gO6EIQJvoPZaK3g</v>
      </c>
      <c r="AF341" s="4"/>
      <c r="AG341" s="4"/>
      <c r="AH341" s="4"/>
      <c r="AI341" s="4"/>
      <c r="AL341" s="4" t="str">
        <f t="shared" si="1"/>
        <v>Cluster 10</v>
      </c>
      <c r="AM341" s="4" t="str">
        <f t="shared" si="2"/>
        <v>SULE DANBATTA STREET</v>
      </c>
    </row>
    <row r="342">
      <c r="A342" s="3">
        <f>IFERROR(__xludf.DUMMYFUNCTION("""COMPUTED_VALUE"""),45869.85780143518)</f>
        <v>45869.8578</v>
      </c>
      <c r="B342" s="4" t="str">
        <f>IFERROR(__xludf.DUMMYFUNCTION("""COMPUTED_VALUE"""),"umrdalhatu@gmail.com")</f>
        <v>umrdalhatu@gmail.com</v>
      </c>
      <c r="C342" s="4" t="str">
        <f>IFERROR(__xludf.DUMMYFUNCTION("""COMPUTED_VALUE"""),"Umar Dalhatu")</f>
        <v>Umar Dalhatu</v>
      </c>
      <c r="D342" s="4"/>
      <c r="E342" s="4"/>
      <c r="F342" s="4"/>
      <c r="G342" s="4"/>
      <c r="H342" s="4"/>
      <c r="I342" s="4"/>
      <c r="J342" s="4" t="str">
        <f>IFERROR(__xludf.DUMMYFUNCTION("""COMPUTED_VALUE"""),"Cluster 10")</f>
        <v>Cluster 10</v>
      </c>
      <c r="K342" s="4"/>
      <c r="L342" s="4"/>
      <c r="M342" s="4" t="str">
        <f>IFERROR(__xludf.DUMMYFUNCTION("""COMPUTED_VALUE"""),"MUDI ALASAN ROAD")</f>
        <v>MUDI ALASAN ROAD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 t="str">
        <f>IFERROR(__xludf.DUMMYFUNCTION("""COMPUTED_VALUE"""),"Point 2")</f>
        <v>Point 2</v>
      </c>
      <c r="AC342" s="4">
        <f>IFERROR(__xludf.DUMMYFUNCTION("""COMPUTED_VALUE"""),11.96976137)</f>
        <v>11.96976137</v>
      </c>
      <c r="AD342" s="4">
        <f>IFERROR(__xludf.DUMMYFUNCTION("""COMPUTED_VALUE"""),8.542606866)</f>
        <v>8.542606866</v>
      </c>
      <c r="AE342" s="5" t="str">
        <f>IFERROR(__xludf.DUMMYFUNCTION("""COMPUTED_VALUE"""),"https://drive.google.com/open?id=1YSQDLoY9p8DzaFsB4_sE7Yrn9mNEYdbw")</f>
        <v>https://drive.google.com/open?id=1YSQDLoY9p8DzaFsB4_sE7Yrn9mNEYdbw</v>
      </c>
      <c r="AF342" s="4"/>
      <c r="AG342" s="4"/>
      <c r="AH342" s="4"/>
      <c r="AI342" s="4"/>
      <c r="AL342" s="4" t="str">
        <f t="shared" si="1"/>
        <v>Cluster 10</v>
      </c>
      <c r="AM342" s="4" t="str">
        <f t="shared" si="2"/>
        <v>MUDI ALASAN ROAD</v>
      </c>
    </row>
    <row r="343">
      <c r="A343" s="3">
        <f>IFERROR(__xludf.DUMMYFUNCTION("""COMPUTED_VALUE"""),45869.85687506944)</f>
        <v>45869.85688</v>
      </c>
      <c r="B343" s="4" t="str">
        <f>IFERROR(__xludf.DUMMYFUNCTION("""COMPUTED_VALUE"""),"umrdalhatu@gmail.com")</f>
        <v>umrdalhatu@gmail.com</v>
      </c>
      <c r="C343" s="4" t="str">
        <f>IFERROR(__xludf.DUMMYFUNCTION("""COMPUTED_VALUE"""),"Umar Dalhatu")</f>
        <v>Umar Dalhatu</v>
      </c>
      <c r="D343" s="4"/>
      <c r="E343" s="4"/>
      <c r="F343" s="4"/>
      <c r="G343" s="4"/>
      <c r="H343" s="4"/>
      <c r="I343" s="4"/>
      <c r="J343" s="4" t="str">
        <f>IFERROR(__xludf.DUMMYFUNCTION("""COMPUTED_VALUE"""),"Cluster 10")</f>
        <v>Cluster 10</v>
      </c>
      <c r="K343" s="4"/>
      <c r="L343" s="4"/>
      <c r="M343" s="4" t="str">
        <f>IFERROR(__xludf.DUMMYFUNCTION("""COMPUTED_VALUE"""),"MUDI ALASAN ROAD")</f>
        <v>MUDI ALASAN ROAD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 t="str">
        <f>IFERROR(__xludf.DUMMYFUNCTION("""COMPUTED_VALUE"""),"Point 1")</f>
        <v>Point 1</v>
      </c>
      <c r="AC343" s="4">
        <f>IFERROR(__xludf.DUMMYFUNCTION("""COMPUTED_VALUE"""),11.97140713)</f>
        <v>11.97140713</v>
      </c>
      <c r="AD343" s="4">
        <f>IFERROR(__xludf.DUMMYFUNCTION("""COMPUTED_VALUE"""),8.542502622)</f>
        <v>8.542502622</v>
      </c>
      <c r="AE343" s="5" t="str">
        <f>IFERROR(__xludf.DUMMYFUNCTION("""COMPUTED_VALUE"""),"https://drive.google.com/open?id=1hmdCywkzpxBlWhaCl8fAjit9j6hV9jXl")</f>
        <v>https://drive.google.com/open?id=1hmdCywkzpxBlWhaCl8fAjit9j6hV9jXl</v>
      </c>
      <c r="AF343" s="4"/>
      <c r="AG343" s="4"/>
      <c r="AH343" s="4"/>
      <c r="AI343" s="4"/>
      <c r="AL343" s="4" t="str">
        <f t="shared" si="1"/>
        <v>Cluster 10</v>
      </c>
      <c r="AM343" s="4" t="str">
        <f t="shared" si="2"/>
        <v>MUDI ALASAN ROAD</v>
      </c>
    </row>
    <row r="344">
      <c r="A344" s="3">
        <f>IFERROR(__xludf.DUMMYFUNCTION("""COMPUTED_VALUE"""),45869.486028784726)</f>
        <v>45869.48603</v>
      </c>
      <c r="B344" s="4" t="str">
        <f>IFERROR(__xludf.DUMMYFUNCTION("""COMPUTED_VALUE"""),"ajisadiqdala@gmail.com")</f>
        <v>ajisadiqdala@gmail.com</v>
      </c>
      <c r="C344" s="4" t="str">
        <f>IFERROR(__xludf.DUMMYFUNCTION("""COMPUTED_VALUE"""),"Sadiq Dala")</f>
        <v>Sadiq Dala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 t="str">
        <f>IFERROR(__xludf.DUMMYFUNCTION("""COMPUTED_VALUE"""),"Cluster 9")</f>
        <v>Cluster 9</v>
      </c>
      <c r="W344" s="4"/>
      <c r="X344" s="4" t="str">
        <f>IFERROR(__xludf.DUMMYFUNCTION("""COMPUTED_VALUE"""),"IBB WAY")</f>
        <v>IBB WAY</v>
      </c>
      <c r="Y344" s="4"/>
      <c r="Z344" s="4"/>
      <c r="AA344" s="4"/>
      <c r="AB344" s="4" t="str">
        <f>IFERROR(__xludf.DUMMYFUNCTION("""COMPUTED_VALUE"""),"Point 2")</f>
        <v>Point 2</v>
      </c>
      <c r="AC344" s="4">
        <f>IFERROR(__xludf.DUMMYFUNCTION("""COMPUTED_VALUE"""),12.00420344)</f>
        <v>12.00420344</v>
      </c>
      <c r="AD344" s="4">
        <f>IFERROR(__xludf.DUMMYFUNCTION("""COMPUTED_VALUE"""),8.52489943)</f>
        <v>8.52489943</v>
      </c>
      <c r="AE344" s="5" t="str">
        <f>IFERROR(__xludf.DUMMYFUNCTION("""COMPUTED_VALUE"""),"https://drive.google.com/open?id=1yasxh7190dhzz-NB75IG-w6oMW1Ihs5s")</f>
        <v>https://drive.google.com/open?id=1yasxh7190dhzz-NB75IG-w6oMW1Ihs5s</v>
      </c>
      <c r="AF344" s="4"/>
      <c r="AG344" s="4"/>
      <c r="AH344" s="4"/>
      <c r="AI344" s="4"/>
      <c r="AL344" s="4" t="str">
        <f t="shared" si="1"/>
        <v>Cluster 9</v>
      </c>
      <c r="AM344" s="4" t="str">
        <f t="shared" si="2"/>
        <v>IBB WAY</v>
      </c>
    </row>
    <row r="345">
      <c r="A345" s="3">
        <f>IFERROR(__xludf.DUMMYFUNCTION("""COMPUTED_VALUE"""),45869.47769612269)</f>
        <v>45869.4777</v>
      </c>
      <c r="B345" s="4" t="str">
        <f>IFERROR(__xludf.DUMMYFUNCTION("""COMPUTED_VALUE"""),"ajisadiqdala@gmail.com")</f>
        <v>ajisadiqdala@gmail.com</v>
      </c>
      <c r="C345" s="4" t="str">
        <f>IFERROR(__xludf.DUMMYFUNCTION("""COMPUTED_VALUE"""),"Sadiq Dala")</f>
        <v>Sadiq Dala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 t="str">
        <f>IFERROR(__xludf.DUMMYFUNCTION("""COMPUTED_VALUE"""),"Cluster 9")</f>
        <v>Cluster 9</v>
      </c>
      <c r="W345" s="4"/>
      <c r="X345" s="4" t="str">
        <f>IFERROR(__xludf.DUMMYFUNCTION("""COMPUTED_VALUE"""),"IBB WAY")</f>
        <v>IBB WAY</v>
      </c>
      <c r="Y345" s="4"/>
      <c r="Z345" s="4"/>
      <c r="AA345" s="4"/>
      <c r="AB345" s="4" t="str">
        <f>IFERROR(__xludf.DUMMYFUNCTION("""COMPUTED_VALUE"""),"Point 1")</f>
        <v>Point 1</v>
      </c>
      <c r="AC345" s="4">
        <f>IFERROR(__xludf.DUMMYFUNCTION("""COMPUTED_VALUE"""),12.00324169)</f>
        <v>12.00324169</v>
      </c>
      <c r="AD345" s="4">
        <f>IFERROR(__xludf.DUMMYFUNCTION("""COMPUTED_VALUE"""),8.528539698)</f>
        <v>8.528539698</v>
      </c>
      <c r="AE345" s="5" t="str">
        <f>IFERROR(__xludf.DUMMYFUNCTION("""COMPUTED_VALUE"""),"https://drive.google.com/open?id=10k3g62pVoCKHADmaq1awe-tvtCtVOdhq")</f>
        <v>https://drive.google.com/open?id=10k3g62pVoCKHADmaq1awe-tvtCtVOdhq</v>
      </c>
      <c r="AF345" s="4"/>
      <c r="AG345" s="4"/>
      <c r="AH345" s="4"/>
      <c r="AI345" s="4"/>
      <c r="AL345" s="4" t="str">
        <f t="shared" si="1"/>
        <v>Cluster 9</v>
      </c>
      <c r="AM345" s="4" t="str">
        <f t="shared" si="2"/>
        <v>IBB WAY</v>
      </c>
    </row>
    <row r="346">
      <c r="A346" s="3">
        <f>IFERROR(__xludf.DUMMYFUNCTION("""COMPUTED_VALUE"""),45869.46937545139)</f>
        <v>45869.46938</v>
      </c>
      <c r="B346" s="4" t="str">
        <f>IFERROR(__xludf.DUMMYFUNCTION("""COMPUTED_VALUE"""),"ajisadiqdala@gmail.com")</f>
        <v>ajisadiqdala@gmail.com</v>
      </c>
      <c r="C346" s="4" t="str">
        <f>IFERROR(__xludf.DUMMYFUNCTION("""COMPUTED_VALUE"""),"Sadiq Dala")</f>
        <v>Sadiq Dala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 t="str">
        <f>IFERROR(__xludf.DUMMYFUNCTION("""COMPUTED_VALUE"""),"Cluster 9")</f>
        <v>Cluster 9</v>
      </c>
      <c r="W346" s="4"/>
      <c r="X346" s="4" t="str">
        <f>IFERROR(__xludf.DUMMYFUNCTION("""COMPUTED_VALUE"""),"ABADIE STREET")</f>
        <v>ABADIE STREET</v>
      </c>
      <c r="Y346" s="4"/>
      <c r="Z346" s="4"/>
      <c r="AA346" s="4"/>
      <c r="AB346" s="4" t="str">
        <f>IFERROR(__xludf.DUMMYFUNCTION("""COMPUTED_VALUE"""),"Point 2")</f>
        <v>Point 2</v>
      </c>
      <c r="AC346" s="4">
        <f>IFERROR(__xludf.DUMMYFUNCTION("""COMPUTED_VALUE"""),12.01855129)</f>
        <v>12.01855129</v>
      </c>
      <c r="AD346" s="4">
        <f>IFERROR(__xludf.DUMMYFUNCTION("""COMPUTED_VALUE"""),8.52943567)</f>
        <v>8.52943567</v>
      </c>
      <c r="AE346" s="5" t="str">
        <f>IFERROR(__xludf.DUMMYFUNCTION("""COMPUTED_VALUE"""),"https://drive.google.com/open?id=1IARHb0lkKnfuE0MWTyQ3qCVwDVATC5ef")</f>
        <v>https://drive.google.com/open?id=1IARHb0lkKnfuE0MWTyQ3qCVwDVATC5ef</v>
      </c>
      <c r="AF346" s="4"/>
      <c r="AG346" s="4"/>
      <c r="AH346" s="4"/>
      <c r="AI346" s="4"/>
      <c r="AL346" s="4" t="str">
        <f t="shared" si="1"/>
        <v>Cluster 9</v>
      </c>
      <c r="AM346" s="4" t="str">
        <f t="shared" si="2"/>
        <v>ABADIE STREET</v>
      </c>
    </row>
    <row r="347">
      <c r="A347" s="3">
        <f>IFERROR(__xludf.DUMMYFUNCTION("""COMPUTED_VALUE"""),45869.46530600694)</f>
        <v>45869.46531</v>
      </c>
      <c r="B347" s="4" t="str">
        <f>IFERROR(__xludf.DUMMYFUNCTION("""COMPUTED_VALUE"""),"ajisadiqdala@gmail.com")</f>
        <v>ajisadiqdala@gmail.com</v>
      </c>
      <c r="C347" s="4" t="str">
        <f>IFERROR(__xludf.DUMMYFUNCTION("""COMPUTED_VALUE"""),"Sadiq Dala")</f>
        <v>Sadiq Dala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 t="str">
        <f>IFERROR(__xludf.DUMMYFUNCTION("""COMPUTED_VALUE"""),"Cluster 9")</f>
        <v>Cluster 9</v>
      </c>
      <c r="W347" s="4"/>
      <c r="X347" s="4" t="str">
        <f>IFERROR(__xludf.DUMMYFUNCTION("""COMPUTED_VALUE"""),"ABADIE STREET")</f>
        <v>ABADIE STREET</v>
      </c>
      <c r="Y347" s="4"/>
      <c r="Z347" s="4"/>
      <c r="AA347" s="4"/>
      <c r="AB347" s="4" t="str">
        <f>IFERROR(__xludf.DUMMYFUNCTION("""COMPUTED_VALUE"""),"Point 1")</f>
        <v>Point 1</v>
      </c>
      <c r="AC347" s="4">
        <f>IFERROR(__xludf.DUMMYFUNCTION("""COMPUTED_VALUE"""),12.01772795)</f>
        <v>12.01772795</v>
      </c>
      <c r="AD347" s="4">
        <f>IFERROR(__xludf.DUMMYFUNCTION("""COMPUTED_VALUE"""),8.529438956)</f>
        <v>8.529438956</v>
      </c>
      <c r="AE347" s="5" t="str">
        <f>IFERROR(__xludf.DUMMYFUNCTION("""COMPUTED_VALUE"""),"https://drive.google.com/open?id=15fdOXKrAPJnxpox9OmNxWRdiNcQRSJZG")</f>
        <v>https://drive.google.com/open?id=15fdOXKrAPJnxpox9OmNxWRdiNcQRSJZG</v>
      </c>
      <c r="AF347" s="4"/>
      <c r="AG347" s="4"/>
      <c r="AH347" s="4"/>
      <c r="AI347" s="4"/>
      <c r="AL347" s="4" t="str">
        <f t="shared" si="1"/>
        <v>Cluster 9</v>
      </c>
      <c r="AM347" s="4" t="str">
        <f t="shared" si="2"/>
        <v>ABADIE STREET</v>
      </c>
    </row>
    <row r="348">
      <c r="A348" s="3">
        <f>IFERROR(__xludf.DUMMYFUNCTION("""COMPUTED_VALUE"""),45869.43985159722)</f>
        <v>45869.43985</v>
      </c>
      <c r="B348" s="4" t="str">
        <f>IFERROR(__xludf.DUMMYFUNCTION("""COMPUTED_VALUE"""),"elhabs256@gmail.com")</f>
        <v>elhabs256@gmail.com</v>
      </c>
      <c r="C348" s="4" t="str">
        <f>IFERROR(__xludf.DUMMYFUNCTION("""COMPUTED_VALUE"""),"Abdullahi Elhabeeb")</f>
        <v>Abdullahi Elhabeeb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tr">
        <f>IFERROR(__xludf.DUMMYFUNCTION("""COMPUTED_VALUE"""),"Cluster 18")</f>
        <v>Cluster 18</v>
      </c>
      <c r="Q348" s="4"/>
      <c r="R348" s="4"/>
      <c r="S348" s="4"/>
      <c r="T348" s="4"/>
      <c r="U348" s="4" t="str">
        <f>IFERROR(__xludf.DUMMYFUNCTION("""COMPUTED_VALUE"""),"SULE BOMPAI STREET")</f>
        <v>SULE BOMPAI STREET</v>
      </c>
      <c r="V348" s="4"/>
      <c r="W348" s="4"/>
      <c r="X348" s="4"/>
      <c r="Y348" s="4"/>
      <c r="Z348" s="4"/>
      <c r="AA348" s="4"/>
      <c r="AB348" s="4" t="str">
        <f>IFERROR(__xludf.DUMMYFUNCTION("""COMPUTED_VALUE"""),"Point 2")</f>
        <v>Point 2</v>
      </c>
      <c r="AC348" s="4">
        <f>IFERROR(__xludf.DUMMYFUNCTION("""COMPUTED_VALUE"""),12.01756)</f>
        <v>12.01756</v>
      </c>
      <c r="AD348" s="4">
        <f>IFERROR(__xludf.DUMMYFUNCTION("""COMPUTED_VALUE"""),8.574209)</f>
        <v>8.574209</v>
      </c>
      <c r="AE348" s="5" t="str">
        <f>IFERROR(__xludf.DUMMYFUNCTION("""COMPUTED_VALUE"""),"https://drive.google.com/open?id=1PboJt5Bar_RbW90SMh4JrnAAf-7C_Vik")</f>
        <v>https://drive.google.com/open?id=1PboJt5Bar_RbW90SMh4JrnAAf-7C_Vik</v>
      </c>
      <c r="AF348" s="4"/>
      <c r="AG348" s="4"/>
      <c r="AH348" s="4"/>
      <c r="AI348" s="4"/>
      <c r="AL348" s="4" t="str">
        <f t="shared" si="1"/>
        <v>Cluster 18</v>
      </c>
      <c r="AM348" s="4" t="str">
        <f t="shared" si="2"/>
        <v>SULE BOMPAI STREET</v>
      </c>
    </row>
    <row r="349">
      <c r="A349" s="3">
        <f>IFERROR(__xludf.DUMMYFUNCTION("""COMPUTED_VALUE"""),45869.43849288195)</f>
        <v>45869.43849</v>
      </c>
      <c r="B349" s="4" t="str">
        <f>IFERROR(__xludf.DUMMYFUNCTION("""COMPUTED_VALUE"""),"elhabs256@gmail.com")</f>
        <v>elhabs256@gmail.com</v>
      </c>
      <c r="C349" s="4" t="str">
        <f>IFERROR(__xludf.DUMMYFUNCTION("""COMPUTED_VALUE"""),"Abdullahi Elhabeeb")</f>
        <v>Abdullahi Elhabeeb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tr">
        <f>IFERROR(__xludf.DUMMYFUNCTION("""COMPUTED_VALUE"""),"Cluster 18")</f>
        <v>Cluster 18</v>
      </c>
      <c r="Q349" s="4"/>
      <c r="R349" s="4"/>
      <c r="S349" s="4"/>
      <c r="T349" s="4"/>
      <c r="U349" s="4" t="str">
        <f>IFERROR(__xludf.DUMMYFUNCTION("""COMPUTED_VALUE"""),"SULE BOMPAI STREET")</f>
        <v>SULE BOMPAI STREET</v>
      </c>
      <c r="V349" s="4"/>
      <c r="W349" s="4"/>
      <c r="X349" s="4"/>
      <c r="Y349" s="4"/>
      <c r="Z349" s="4"/>
      <c r="AA349" s="4"/>
      <c r="AB349" s="4" t="str">
        <f>IFERROR(__xludf.DUMMYFUNCTION("""COMPUTED_VALUE"""),"Point 1")</f>
        <v>Point 1</v>
      </c>
      <c r="AC349" s="4">
        <f>IFERROR(__xludf.DUMMYFUNCTION("""COMPUTED_VALUE"""),12.018166)</f>
        <v>12.018166</v>
      </c>
      <c r="AD349" s="4">
        <f>IFERROR(__xludf.DUMMYFUNCTION("""COMPUTED_VALUE"""),8.577084)</f>
        <v>8.577084</v>
      </c>
      <c r="AE349" s="5" t="str">
        <f>IFERROR(__xludf.DUMMYFUNCTION("""COMPUTED_VALUE"""),"https://drive.google.com/open?id=1K1zWwNz-Les_lw4onGSmntD-lBJCuclG")</f>
        <v>https://drive.google.com/open?id=1K1zWwNz-Les_lw4onGSmntD-lBJCuclG</v>
      </c>
      <c r="AF349" s="4"/>
      <c r="AG349" s="4"/>
      <c r="AH349" s="4"/>
      <c r="AI349" s="4"/>
      <c r="AL349" s="4" t="str">
        <f t="shared" si="1"/>
        <v>Cluster 18</v>
      </c>
      <c r="AM349" s="4" t="str">
        <f t="shared" si="2"/>
        <v>SULE BOMPAI STREET</v>
      </c>
    </row>
    <row r="350">
      <c r="A350" s="3">
        <f>IFERROR(__xludf.DUMMYFUNCTION("""COMPUTED_VALUE"""),45869.43533045139)</f>
        <v>45869.43533</v>
      </c>
      <c r="B350" s="4" t="str">
        <f>IFERROR(__xludf.DUMMYFUNCTION("""COMPUTED_VALUE"""),"elhabs256@gmail.com")</f>
        <v>elhabs256@gmail.com</v>
      </c>
      <c r="C350" s="4" t="str">
        <f>IFERROR(__xludf.DUMMYFUNCTION("""COMPUTED_VALUE"""),"Abdullahi Elhabeeb")</f>
        <v>Abdullahi Elhabeeb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tr">
        <f>IFERROR(__xludf.DUMMYFUNCTION("""COMPUTED_VALUE"""),"Cluster 18")</f>
        <v>Cluster 18</v>
      </c>
      <c r="Q350" s="4"/>
      <c r="R350" s="4"/>
      <c r="S350" s="4"/>
      <c r="T350" s="4"/>
      <c r="U350" s="4" t="str">
        <f>IFERROR(__xludf.DUMMYFUNCTION("""COMPUTED_VALUE"""),"UMARU BABURA ROAD")</f>
        <v>UMARU BABURA ROAD</v>
      </c>
      <c r="V350" s="4"/>
      <c r="W350" s="4"/>
      <c r="X350" s="4"/>
      <c r="Y350" s="4"/>
      <c r="Z350" s="4"/>
      <c r="AA350" s="4"/>
      <c r="AB350" s="4" t="str">
        <f>IFERROR(__xludf.DUMMYFUNCTION("""COMPUTED_VALUE"""),"Point 2")</f>
        <v>Point 2</v>
      </c>
      <c r="AC350" s="4">
        <f>IFERROR(__xludf.DUMMYFUNCTION("""COMPUTED_VALUE"""),12.008264)</f>
        <v>12.008264</v>
      </c>
      <c r="AD350" s="4">
        <f>IFERROR(__xludf.DUMMYFUNCTION("""COMPUTED_VALUE"""),8.550679)</f>
        <v>8.550679</v>
      </c>
      <c r="AE350" s="5" t="str">
        <f>IFERROR(__xludf.DUMMYFUNCTION("""COMPUTED_VALUE"""),"https://drive.google.com/open?id=1VGak71UlODq2qdnQUwIJ7zcKIqfQ52Lu")</f>
        <v>https://drive.google.com/open?id=1VGak71UlODq2qdnQUwIJ7zcKIqfQ52Lu</v>
      </c>
      <c r="AF350" s="4"/>
      <c r="AG350" s="4"/>
      <c r="AH350" s="4"/>
      <c r="AI350" s="4"/>
      <c r="AL350" s="4" t="str">
        <f t="shared" si="1"/>
        <v>Cluster 18</v>
      </c>
      <c r="AM350" s="4" t="str">
        <f t="shared" si="2"/>
        <v>UMARU BABURA ROAD</v>
      </c>
    </row>
    <row r="351">
      <c r="A351" s="3">
        <f>IFERROR(__xludf.DUMMYFUNCTION("""COMPUTED_VALUE"""),45869.43371704861)</f>
        <v>45869.43372</v>
      </c>
      <c r="B351" s="4" t="str">
        <f>IFERROR(__xludf.DUMMYFUNCTION("""COMPUTED_VALUE"""),"elhabs256@gmail.com")</f>
        <v>elhabs256@gmail.com</v>
      </c>
      <c r="C351" s="4" t="str">
        <f>IFERROR(__xludf.DUMMYFUNCTION("""COMPUTED_VALUE"""),"Abdullahi Elhabeeb")</f>
        <v>Abdullahi Elhabeeb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tr">
        <f>IFERROR(__xludf.DUMMYFUNCTION("""COMPUTED_VALUE"""),"Cluster 18")</f>
        <v>Cluster 18</v>
      </c>
      <c r="Q351" s="4"/>
      <c r="R351" s="4"/>
      <c r="S351" s="4"/>
      <c r="T351" s="4"/>
      <c r="U351" s="4" t="str">
        <f>IFERROR(__xludf.DUMMYFUNCTION("""COMPUTED_VALUE"""),"UMARU BABURA ROAD")</f>
        <v>UMARU BABURA ROAD</v>
      </c>
      <c r="V351" s="4"/>
      <c r="W351" s="4"/>
      <c r="X351" s="4"/>
      <c r="Y351" s="4"/>
      <c r="Z351" s="4"/>
      <c r="AA351" s="4"/>
      <c r="AB351" s="4" t="str">
        <f>IFERROR(__xludf.DUMMYFUNCTION("""COMPUTED_VALUE"""),"Point 1")</f>
        <v>Point 1</v>
      </c>
      <c r="AC351" s="4">
        <f>IFERROR(__xludf.DUMMYFUNCTION("""COMPUTED_VALUE"""),12.01309)</f>
        <v>12.01309</v>
      </c>
      <c r="AD351" s="4">
        <f>IFERROR(__xludf.DUMMYFUNCTION("""COMPUTED_VALUE"""),8.566527)</f>
        <v>8.566527</v>
      </c>
      <c r="AE351" s="5" t="str">
        <f>IFERROR(__xludf.DUMMYFUNCTION("""COMPUTED_VALUE"""),"https://drive.google.com/open?id=1Mga-ZD3zG0GizA_sYbTE0vTu7S7RW9_e")</f>
        <v>https://drive.google.com/open?id=1Mga-ZD3zG0GizA_sYbTE0vTu7S7RW9_e</v>
      </c>
      <c r="AF351" s="4"/>
      <c r="AG351" s="4"/>
      <c r="AH351" s="4"/>
      <c r="AI351" s="4"/>
      <c r="AL351" s="4" t="str">
        <f t="shared" si="1"/>
        <v>Cluster 18</v>
      </c>
      <c r="AM351" s="4" t="str">
        <f t="shared" si="2"/>
        <v>UMARU BABURA ROAD</v>
      </c>
    </row>
    <row r="352">
      <c r="A352" s="3">
        <f>IFERROR(__xludf.DUMMYFUNCTION("""COMPUTED_VALUE"""),45869.43100265047)</f>
        <v>45869.431</v>
      </c>
      <c r="B352" s="4" t="str">
        <f>IFERROR(__xludf.DUMMYFUNCTION("""COMPUTED_VALUE"""),"elhabs256@gmail.com")</f>
        <v>elhabs256@gmail.com</v>
      </c>
      <c r="C352" s="4" t="str">
        <f>IFERROR(__xludf.DUMMYFUNCTION("""COMPUTED_VALUE"""),"Abdullahi Elhabeeb")</f>
        <v>Abdullahi Elhabeeb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tr">
        <f>IFERROR(__xludf.DUMMYFUNCTION("""COMPUTED_VALUE"""),"Cluster 18")</f>
        <v>Cluster 18</v>
      </c>
      <c r="Q352" s="4"/>
      <c r="R352" s="4"/>
      <c r="S352" s="4"/>
      <c r="T352" s="4"/>
      <c r="U352" s="4" t="str">
        <f>IFERROR(__xludf.DUMMYFUNCTION("""COMPUTED_VALUE"""),"RWAFF ROAD")</f>
        <v>RWAFF ROAD</v>
      </c>
      <c r="V352" s="4"/>
      <c r="W352" s="4"/>
      <c r="X352" s="4"/>
      <c r="Y352" s="4"/>
      <c r="Z352" s="4"/>
      <c r="AA352" s="4"/>
      <c r="AB352" s="4" t="str">
        <f>IFERROR(__xludf.DUMMYFUNCTION("""COMPUTED_VALUE"""),"Point 2")</f>
        <v>Point 2</v>
      </c>
      <c r="AC352" s="4">
        <f>IFERROR(__xludf.DUMMYFUNCTION("""COMPUTED_VALUE"""),12.006978)</f>
        <v>12.006978</v>
      </c>
      <c r="AD352" s="4">
        <f>IFERROR(__xludf.DUMMYFUNCTION("""COMPUTED_VALUE"""),8.564987)</f>
        <v>8.564987</v>
      </c>
      <c r="AE352" s="5" t="str">
        <f>IFERROR(__xludf.DUMMYFUNCTION("""COMPUTED_VALUE"""),"https://drive.google.com/open?id=1pmVnmAvcVl5Pn_Pk3GOSsn32BpcSv8RW")</f>
        <v>https://drive.google.com/open?id=1pmVnmAvcVl5Pn_Pk3GOSsn32BpcSv8RW</v>
      </c>
      <c r="AF352" s="4"/>
      <c r="AG352" s="4"/>
      <c r="AH352" s="4"/>
      <c r="AI352" s="4"/>
      <c r="AL352" s="4" t="str">
        <f t="shared" si="1"/>
        <v>Cluster 18</v>
      </c>
      <c r="AM352" s="4" t="str">
        <f t="shared" si="2"/>
        <v>RWAFF ROAD</v>
      </c>
    </row>
    <row r="353">
      <c r="A353" s="3">
        <f>IFERROR(__xludf.DUMMYFUNCTION("""COMPUTED_VALUE"""),45869.42947458333)</f>
        <v>45869.42947</v>
      </c>
      <c r="B353" s="4" t="str">
        <f>IFERROR(__xludf.DUMMYFUNCTION("""COMPUTED_VALUE"""),"elhabs256@gmail.com")</f>
        <v>elhabs256@gmail.com</v>
      </c>
      <c r="C353" s="4" t="str">
        <f>IFERROR(__xludf.DUMMYFUNCTION("""COMPUTED_VALUE"""),"Abdullahi Elhabeeb")</f>
        <v>Abdullahi Elhabeeb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tr">
        <f>IFERROR(__xludf.DUMMYFUNCTION("""COMPUTED_VALUE"""),"Cluster 18")</f>
        <v>Cluster 18</v>
      </c>
      <c r="Q353" s="4"/>
      <c r="R353" s="4"/>
      <c r="S353" s="4"/>
      <c r="T353" s="4"/>
      <c r="U353" s="4" t="str">
        <f>IFERROR(__xludf.DUMMYFUNCTION("""COMPUTED_VALUE"""),"RWAFF ROAD")</f>
        <v>RWAFF ROAD</v>
      </c>
      <c r="V353" s="4"/>
      <c r="W353" s="4"/>
      <c r="X353" s="4"/>
      <c r="Y353" s="4"/>
      <c r="Z353" s="4"/>
      <c r="AA353" s="4"/>
      <c r="AB353" s="4" t="str">
        <f>IFERROR(__xludf.DUMMYFUNCTION("""COMPUTED_VALUE"""),"Point 1")</f>
        <v>Point 1</v>
      </c>
      <c r="AC353" s="4">
        <f>IFERROR(__xludf.DUMMYFUNCTION("""COMPUTED_VALUE"""),12.00953)</f>
        <v>12.00953</v>
      </c>
      <c r="AD353" s="4">
        <f>IFERROR(__xludf.DUMMYFUNCTION("""COMPUTED_VALUE"""),8.565114)</f>
        <v>8.565114</v>
      </c>
      <c r="AE353" s="5" t="str">
        <f>IFERROR(__xludf.DUMMYFUNCTION("""COMPUTED_VALUE"""),"https://drive.google.com/open?id=19hGonDz4wl1rKhHjyQtaGRPTdGPskYp1")</f>
        <v>https://drive.google.com/open?id=19hGonDz4wl1rKhHjyQtaGRPTdGPskYp1</v>
      </c>
      <c r="AF353" s="4"/>
      <c r="AG353" s="4"/>
      <c r="AH353" s="4"/>
      <c r="AI353" s="4"/>
      <c r="AL353" s="4" t="str">
        <f t="shared" si="1"/>
        <v>Cluster 18</v>
      </c>
      <c r="AM353" s="4" t="str">
        <f t="shared" si="2"/>
        <v>RWAFF ROAD</v>
      </c>
    </row>
    <row r="354">
      <c r="A354" s="3">
        <f>IFERROR(__xludf.DUMMYFUNCTION("""COMPUTED_VALUE"""),45868.932297824074)</f>
        <v>45868.9323</v>
      </c>
      <c r="B354" s="4" t="str">
        <f>IFERROR(__xludf.DUMMYFUNCTION("""COMPUTED_VALUE"""),"ajisadiqdala@gmail.com")</f>
        <v>ajisadiqdala@gmail.com</v>
      </c>
      <c r="C354" s="4" t="str">
        <f>IFERROR(__xludf.DUMMYFUNCTION("""COMPUTED_VALUE"""),"Sadiq Dala")</f>
        <v>Sadiq Dala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 t="str">
        <f>IFERROR(__xludf.DUMMYFUNCTION("""COMPUTED_VALUE"""),"Cluster 9")</f>
        <v>Cluster 9</v>
      </c>
      <c r="W354" s="4"/>
      <c r="X354" s="4" t="str">
        <f>IFERROR(__xludf.DUMMYFUNCTION("""COMPUTED_VALUE"""),"CHURCH ROAD")</f>
        <v>CHURCH ROAD</v>
      </c>
      <c r="Y354" s="4"/>
      <c r="Z354" s="4"/>
      <c r="AA354" s="4"/>
      <c r="AB354" s="4" t="str">
        <f>IFERROR(__xludf.DUMMYFUNCTION("""COMPUTED_VALUE"""),"Point 1")</f>
        <v>Point 1</v>
      </c>
      <c r="AC354" s="4">
        <f>IFERROR(__xludf.DUMMYFUNCTION("""COMPUTED_VALUE"""),12.01593305)</f>
        <v>12.01593305</v>
      </c>
      <c r="AD354" s="4">
        <f>IFERROR(__xludf.DUMMYFUNCTION("""COMPUTED_VALUE"""),8.53249587)</f>
        <v>8.53249587</v>
      </c>
      <c r="AE354" s="5" t="str">
        <f>IFERROR(__xludf.DUMMYFUNCTION("""COMPUTED_VALUE"""),"https://drive.google.com/open?id=13cKQOP3H_SwfTwRde2ZZDdhHzN3pyyC7")</f>
        <v>https://drive.google.com/open?id=13cKQOP3H_SwfTwRde2ZZDdhHzN3pyyC7</v>
      </c>
      <c r="AF354" s="4"/>
      <c r="AG354" s="4"/>
      <c r="AH354" s="4"/>
      <c r="AI354" s="4"/>
      <c r="AL354" s="4" t="str">
        <f t="shared" si="1"/>
        <v>Cluster 9</v>
      </c>
      <c r="AM354" s="4" t="str">
        <f t="shared" si="2"/>
        <v>CHURCH ROAD</v>
      </c>
    </row>
    <row r="355">
      <c r="A355" s="3">
        <f>IFERROR(__xludf.DUMMYFUNCTION("""COMPUTED_VALUE"""),45868.93224001158)</f>
        <v>45868.93224</v>
      </c>
      <c r="B355" s="4" t="str">
        <f>IFERROR(__xludf.DUMMYFUNCTION("""COMPUTED_VALUE"""),"umrdalhatu@gmail.com")</f>
        <v>umrdalhatu@gmail.com</v>
      </c>
      <c r="C355" s="4" t="str">
        <f>IFERROR(__xludf.DUMMYFUNCTION("""COMPUTED_VALUE"""),"Umar Dalhatu")</f>
        <v>Umar Dalhatu</v>
      </c>
      <c r="D355" s="4"/>
      <c r="E355" s="4"/>
      <c r="F355" s="4"/>
      <c r="G355" s="4"/>
      <c r="H355" s="4"/>
      <c r="I355" s="4"/>
      <c r="J355" s="4" t="str">
        <f>IFERROR(__xludf.DUMMYFUNCTION("""COMPUTED_VALUE"""),"Cluster 20")</f>
        <v>Cluster 20</v>
      </c>
      <c r="K355" s="4"/>
      <c r="L355" s="4"/>
      <c r="M355" s="4"/>
      <c r="N355" s="4"/>
      <c r="O355" s="4" t="str">
        <f>IFERROR(__xludf.DUMMYFUNCTION("""COMPUTED_VALUE"""),"HON. SIDI HAMID ALI STREET")</f>
        <v>HON. SIDI HAMID ALI STREET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 t="str">
        <f>IFERROR(__xludf.DUMMYFUNCTION("""COMPUTED_VALUE"""),"Point 2")</f>
        <v>Point 2</v>
      </c>
      <c r="AC355" s="4">
        <f>IFERROR(__xludf.DUMMYFUNCTION("""COMPUTED_VALUE"""),11.96433587)</f>
        <v>11.96433587</v>
      </c>
      <c r="AD355" s="4">
        <f>IFERROR(__xludf.DUMMYFUNCTION("""COMPUTED_VALUE"""),8.563100633)</f>
        <v>8.563100633</v>
      </c>
      <c r="AE355" s="5" t="str">
        <f>IFERROR(__xludf.DUMMYFUNCTION("""COMPUTED_VALUE"""),"https://drive.google.com/open?id=19ZJdtvaJ96Cw8VXLux6LOBDJbxDXERsW")</f>
        <v>https://drive.google.com/open?id=19ZJdtvaJ96Cw8VXLux6LOBDJbxDXERsW</v>
      </c>
      <c r="AF355" s="4"/>
      <c r="AG355" s="4"/>
      <c r="AH355" s="4"/>
      <c r="AI355" s="4"/>
      <c r="AL355" s="4" t="str">
        <f t="shared" si="1"/>
        <v>Cluster 20</v>
      </c>
      <c r="AM355" s="4" t="str">
        <f t="shared" si="2"/>
        <v>HON. SIDI HAMID ALI STREET</v>
      </c>
    </row>
    <row r="356">
      <c r="A356" s="3">
        <f>IFERROR(__xludf.DUMMYFUNCTION("""COMPUTED_VALUE"""),45868.93022699074)</f>
        <v>45868.93023</v>
      </c>
      <c r="B356" s="4" t="str">
        <f>IFERROR(__xludf.DUMMYFUNCTION("""COMPUTED_VALUE"""),"umrdalhatu@gmail.com")</f>
        <v>umrdalhatu@gmail.com</v>
      </c>
      <c r="C356" s="4" t="str">
        <f>IFERROR(__xludf.DUMMYFUNCTION("""COMPUTED_VALUE"""),"Umar Dalhatu")</f>
        <v>Umar Dalhatu</v>
      </c>
      <c r="D356" s="4"/>
      <c r="E356" s="4"/>
      <c r="F356" s="4"/>
      <c r="G356" s="4"/>
      <c r="H356" s="4"/>
      <c r="I356" s="4"/>
      <c r="J356" s="4" t="str">
        <f>IFERROR(__xludf.DUMMYFUNCTION("""COMPUTED_VALUE"""),"Cluster 20")</f>
        <v>Cluster 20</v>
      </c>
      <c r="K356" s="4"/>
      <c r="L356" s="4"/>
      <c r="M356" s="4"/>
      <c r="N356" s="4"/>
      <c r="O356" s="4" t="str">
        <f>IFERROR(__xludf.DUMMYFUNCTION("""COMPUTED_VALUE"""),"HON. SIDI HAMID ALI STREET")</f>
        <v>HON. SIDI HAMID ALI STREET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 t="str">
        <f>IFERROR(__xludf.DUMMYFUNCTION("""COMPUTED_VALUE"""),"Point 1")</f>
        <v>Point 1</v>
      </c>
      <c r="AC356" s="4">
        <f>IFERROR(__xludf.DUMMYFUNCTION("""COMPUTED_VALUE"""),11.96433587)</f>
        <v>11.96433587</v>
      </c>
      <c r="AD356" s="4">
        <f>IFERROR(__xludf.DUMMYFUNCTION("""COMPUTED_VALUE"""),8.563100633)</f>
        <v>8.563100633</v>
      </c>
      <c r="AE356" s="5" t="str">
        <f>IFERROR(__xludf.DUMMYFUNCTION("""COMPUTED_VALUE"""),"https://drive.google.com/open?id=1z0sRaCRBpYu7HnUwwluojKGcDkziIwpG")</f>
        <v>https://drive.google.com/open?id=1z0sRaCRBpYu7HnUwwluojKGcDkziIwpG</v>
      </c>
      <c r="AF356" s="4"/>
      <c r="AG356" s="4"/>
      <c r="AH356" s="4"/>
      <c r="AI356" s="4"/>
      <c r="AL356" s="4" t="str">
        <f t="shared" si="1"/>
        <v>Cluster 20</v>
      </c>
      <c r="AM356" s="4" t="str">
        <f t="shared" si="2"/>
        <v>HON. SIDI HAMID ALI STREET</v>
      </c>
    </row>
    <row r="357">
      <c r="A357" s="3">
        <f>IFERROR(__xludf.DUMMYFUNCTION("""COMPUTED_VALUE"""),45868.92697197916)</f>
        <v>45868.92697</v>
      </c>
      <c r="B357" s="4" t="str">
        <f>IFERROR(__xludf.DUMMYFUNCTION("""COMPUTED_VALUE"""),"umrdalhatu@gmail.com")</f>
        <v>umrdalhatu@gmail.com</v>
      </c>
      <c r="C357" s="4" t="str">
        <f>IFERROR(__xludf.DUMMYFUNCTION("""COMPUTED_VALUE"""),"Umar Dalhatu")</f>
        <v>Umar Dalhatu</v>
      </c>
      <c r="D357" s="4"/>
      <c r="E357" s="4"/>
      <c r="F357" s="4"/>
      <c r="G357" s="4"/>
      <c r="H357" s="4"/>
      <c r="I357" s="4"/>
      <c r="J357" s="4" t="str">
        <f>IFERROR(__xludf.DUMMYFUNCTION("""COMPUTED_VALUE"""),"Cluster 20")</f>
        <v>Cluster 20</v>
      </c>
      <c r="K357" s="4"/>
      <c r="L357" s="4"/>
      <c r="M357" s="4"/>
      <c r="N357" s="4"/>
      <c r="O357" s="4" t="str">
        <f>IFERROR(__xludf.DUMMYFUNCTION("""COMPUTED_VALUE"""),"HON. SIDI HAMID ALI STREET")</f>
        <v>HON. SIDI HAMID ALI STREET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 t="str">
        <f>IFERROR(__xludf.DUMMYFUNCTION("""COMPUTED_VALUE"""),"Point 1")</f>
        <v>Point 1</v>
      </c>
      <c r="AC357" s="4">
        <f>IFERROR(__xludf.DUMMYFUNCTION("""COMPUTED_VALUE"""),11.96433587)</f>
        <v>11.96433587</v>
      </c>
      <c r="AD357" s="4">
        <f>IFERROR(__xludf.DUMMYFUNCTION("""COMPUTED_VALUE"""),8.563100633)</f>
        <v>8.563100633</v>
      </c>
      <c r="AE357" s="5" t="str">
        <f>IFERROR(__xludf.DUMMYFUNCTION("""COMPUTED_VALUE"""),"https://drive.google.com/open?id=1qkTB1r29GA2rhNtiH2HD8q28uyp6NTpk")</f>
        <v>https://drive.google.com/open?id=1qkTB1r29GA2rhNtiH2HD8q28uyp6NTpk</v>
      </c>
      <c r="AF357" s="4"/>
      <c r="AG357" s="4"/>
      <c r="AH357" s="4"/>
      <c r="AI357" s="4"/>
      <c r="AL357" s="4" t="str">
        <f t="shared" si="1"/>
        <v>Cluster 20</v>
      </c>
      <c r="AM357" s="4" t="str">
        <f t="shared" si="2"/>
        <v>HON. SIDI HAMID ALI STREET</v>
      </c>
    </row>
    <row r="358">
      <c r="A358" s="3">
        <f>IFERROR(__xludf.DUMMYFUNCTION("""COMPUTED_VALUE"""),45868.92380604167)</f>
        <v>45868.92381</v>
      </c>
      <c r="B358" s="4" t="str">
        <f>IFERROR(__xludf.DUMMYFUNCTION("""COMPUTED_VALUE"""),"umrdalhatu@gmail.com")</f>
        <v>umrdalhatu@gmail.com</v>
      </c>
      <c r="C358" s="4" t="str">
        <f>IFERROR(__xludf.DUMMYFUNCTION("""COMPUTED_VALUE"""),"Umar Dalhatu")</f>
        <v>Umar Dalhatu</v>
      </c>
      <c r="D358" s="4"/>
      <c r="E358" s="4"/>
      <c r="F358" s="4"/>
      <c r="G358" s="4"/>
      <c r="H358" s="4"/>
      <c r="I358" s="4"/>
      <c r="J358" s="4" t="str">
        <f>IFERROR(__xludf.DUMMYFUNCTION("""COMPUTED_VALUE"""),"Cluster 1")</f>
        <v>Cluster 1</v>
      </c>
      <c r="K358" s="4" t="str">
        <f>IFERROR(__xludf.DUMMYFUNCTION("""COMPUTED_VALUE"""),"ADEOLA STREET")</f>
        <v>ADEOLA STREET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 t="str">
        <f>IFERROR(__xludf.DUMMYFUNCTION("""COMPUTED_VALUE"""),"Point 1")</f>
        <v>Point 1</v>
      </c>
      <c r="AC358" s="4">
        <f>IFERROR(__xludf.DUMMYFUNCTION("""COMPUTED_VALUE"""),11.99609961)</f>
        <v>11.99609961</v>
      </c>
      <c r="AD358" s="4">
        <f>IFERROR(__xludf.DUMMYFUNCTION("""COMPUTED_VALUE"""),8.576884472)</f>
        <v>8.576884472</v>
      </c>
      <c r="AE358" s="5" t="str">
        <f>IFERROR(__xludf.DUMMYFUNCTION("""COMPUTED_VALUE"""),"https://drive.google.com/open?id=1IOiN8Y5EUHpuULr3AWQmFgFLmKWPeoFt")</f>
        <v>https://drive.google.com/open?id=1IOiN8Y5EUHpuULr3AWQmFgFLmKWPeoFt</v>
      </c>
      <c r="AF358" s="4"/>
      <c r="AG358" s="4"/>
      <c r="AH358" s="4"/>
      <c r="AI358" s="4"/>
      <c r="AL358" s="4" t="str">
        <f t="shared" si="1"/>
        <v>Cluster 1</v>
      </c>
      <c r="AM358" s="4" t="str">
        <f t="shared" si="2"/>
        <v>ADEOLA STREET</v>
      </c>
    </row>
    <row r="359">
      <c r="A359" s="3">
        <f>IFERROR(__xludf.DUMMYFUNCTION("""COMPUTED_VALUE"""),45868.916238564816)</f>
        <v>45868.91624</v>
      </c>
      <c r="B359" s="4" t="str">
        <f>IFERROR(__xludf.DUMMYFUNCTION("""COMPUTED_VALUE"""),"umrdalhatu@gmail.com")</f>
        <v>umrdalhatu@gmail.com</v>
      </c>
      <c r="C359" s="4" t="str">
        <f>IFERROR(__xludf.DUMMYFUNCTION("""COMPUTED_VALUE"""),"Umar Dalhatu")</f>
        <v>Umar Dalhatu</v>
      </c>
      <c r="D359" s="4"/>
      <c r="E359" s="4"/>
      <c r="F359" s="4"/>
      <c r="G359" s="4"/>
      <c r="H359" s="4"/>
      <c r="I359" s="4"/>
      <c r="J359" s="4" t="str">
        <f>IFERROR(__xludf.DUMMYFUNCTION("""COMPUTED_VALUE"""),"Cluster 1")</f>
        <v>Cluster 1</v>
      </c>
      <c r="K359" s="4" t="str">
        <f>IFERROR(__xludf.DUMMYFUNCTION("""COMPUTED_VALUE"""),"JIBRIN ABDU STREET")</f>
        <v>JIBRIN ABDU STREET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 t="str">
        <f>IFERROR(__xludf.DUMMYFUNCTION("""COMPUTED_VALUE"""),"Point 2")</f>
        <v>Point 2</v>
      </c>
      <c r="AC359" s="4">
        <f>IFERROR(__xludf.DUMMYFUNCTION("""COMPUTED_VALUE"""),11.99629225)</f>
        <v>11.99629225</v>
      </c>
      <c r="AD359" s="4">
        <f>IFERROR(__xludf.DUMMYFUNCTION("""COMPUTED_VALUE"""),8.574767172)</f>
        <v>8.574767172</v>
      </c>
      <c r="AE359" s="5" t="str">
        <f>IFERROR(__xludf.DUMMYFUNCTION("""COMPUTED_VALUE"""),"https://drive.google.com/open?id=1vkE-i4ThDgPnBwFgrQUzGE5fnOm1RQ5B")</f>
        <v>https://drive.google.com/open?id=1vkE-i4ThDgPnBwFgrQUzGE5fnOm1RQ5B</v>
      </c>
      <c r="AF359" s="4"/>
      <c r="AG359" s="4"/>
      <c r="AH359" s="4"/>
      <c r="AI359" s="4"/>
      <c r="AL359" s="4" t="str">
        <f t="shared" si="1"/>
        <v>Cluster 1</v>
      </c>
      <c r="AM359" s="4" t="str">
        <f t="shared" si="2"/>
        <v>JIBRIN ABDU STREET</v>
      </c>
    </row>
    <row r="360">
      <c r="A360" s="3">
        <f>IFERROR(__xludf.DUMMYFUNCTION("""COMPUTED_VALUE"""),45868.914061261574)</f>
        <v>45868.91406</v>
      </c>
      <c r="B360" s="4" t="str">
        <f>IFERROR(__xludf.DUMMYFUNCTION("""COMPUTED_VALUE"""),"umrdalhatu@gmail.com")</f>
        <v>umrdalhatu@gmail.com</v>
      </c>
      <c r="C360" s="4" t="str">
        <f>IFERROR(__xludf.DUMMYFUNCTION("""COMPUTED_VALUE"""),"Umar Dalhatu")</f>
        <v>Umar Dalhatu</v>
      </c>
      <c r="D360" s="4"/>
      <c r="E360" s="4"/>
      <c r="F360" s="4"/>
      <c r="G360" s="4"/>
      <c r="H360" s="4"/>
      <c r="I360" s="4"/>
      <c r="J360" s="4" t="str">
        <f>IFERROR(__xludf.DUMMYFUNCTION("""COMPUTED_VALUE"""),"Cluster 1")</f>
        <v>Cluster 1</v>
      </c>
      <c r="K360" s="4" t="str">
        <f>IFERROR(__xludf.DUMMYFUNCTION("""COMPUTED_VALUE"""),"JIBRIN ABDU STREET")</f>
        <v>JIBRIN ABDU STREET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 t="str">
        <f>IFERROR(__xludf.DUMMYFUNCTION("""COMPUTED_VALUE"""),"Point 1")</f>
        <v>Point 1</v>
      </c>
      <c r="AC360" s="4">
        <f>IFERROR(__xludf.DUMMYFUNCTION("""COMPUTED_VALUE"""),11.99672369)</f>
        <v>11.99672369</v>
      </c>
      <c r="AD360" s="4">
        <f>IFERROR(__xludf.DUMMYFUNCTION("""COMPUTED_VALUE"""),8.574797169)</f>
        <v>8.574797169</v>
      </c>
      <c r="AE360" s="5" t="str">
        <f>IFERROR(__xludf.DUMMYFUNCTION("""COMPUTED_VALUE"""),"https://drive.google.com/open?id=1eBLEKnM9BWNCjb2ta5dyySRraZLbELZK")</f>
        <v>https://drive.google.com/open?id=1eBLEKnM9BWNCjb2ta5dyySRraZLbELZK</v>
      </c>
      <c r="AF360" s="4"/>
      <c r="AG360" s="4"/>
      <c r="AH360" s="4"/>
      <c r="AI360" s="4"/>
      <c r="AL360" s="4" t="str">
        <f t="shared" si="1"/>
        <v>Cluster 1</v>
      </c>
      <c r="AM360" s="4" t="str">
        <f t="shared" si="2"/>
        <v>JIBRIN ABDU STREET</v>
      </c>
    </row>
    <row r="361">
      <c r="A361" s="3">
        <f>IFERROR(__xludf.DUMMYFUNCTION("""COMPUTED_VALUE"""),45868.91242871528)</f>
        <v>45868.91243</v>
      </c>
      <c r="B361" s="4" t="str">
        <f>IFERROR(__xludf.DUMMYFUNCTION("""COMPUTED_VALUE"""),"umrdalhatu@gmail.com")</f>
        <v>umrdalhatu@gmail.com</v>
      </c>
      <c r="C361" s="4" t="str">
        <f>IFERROR(__xludf.DUMMYFUNCTION("""COMPUTED_VALUE"""),"Umar Dalhatu")</f>
        <v>Umar Dalhatu</v>
      </c>
      <c r="D361" s="4"/>
      <c r="E361" s="4"/>
      <c r="F361" s="4"/>
      <c r="G361" s="4"/>
      <c r="H361" s="4"/>
      <c r="I361" s="4"/>
      <c r="J361" s="4" t="str">
        <f>IFERROR(__xludf.DUMMYFUNCTION("""COMPUTED_VALUE"""),"Cluster 7")</f>
        <v>Cluster 7</v>
      </c>
      <c r="K361" s="4"/>
      <c r="L361" s="4" t="str">
        <f>IFERROR(__xludf.DUMMYFUNCTION("""COMPUTED_VALUE"""),"GARBA UBALE STREET")</f>
        <v>GARBA UBALE STREET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 t="str">
        <f>IFERROR(__xludf.DUMMYFUNCTION("""COMPUTED_VALUE"""),"Point 2")</f>
        <v>Point 2</v>
      </c>
      <c r="AC361" s="4">
        <f>IFERROR(__xludf.DUMMYFUNCTION("""COMPUTED_VALUE"""),12.01532302)</f>
        <v>12.01532302</v>
      </c>
      <c r="AD361" s="4">
        <f>IFERROR(__xludf.DUMMYFUNCTION("""COMPUTED_VALUE"""),8.576187334)</f>
        <v>8.576187334</v>
      </c>
      <c r="AE361" s="5" t="str">
        <f>IFERROR(__xludf.DUMMYFUNCTION("""COMPUTED_VALUE"""),"https://drive.google.com/open?id=1vM8vBbMOJQtjHRFT3Kc_VVPMKE479K1M")</f>
        <v>https://drive.google.com/open?id=1vM8vBbMOJQtjHRFT3Kc_VVPMKE479K1M</v>
      </c>
      <c r="AF361" s="4"/>
      <c r="AG361" s="4"/>
      <c r="AH361" s="4"/>
      <c r="AI361" s="4"/>
      <c r="AL361" s="4" t="str">
        <f t="shared" si="1"/>
        <v>Cluster 7</v>
      </c>
      <c r="AM361" s="4" t="str">
        <f t="shared" si="2"/>
        <v>GARBA UBALE STREET</v>
      </c>
    </row>
    <row r="362">
      <c r="A362" s="3">
        <f>IFERROR(__xludf.DUMMYFUNCTION("""COMPUTED_VALUE"""),45868.911584270834)</f>
        <v>45868.91158</v>
      </c>
      <c r="B362" s="4" t="str">
        <f>IFERROR(__xludf.DUMMYFUNCTION("""COMPUTED_VALUE"""),"umrdalhatu@gmail.com")</f>
        <v>umrdalhatu@gmail.com</v>
      </c>
      <c r="C362" s="4" t="str">
        <f>IFERROR(__xludf.DUMMYFUNCTION("""COMPUTED_VALUE"""),"Umar Dalhatu")</f>
        <v>Umar Dalhatu</v>
      </c>
      <c r="D362" s="4"/>
      <c r="E362" s="4"/>
      <c r="F362" s="4"/>
      <c r="G362" s="4"/>
      <c r="H362" s="4"/>
      <c r="I362" s="4"/>
      <c r="J362" s="4" t="str">
        <f>IFERROR(__xludf.DUMMYFUNCTION("""COMPUTED_VALUE"""),"Cluster 7")</f>
        <v>Cluster 7</v>
      </c>
      <c r="K362" s="4"/>
      <c r="L362" s="4" t="str">
        <f>IFERROR(__xludf.DUMMYFUNCTION("""COMPUTED_VALUE"""),"GARBA UBALE STREET")</f>
        <v>GARBA UBALE STREET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 t="str">
        <f>IFERROR(__xludf.DUMMYFUNCTION("""COMPUTED_VALUE"""),"Point 1")</f>
        <v>Point 1</v>
      </c>
      <c r="AC362" s="4">
        <f>IFERROR(__xludf.DUMMYFUNCTION("""COMPUTED_VALUE"""),12.01543107)</f>
        <v>12.01543107</v>
      </c>
      <c r="AD362" s="4">
        <f>IFERROR(__xludf.DUMMYFUNCTION("""COMPUTED_VALUE"""),8.576785043)</f>
        <v>8.576785043</v>
      </c>
      <c r="AE362" s="5" t="str">
        <f>IFERROR(__xludf.DUMMYFUNCTION("""COMPUTED_VALUE"""),"https://drive.google.com/open?id=1mXCLT8jiIX-z0d8T501KmNqGcPth2lYR")</f>
        <v>https://drive.google.com/open?id=1mXCLT8jiIX-z0d8T501KmNqGcPth2lYR</v>
      </c>
      <c r="AF362" s="4"/>
      <c r="AG362" s="4"/>
      <c r="AH362" s="4"/>
      <c r="AI362" s="4"/>
      <c r="AL362" s="4" t="str">
        <f t="shared" si="1"/>
        <v>Cluster 7</v>
      </c>
      <c r="AM362" s="4" t="str">
        <f t="shared" si="2"/>
        <v>GARBA UBALE STREET</v>
      </c>
    </row>
    <row r="363">
      <c r="A363" s="3">
        <f>IFERROR(__xludf.DUMMYFUNCTION("""COMPUTED_VALUE"""),45868.90939215278)</f>
        <v>45868.90939</v>
      </c>
      <c r="B363" s="4" t="str">
        <f>IFERROR(__xludf.DUMMYFUNCTION("""COMPUTED_VALUE"""),"umrdalhatu@gmail.com")</f>
        <v>umrdalhatu@gmail.com</v>
      </c>
      <c r="C363" s="4" t="str">
        <f>IFERROR(__xludf.DUMMYFUNCTION("""COMPUTED_VALUE"""),"Umar Dalhatu")</f>
        <v>Umar Dalhatu</v>
      </c>
      <c r="D363" s="4"/>
      <c r="E363" s="4"/>
      <c r="F363" s="4"/>
      <c r="G363" s="4"/>
      <c r="H363" s="4"/>
      <c r="I363" s="4"/>
      <c r="J363" s="4" t="str">
        <f>IFERROR(__xludf.DUMMYFUNCTION("""COMPUTED_VALUE"""),"Cluster 7")</f>
        <v>Cluster 7</v>
      </c>
      <c r="K363" s="4"/>
      <c r="L363" s="4" t="str">
        <f>IFERROR(__xludf.DUMMYFUNCTION("""COMPUTED_VALUE"""),"LIMAN BASHIR STREET")</f>
        <v>LIMAN BASHIR STREET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 t="str">
        <f>IFERROR(__xludf.DUMMYFUNCTION("""COMPUTED_VALUE"""),"Point 2")</f>
        <v>Point 2</v>
      </c>
      <c r="AC363" s="4">
        <f>IFERROR(__xludf.DUMMYFUNCTION("""COMPUTED_VALUE"""),12.01376586)</f>
        <v>12.01376586</v>
      </c>
      <c r="AD363" s="4">
        <f>IFERROR(__xludf.DUMMYFUNCTION("""COMPUTED_VALUE"""),8.580250266)</f>
        <v>8.580250266</v>
      </c>
      <c r="AE363" s="5" t="str">
        <f>IFERROR(__xludf.DUMMYFUNCTION("""COMPUTED_VALUE"""),"https://drive.google.com/open?id=1WGmZZzzJCzL19GRh-C8etUU7hw7ongn0")</f>
        <v>https://drive.google.com/open?id=1WGmZZzzJCzL19GRh-C8etUU7hw7ongn0</v>
      </c>
      <c r="AF363" s="4"/>
      <c r="AG363" s="4"/>
      <c r="AH363" s="4"/>
      <c r="AI363" s="4"/>
      <c r="AL363" s="4" t="str">
        <f t="shared" si="1"/>
        <v>Cluster 7</v>
      </c>
      <c r="AM363" s="4" t="str">
        <f t="shared" si="2"/>
        <v>LIMAN BASHIR STREET</v>
      </c>
    </row>
    <row r="364">
      <c r="A364" s="3">
        <f>IFERROR(__xludf.DUMMYFUNCTION("""COMPUTED_VALUE"""),45868.90699644676)</f>
        <v>45868.907</v>
      </c>
      <c r="B364" s="4" t="str">
        <f>IFERROR(__xludf.DUMMYFUNCTION("""COMPUTED_VALUE"""),"umrdalhatu@gmail.com")</f>
        <v>umrdalhatu@gmail.com</v>
      </c>
      <c r="C364" s="4" t="str">
        <f>IFERROR(__xludf.DUMMYFUNCTION("""COMPUTED_VALUE"""),"Umar Dalhatu")</f>
        <v>Umar Dalhatu</v>
      </c>
      <c r="D364" s="4"/>
      <c r="E364" s="4"/>
      <c r="F364" s="4"/>
      <c r="G364" s="4"/>
      <c r="H364" s="4"/>
      <c r="I364" s="4"/>
      <c r="J364" s="4" t="str">
        <f>IFERROR(__xludf.DUMMYFUNCTION("""COMPUTED_VALUE"""),"Cluster 7")</f>
        <v>Cluster 7</v>
      </c>
      <c r="K364" s="4"/>
      <c r="L364" s="4" t="str">
        <f>IFERROR(__xludf.DUMMYFUNCTION("""COMPUTED_VALUE"""),"LIMAN BASHIR STREET")</f>
        <v>LIMAN BASHIR STREET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 t="str">
        <f>IFERROR(__xludf.DUMMYFUNCTION("""COMPUTED_VALUE"""),"Point 1")</f>
        <v>Point 1</v>
      </c>
      <c r="AC364" s="4">
        <f>IFERROR(__xludf.DUMMYFUNCTION("""COMPUTED_VALUE"""),12.01427019)</f>
        <v>12.01427019</v>
      </c>
      <c r="AD364" s="4">
        <f>IFERROR(__xludf.DUMMYFUNCTION("""COMPUTED_VALUE"""),8.580254962)</f>
        <v>8.580254962</v>
      </c>
      <c r="AE364" s="5" t="str">
        <f>IFERROR(__xludf.DUMMYFUNCTION("""COMPUTED_VALUE"""),"https://drive.google.com/open?id=18izmmwurmwjqpRilYkFHjKBCaX8bzFX2")</f>
        <v>https://drive.google.com/open?id=18izmmwurmwjqpRilYkFHjKBCaX8bzFX2</v>
      </c>
      <c r="AF364" s="4"/>
      <c r="AG364" s="4"/>
      <c r="AH364" s="4"/>
      <c r="AI364" s="4"/>
      <c r="AL364" s="4" t="str">
        <f t="shared" si="1"/>
        <v>Cluster 7</v>
      </c>
      <c r="AM364" s="4" t="str">
        <f t="shared" si="2"/>
        <v>LIMAN BASHIR STREET</v>
      </c>
    </row>
    <row r="365">
      <c r="A365" s="3">
        <f>IFERROR(__xludf.DUMMYFUNCTION("""COMPUTED_VALUE"""),45868.79914528935)</f>
        <v>45868.79915</v>
      </c>
      <c r="B365" s="4" t="str">
        <f>IFERROR(__xludf.DUMMYFUNCTION("""COMPUTED_VALUE"""),"umrdalhatu@gmail.com")</f>
        <v>umrdalhatu@gmail.com</v>
      </c>
      <c r="C365" s="4" t="str">
        <f>IFERROR(__xludf.DUMMYFUNCTION("""COMPUTED_VALUE"""),"Umar Dalhatu")</f>
        <v>Umar Dalhatu</v>
      </c>
      <c r="D365" s="4"/>
      <c r="E365" s="4"/>
      <c r="F365" s="4"/>
      <c r="G365" s="4"/>
      <c r="H365" s="4"/>
      <c r="I365" s="4"/>
      <c r="J365" s="4" t="str">
        <f>IFERROR(__xludf.DUMMYFUNCTION("""COMPUTED_VALUE"""),"Cluster 7")</f>
        <v>Cluster 7</v>
      </c>
      <c r="K365" s="4"/>
      <c r="L365" s="4" t="str">
        <f>IFERROR(__xludf.DUMMYFUNCTION("""COMPUTED_VALUE"""),"DR. G.N. HAMZA STREET")</f>
        <v>DR. G.N. HAMZA STREET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 t="str">
        <f>IFERROR(__xludf.DUMMYFUNCTION("""COMPUTED_VALUE"""),"Point 2")</f>
        <v>Point 2</v>
      </c>
      <c r="AC365" s="4">
        <f>IFERROR(__xludf.DUMMYFUNCTION("""COMPUTED_VALUE"""),12.00496662)</f>
        <v>12.00496662</v>
      </c>
      <c r="AD365" s="4">
        <f>IFERROR(__xludf.DUMMYFUNCTION("""COMPUTED_VALUE"""),8.578192962)</f>
        <v>8.578192962</v>
      </c>
      <c r="AE365" s="5" t="str">
        <f>IFERROR(__xludf.DUMMYFUNCTION("""COMPUTED_VALUE"""),"https://drive.google.com/open?id=1OBGWIGLidgGMeJ4zL2hBH0D98ATz7VBa")</f>
        <v>https://drive.google.com/open?id=1OBGWIGLidgGMeJ4zL2hBH0D98ATz7VBa</v>
      </c>
      <c r="AF365" s="4"/>
      <c r="AG365" s="4"/>
      <c r="AH365" s="4"/>
      <c r="AI365" s="4"/>
      <c r="AL365" s="4" t="str">
        <f t="shared" si="1"/>
        <v>Cluster 7</v>
      </c>
      <c r="AM365" s="4" t="str">
        <f t="shared" si="2"/>
        <v>DR. G.N. HAMZA STREET</v>
      </c>
    </row>
    <row r="366">
      <c r="A366" s="3">
        <f>IFERROR(__xludf.DUMMYFUNCTION("""COMPUTED_VALUE"""),45868.79777048611)</f>
        <v>45868.79777</v>
      </c>
      <c r="B366" s="4" t="str">
        <f>IFERROR(__xludf.DUMMYFUNCTION("""COMPUTED_VALUE"""),"umrdalhatu@gmail.com")</f>
        <v>umrdalhatu@gmail.com</v>
      </c>
      <c r="C366" s="4" t="str">
        <f>IFERROR(__xludf.DUMMYFUNCTION("""COMPUTED_VALUE"""),"Umar Dalhatu")</f>
        <v>Umar Dalhatu</v>
      </c>
      <c r="D366" s="4"/>
      <c r="E366" s="4"/>
      <c r="F366" s="4"/>
      <c r="G366" s="4"/>
      <c r="H366" s="4"/>
      <c r="I366" s="4"/>
      <c r="J366" s="4" t="str">
        <f>IFERROR(__xludf.DUMMYFUNCTION("""COMPUTED_VALUE"""),"Cluster 7")</f>
        <v>Cluster 7</v>
      </c>
      <c r="K366" s="4"/>
      <c r="L366" s="4" t="str">
        <f>IFERROR(__xludf.DUMMYFUNCTION("""COMPUTED_VALUE"""),"DR. G.N. HAMZA STREET")</f>
        <v>DR. G.N. HAMZA STREET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 t="str">
        <f>IFERROR(__xludf.DUMMYFUNCTION("""COMPUTED_VALUE"""),"Point 1")</f>
        <v>Point 1</v>
      </c>
      <c r="AC366" s="4">
        <f>IFERROR(__xludf.DUMMYFUNCTION("""COMPUTED_VALUE"""),12.006108)</f>
        <v>12.006108</v>
      </c>
      <c r="AD366" s="4">
        <f>IFERROR(__xludf.DUMMYFUNCTION("""COMPUTED_VALUE"""),8.586341)</f>
        <v>8.586341</v>
      </c>
      <c r="AE366" s="5" t="str">
        <f>IFERROR(__xludf.DUMMYFUNCTION("""COMPUTED_VALUE"""),"https://drive.google.com/open?id=1ChqXUiqDcAGqV2Ni4sHnknKalrwPVEjU")</f>
        <v>https://drive.google.com/open?id=1ChqXUiqDcAGqV2Ni4sHnknKalrwPVEjU</v>
      </c>
      <c r="AF366" s="4"/>
      <c r="AG366" s="4"/>
      <c r="AH366" s="4"/>
      <c r="AI366" s="4"/>
      <c r="AL366" s="4" t="str">
        <f t="shared" si="1"/>
        <v>Cluster 7</v>
      </c>
      <c r="AM366" s="4" t="str">
        <f t="shared" si="2"/>
        <v>DR. G.N. HAMZA STREET</v>
      </c>
    </row>
    <row r="367">
      <c r="A367" s="3">
        <f>IFERROR(__xludf.DUMMYFUNCTION("""COMPUTED_VALUE"""),45868.79521789352)</f>
        <v>45868.79522</v>
      </c>
      <c r="B367" s="4" t="str">
        <f>IFERROR(__xludf.DUMMYFUNCTION("""COMPUTED_VALUE"""),"umrdalhatu@gmail.com")</f>
        <v>umrdalhatu@gmail.com</v>
      </c>
      <c r="C367" s="4" t="str">
        <f>IFERROR(__xludf.DUMMYFUNCTION("""COMPUTED_VALUE"""),"Umar Dalhatu")</f>
        <v>Umar Dalhatu</v>
      </c>
      <c r="D367" s="4"/>
      <c r="E367" s="4"/>
      <c r="F367" s="4"/>
      <c r="G367" s="4"/>
      <c r="H367" s="4"/>
      <c r="I367" s="4"/>
      <c r="J367" s="4" t="str">
        <f>IFERROR(__xludf.DUMMYFUNCTION("""COMPUTED_VALUE"""),"Cluster 7")</f>
        <v>Cluster 7</v>
      </c>
      <c r="K367" s="4"/>
      <c r="L367" s="4" t="str">
        <f>IFERROR(__xludf.DUMMYFUNCTION("""COMPUTED_VALUE"""),"DANWAWU STREET")</f>
        <v>DANWAWU STREET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 t="str">
        <f>IFERROR(__xludf.DUMMYFUNCTION("""COMPUTED_VALUE"""),"Point 2")</f>
        <v>Point 2</v>
      </c>
      <c r="AC367" s="4">
        <f>IFERROR(__xludf.DUMMYFUNCTION("""COMPUTED_VALUE"""),12.00682277)</f>
        <v>12.00682277</v>
      </c>
      <c r="AD367" s="4">
        <f>IFERROR(__xludf.DUMMYFUNCTION("""COMPUTED_VALUE"""),8.580343486)</f>
        <v>8.580343486</v>
      </c>
      <c r="AE367" s="5" t="str">
        <f>IFERROR(__xludf.DUMMYFUNCTION("""COMPUTED_VALUE"""),"https://drive.google.com/open?id=12WuTgQSFzdY9lzwOlHkyyNg5--wR4e1K")</f>
        <v>https://drive.google.com/open?id=12WuTgQSFzdY9lzwOlHkyyNg5--wR4e1K</v>
      </c>
      <c r="AF367" s="4"/>
      <c r="AG367" s="4"/>
      <c r="AH367" s="4"/>
      <c r="AI367" s="4"/>
      <c r="AL367" s="4" t="str">
        <f t="shared" si="1"/>
        <v>Cluster 7</v>
      </c>
      <c r="AM367" s="4" t="str">
        <f t="shared" si="2"/>
        <v>DANWAWU STREET</v>
      </c>
    </row>
    <row r="368">
      <c r="A368" s="3">
        <f>IFERROR(__xludf.DUMMYFUNCTION("""COMPUTED_VALUE"""),45868.7937708449)</f>
        <v>45868.79377</v>
      </c>
      <c r="B368" s="4" t="str">
        <f>IFERROR(__xludf.DUMMYFUNCTION("""COMPUTED_VALUE"""),"umrdalhatu@gmail.com")</f>
        <v>umrdalhatu@gmail.com</v>
      </c>
      <c r="C368" s="4" t="str">
        <f>IFERROR(__xludf.DUMMYFUNCTION("""COMPUTED_VALUE"""),"Umar Dalhatu")</f>
        <v>Umar Dalhatu</v>
      </c>
      <c r="D368" s="4"/>
      <c r="E368" s="4"/>
      <c r="F368" s="4"/>
      <c r="G368" s="4"/>
      <c r="H368" s="4"/>
      <c r="I368" s="4"/>
      <c r="J368" s="4" t="str">
        <f>IFERROR(__xludf.DUMMYFUNCTION("""COMPUTED_VALUE"""),"Cluster 7")</f>
        <v>Cluster 7</v>
      </c>
      <c r="K368" s="4"/>
      <c r="L368" s="4" t="str">
        <f>IFERROR(__xludf.DUMMYFUNCTION("""COMPUTED_VALUE"""),"DANWAWU STREET")</f>
        <v>DANWAWU STREET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 t="str">
        <f>IFERROR(__xludf.DUMMYFUNCTION("""COMPUTED_VALUE"""),"Point 1")</f>
        <v>Point 1</v>
      </c>
      <c r="AC368" s="4">
        <f>IFERROR(__xludf.DUMMYFUNCTION("""COMPUTED_VALUE"""),12.00677333)</f>
        <v>12.00677333</v>
      </c>
      <c r="AD368" s="4">
        <f>IFERROR(__xludf.DUMMYFUNCTION("""COMPUTED_VALUE"""),8.579671587)</f>
        <v>8.579671587</v>
      </c>
      <c r="AE368" s="5" t="str">
        <f>IFERROR(__xludf.DUMMYFUNCTION("""COMPUTED_VALUE"""),"https://drive.google.com/open?id=1N3zMk05ZVPVHSDtM-Cb78nGPWbTbBgIX")</f>
        <v>https://drive.google.com/open?id=1N3zMk05ZVPVHSDtM-Cb78nGPWbTbBgIX</v>
      </c>
      <c r="AF368" s="4"/>
      <c r="AG368" s="4"/>
      <c r="AH368" s="4"/>
      <c r="AI368" s="4"/>
      <c r="AL368" s="4" t="str">
        <f t="shared" si="1"/>
        <v>Cluster 7</v>
      </c>
      <c r="AM368" s="4" t="str">
        <f t="shared" si="2"/>
        <v>DANWAWU STREET</v>
      </c>
    </row>
    <row r="369">
      <c r="A369" s="3">
        <f>IFERROR(__xludf.DUMMYFUNCTION("""COMPUTED_VALUE"""),45868.79119423611)</f>
        <v>45868.79119</v>
      </c>
      <c r="B369" s="4" t="str">
        <f>IFERROR(__xludf.DUMMYFUNCTION("""COMPUTED_VALUE"""),"umrdalhatu@gmail.com")</f>
        <v>umrdalhatu@gmail.com</v>
      </c>
      <c r="C369" s="4" t="str">
        <f>IFERROR(__xludf.DUMMYFUNCTION("""COMPUTED_VALUE"""),"Umar Dalhatu")</f>
        <v>Umar Dalhatu</v>
      </c>
      <c r="D369" s="4"/>
      <c r="E369" s="4"/>
      <c r="F369" s="4"/>
      <c r="G369" s="4"/>
      <c r="H369" s="4"/>
      <c r="I369" s="4"/>
      <c r="J369" s="4" t="str">
        <f>IFERROR(__xludf.DUMMYFUNCTION("""COMPUTED_VALUE"""),"Cluster 1")</f>
        <v>Cluster 1</v>
      </c>
      <c r="K369" s="4" t="str">
        <f>IFERROR(__xludf.DUMMYFUNCTION("""COMPUTED_VALUE"""),"SANI TRADER STREET")</f>
        <v>SANI TRADER STREET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 t="str">
        <f>IFERROR(__xludf.DUMMYFUNCTION("""COMPUTED_VALUE"""),"Point 2")</f>
        <v>Point 2</v>
      </c>
      <c r="AC369" s="4">
        <f>IFERROR(__xludf.DUMMYFUNCTION("""COMPUTED_VALUE"""),11.987875)</f>
        <v>11.987875</v>
      </c>
      <c r="AD369" s="4">
        <f>IFERROR(__xludf.DUMMYFUNCTION("""COMPUTED_VALUE"""),8.539648)</f>
        <v>8.539648</v>
      </c>
      <c r="AE369" s="5" t="str">
        <f>IFERROR(__xludf.DUMMYFUNCTION("""COMPUTED_VALUE"""),"https://drive.google.com/open?id=1Vnlu0_4r1OAik72XmD1vBffdCmO2bzGQ")</f>
        <v>https://drive.google.com/open?id=1Vnlu0_4r1OAik72XmD1vBffdCmO2bzGQ</v>
      </c>
      <c r="AF369" s="4"/>
      <c r="AG369" s="4"/>
      <c r="AH369" s="4"/>
      <c r="AI369" s="4"/>
      <c r="AL369" s="4" t="str">
        <f t="shared" si="1"/>
        <v>Cluster 1</v>
      </c>
      <c r="AM369" s="4" t="str">
        <f t="shared" si="2"/>
        <v>SANI TRADER STREET</v>
      </c>
    </row>
    <row r="370">
      <c r="A370" s="3">
        <f>IFERROR(__xludf.DUMMYFUNCTION("""COMPUTED_VALUE"""),45868.789921296295)</f>
        <v>45868.78992</v>
      </c>
      <c r="B370" s="4" t="str">
        <f>IFERROR(__xludf.DUMMYFUNCTION("""COMPUTED_VALUE"""),"umrdalhatu@gmail.com")</f>
        <v>umrdalhatu@gmail.com</v>
      </c>
      <c r="C370" s="4" t="str">
        <f>IFERROR(__xludf.DUMMYFUNCTION("""COMPUTED_VALUE"""),"Umar Dalhatu")</f>
        <v>Umar Dalhatu</v>
      </c>
      <c r="D370" s="4"/>
      <c r="E370" s="4"/>
      <c r="F370" s="4"/>
      <c r="G370" s="4"/>
      <c r="H370" s="4"/>
      <c r="I370" s="4"/>
      <c r="J370" s="4" t="str">
        <f>IFERROR(__xludf.DUMMYFUNCTION("""COMPUTED_VALUE"""),"Cluster 1")</f>
        <v>Cluster 1</v>
      </c>
      <c r="K370" s="4" t="str">
        <f>IFERROR(__xludf.DUMMYFUNCTION("""COMPUTED_VALUE"""),"SANI TRADER STREET")</f>
        <v>SANI TRADER STREET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 t="str">
        <f>IFERROR(__xludf.DUMMYFUNCTION("""COMPUTED_VALUE"""),"Point 1")</f>
        <v>Point 1</v>
      </c>
      <c r="AC370" s="4">
        <f>IFERROR(__xludf.DUMMYFUNCTION("""COMPUTED_VALUE"""),11.99123462)</f>
        <v>11.99123462</v>
      </c>
      <c r="AD370" s="4">
        <f>IFERROR(__xludf.DUMMYFUNCTION("""COMPUTED_VALUE"""),8.539406721)</f>
        <v>8.539406721</v>
      </c>
      <c r="AE370" s="5" t="str">
        <f>IFERROR(__xludf.DUMMYFUNCTION("""COMPUTED_VALUE"""),"https://drive.google.com/open?id=1GsP3Hs1k8YpfH-we1uLAQQf-we5oAJBg")</f>
        <v>https://drive.google.com/open?id=1GsP3Hs1k8YpfH-we1uLAQQf-we5oAJBg</v>
      </c>
      <c r="AF370" s="4"/>
      <c r="AG370" s="4"/>
      <c r="AH370" s="4"/>
      <c r="AI370" s="4"/>
      <c r="AL370" s="4" t="str">
        <f t="shared" si="1"/>
        <v>Cluster 1</v>
      </c>
      <c r="AM370" s="4" t="str">
        <f t="shared" si="2"/>
        <v>SANI TRADER STREET</v>
      </c>
    </row>
    <row r="371">
      <c r="A371" s="3">
        <f>IFERROR(__xludf.DUMMYFUNCTION("""COMPUTED_VALUE"""),45868.789501481486)</f>
        <v>45868.7895</v>
      </c>
      <c r="B371" s="4" t="str">
        <f>IFERROR(__xludf.DUMMYFUNCTION("""COMPUTED_VALUE"""),"elhabs256@gmail.com")</f>
        <v>elhabs256@gmail.com</v>
      </c>
      <c r="C371" s="4" t="str">
        <f>IFERROR(__xludf.DUMMYFUNCTION("""COMPUTED_VALUE"""),"Abdullahi Elhabeeb")</f>
        <v>Abdullahi Elhabeeb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tr">
        <f>IFERROR(__xludf.DUMMYFUNCTION("""COMPUTED_VALUE"""),"Cluster 18")</f>
        <v>Cluster 18</v>
      </c>
      <c r="Q371" s="4"/>
      <c r="R371" s="4"/>
      <c r="S371" s="4"/>
      <c r="T371" s="4"/>
      <c r="U371" s="4" t="str">
        <f>IFERROR(__xludf.DUMMYFUNCTION("""COMPUTED_VALUE"""),"BARGERY ROAD")</f>
        <v>BARGERY ROAD</v>
      </c>
      <c r="V371" s="4"/>
      <c r="W371" s="4"/>
      <c r="X371" s="4"/>
      <c r="Y371" s="4"/>
      <c r="Z371" s="4"/>
      <c r="AA371" s="4"/>
      <c r="AB371" s="4" t="str">
        <f>IFERROR(__xludf.DUMMYFUNCTION("""COMPUTED_VALUE"""),"Point 2")</f>
        <v>Point 2</v>
      </c>
      <c r="AC371" s="4">
        <f>IFERROR(__xludf.DUMMYFUNCTION("""COMPUTED_VALUE"""),12.007488)</f>
        <v>12.007488</v>
      </c>
      <c r="AD371" s="4">
        <f>IFERROR(__xludf.DUMMYFUNCTION("""COMPUTED_VALUE"""),8.568696)</f>
        <v>8.568696</v>
      </c>
      <c r="AE371" s="5" t="str">
        <f>IFERROR(__xludf.DUMMYFUNCTION("""COMPUTED_VALUE"""),"https://drive.google.com/open?id=1EXyzrCJ_lmKChPBwonHfJ-sBlA4Vga1N")</f>
        <v>https://drive.google.com/open?id=1EXyzrCJ_lmKChPBwonHfJ-sBlA4Vga1N</v>
      </c>
      <c r="AF371" s="4"/>
      <c r="AG371" s="4"/>
      <c r="AH371" s="4"/>
      <c r="AI371" s="4"/>
      <c r="AL371" s="4" t="str">
        <f t="shared" si="1"/>
        <v>Cluster 18</v>
      </c>
      <c r="AM371" s="4" t="str">
        <f t="shared" si="2"/>
        <v>BARGERY ROAD</v>
      </c>
    </row>
    <row r="372">
      <c r="A372" s="3">
        <f>IFERROR(__xludf.DUMMYFUNCTION("""COMPUTED_VALUE"""),45868.78830201389)</f>
        <v>45868.7883</v>
      </c>
      <c r="B372" s="4" t="str">
        <f>IFERROR(__xludf.DUMMYFUNCTION("""COMPUTED_VALUE"""),"elhabs256@gmail.com")</f>
        <v>elhabs256@gmail.com</v>
      </c>
      <c r="C372" s="4" t="str">
        <f>IFERROR(__xludf.DUMMYFUNCTION("""COMPUTED_VALUE"""),"Abdullahi Elhabeeb")</f>
        <v>Abdullahi Elhabeeb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tr">
        <f>IFERROR(__xludf.DUMMYFUNCTION("""COMPUTED_VALUE"""),"Cluster 18")</f>
        <v>Cluster 18</v>
      </c>
      <c r="Q372" s="4"/>
      <c r="R372" s="4"/>
      <c r="S372" s="4"/>
      <c r="T372" s="4"/>
      <c r="U372" s="4" t="str">
        <f>IFERROR(__xludf.DUMMYFUNCTION("""COMPUTED_VALUE"""),"BARGERY ROAD")</f>
        <v>BARGERY ROAD</v>
      </c>
      <c r="V372" s="4"/>
      <c r="W372" s="4"/>
      <c r="X372" s="4"/>
      <c r="Y372" s="4"/>
      <c r="Z372" s="4"/>
      <c r="AA372" s="4"/>
      <c r="AB372" s="4" t="str">
        <f>IFERROR(__xludf.DUMMYFUNCTION("""COMPUTED_VALUE"""),"Point 1")</f>
        <v>Point 1</v>
      </c>
      <c r="AC372" s="4">
        <f>IFERROR(__xludf.DUMMYFUNCTION("""COMPUTED_VALUE"""),12.012496)</f>
        <v>12.012496</v>
      </c>
      <c r="AD372" s="4">
        <f>IFERROR(__xludf.DUMMYFUNCTION("""COMPUTED_VALUE"""),8.568855)</f>
        <v>8.568855</v>
      </c>
      <c r="AE372" s="5" t="str">
        <f>IFERROR(__xludf.DUMMYFUNCTION("""COMPUTED_VALUE"""),"https://drive.google.com/open?id=1Pzr1KoT1RrgySckcbgEmwm7qUH11O24M")</f>
        <v>https://drive.google.com/open?id=1Pzr1KoT1RrgySckcbgEmwm7qUH11O24M</v>
      </c>
      <c r="AF372" s="4"/>
      <c r="AG372" s="4"/>
      <c r="AH372" s="4"/>
      <c r="AI372" s="4"/>
      <c r="AL372" s="4" t="str">
        <f t="shared" si="1"/>
        <v>Cluster 18</v>
      </c>
      <c r="AM372" s="4" t="str">
        <f t="shared" si="2"/>
        <v>BARGERY ROAD</v>
      </c>
    </row>
    <row r="373">
      <c r="A373" s="3">
        <f>IFERROR(__xludf.DUMMYFUNCTION("""COMPUTED_VALUE"""),45868.78808753472)</f>
        <v>45868.78809</v>
      </c>
      <c r="B373" s="4" t="str">
        <f>IFERROR(__xludf.DUMMYFUNCTION("""COMPUTED_VALUE"""),"umrdalhatu@gmail.com")</f>
        <v>umrdalhatu@gmail.com</v>
      </c>
      <c r="C373" s="4" t="str">
        <f>IFERROR(__xludf.DUMMYFUNCTION("""COMPUTED_VALUE"""),"Umar Dalhatu")</f>
        <v>Umar Dalhatu</v>
      </c>
      <c r="D373" s="4"/>
      <c r="E373" s="4"/>
      <c r="F373" s="4"/>
      <c r="G373" s="4"/>
      <c r="H373" s="4"/>
      <c r="I373" s="4"/>
      <c r="J373" s="4" t="str">
        <f>IFERROR(__xludf.DUMMYFUNCTION("""COMPUTED_VALUE"""),"Cluster 7")</f>
        <v>Cluster 7</v>
      </c>
      <c r="K373" s="4"/>
      <c r="L373" s="4" t="str">
        <f>IFERROR(__xludf.DUMMYFUNCTION("""COMPUTED_VALUE"""),"ISAH WAZIRI ROAD")</f>
        <v>ISAH WAZIRI ROAD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 t="str">
        <f>IFERROR(__xludf.DUMMYFUNCTION("""COMPUTED_VALUE"""),"Point 2")</f>
        <v>Point 2</v>
      </c>
      <c r="AC373" s="4">
        <f>IFERROR(__xludf.DUMMYFUNCTION("""COMPUTED_VALUE"""),11.95198485)</f>
        <v>11.95198485</v>
      </c>
      <c r="AD373" s="4">
        <f>IFERROR(__xludf.DUMMYFUNCTION("""COMPUTED_VALUE"""),8.537317069)</f>
        <v>8.537317069</v>
      </c>
      <c r="AE373" s="5" t="str">
        <f>IFERROR(__xludf.DUMMYFUNCTION("""COMPUTED_VALUE"""),"https://drive.google.com/open?id=12DUZ07aERb795Hakdc_1CkVEA-etzWNw")</f>
        <v>https://drive.google.com/open?id=12DUZ07aERb795Hakdc_1CkVEA-etzWNw</v>
      </c>
      <c r="AF373" s="4"/>
      <c r="AG373" s="4"/>
      <c r="AH373" s="4"/>
      <c r="AI373" s="4"/>
      <c r="AL373" s="4" t="str">
        <f t="shared" si="1"/>
        <v>Cluster 7</v>
      </c>
      <c r="AM373" s="4" t="str">
        <f t="shared" si="2"/>
        <v>ISAH WAZIRI ROAD</v>
      </c>
    </row>
    <row r="374">
      <c r="A374" s="3">
        <f>IFERROR(__xludf.DUMMYFUNCTION("""COMPUTED_VALUE"""),45868.78597111111)</f>
        <v>45868.78597</v>
      </c>
      <c r="B374" s="4" t="str">
        <f>IFERROR(__xludf.DUMMYFUNCTION("""COMPUTED_VALUE"""),"elhabs256@gmail.com")</f>
        <v>elhabs256@gmail.com</v>
      </c>
      <c r="C374" s="4" t="str">
        <f>IFERROR(__xludf.DUMMYFUNCTION("""COMPUTED_VALUE"""),"Abdullahi Elhabeeb")</f>
        <v>Abdullahi Elhabeeb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tr">
        <f>IFERROR(__xludf.DUMMYFUNCTION("""COMPUTED_VALUE"""),"Cluster 18")</f>
        <v>Cluster 18</v>
      </c>
      <c r="Q374" s="4"/>
      <c r="R374" s="4"/>
      <c r="S374" s="4"/>
      <c r="T374" s="4"/>
      <c r="U374" s="4" t="str">
        <f>IFERROR(__xludf.DUMMYFUNCTION("""COMPUTED_VALUE"""),"KAWU MAI WANKI STREET")</f>
        <v>KAWU MAI WANKI STREET</v>
      </c>
      <c r="V374" s="4"/>
      <c r="W374" s="4"/>
      <c r="X374" s="4"/>
      <c r="Y374" s="4"/>
      <c r="Z374" s="4"/>
      <c r="AA374" s="4"/>
      <c r="AB374" s="4" t="str">
        <f>IFERROR(__xludf.DUMMYFUNCTION("""COMPUTED_VALUE"""),"Point 2")</f>
        <v>Point 2</v>
      </c>
      <c r="AC374" s="4">
        <f>IFERROR(__xludf.DUMMYFUNCTION("""COMPUTED_VALUE"""),12.006203)</f>
        <v>12.006203</v>
      </c>
      <c r="AD374" s="4">
        <f>IFERROR(__xludf.DUMMYFUNCTION("""COMPUTED_VALUE"""),8.576729)</f>
        <v>8.576729</v>
      </c>
      <c r="AE374" s="5" t="str">
        <f>IFERROR(__xludf.DUMMYFUNCTION("""COMPUTED_VALUE"""),"https://drive.google.com/open?id=1TWvTZNbksixm_JLyLqgF_N4kVNo2fWLq")</f>
        <v>https://drive.google.com/open?id=1TWvTZNbksixm_JLyLqgF_N4kVNo2fWLq</v>
      </c>
      <c r="AF374" s="4"/>
      <c r="AG374" s="4"/>
      <c r="AH374" s="4"/>
      <c r="AI374" s="4"/>
      <c r="AL374" s="4" t="str">
        <f t="shared" si="1"/>
        <v>Cluster 18</v>
      </c>
      <c r="AM374" s="4" t="str">
        <f t="shared" si="2"/>
        <v>KAWU MAI WANKI STREET</v>
      </c>
    </row>
    <row r="375">
      <c r="A375" s="3">
        <f>IFERROR(__xludf.DUMMYFUNCTION("""COMPUTED_VALUE"""),45868.78464967593)</f>
        <v>45868.78465</v>
      </c>
      <c r="B375" s="4" t="str">
        <f>IFERROR(__xludf.DUMMYFUNCTION("""COMPUTED_VALUE"""),"elhabs256@gmail.com")</f>
        <v>elhabs256@gmail.com</v>
      </c>
      <c r="C375" s="4" t="str">
        <f>IFERROR(__xludf.DUMMYFUNCTION("""COMPUTED_VALUE"""),"Abdullahi Elhabeeb")</f>
        <v>Abdullahi Elhabeeb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tr">
        <f>IFERROR(__xludf.DUMMYFUNCTION("""COMPUTED_VALUE"""),"Cluster 18")</f>
        <v>Cluster 18</v>
      </c>
      <c r="Q375" s="4"/>
      <c r="R375" s="4"/>
      <c r="S375" s="4"/>
      <c r="T375" s="4"/>
      <c r="U375" s="4" t="str">
        <f>IFERROR(__xludf.DUMMYFUNCTION("""COMPUTED_VALUE"""),"KAWU MAI WANKI STREET")</f>
        <v>KAWU MAI WANKI STREET</v>
      </c>
      <c r="V375" s="4"/>
      <c r="W375" s="4"/>
      <c r="X375" s="4"/>
      <c r="Y375" s="4"/>
      <c r="Z375" s="4"/>
      <c r="AA375" s="4"/>
      <c r="AB375" s="4" t="str">
        <f>IFERROR(__xludf.DUMMYFUNCTION("""COMPUTED_VALUE"""),"Point 1")</f>
        <v>Point 1</v>
      </c>
      <c r="AC375" s="4">
        <f>IFERROR(__xludf.DUMMYFUNCTION("""COMPUTED_VALUE"""),12.01052)</f>
        <v>12.01052</v>
      </c>
      <c r="AD375" s="4">
        <f>IFERROR(__xludf.DUMMYFUNCTION("""COMPUTED_VALUE"""),8.570883)</f>
        <v>8.570883</v>
      </c>
      <c r="AE375" s="5" t="str">
        <f>IFERROR(__xludf.DUMMYFUNCTION("""COMPUTED_VALUE"""),"https://drive.google.com/open?id=19A3EhUQdUxXIYGp-mKSg8wPUZSAESv7I")</f>
        <v>https://drive.google.com/open?id=19A3EhUQdUxXIYGp-mKSg8wPUZSAESv7I</v>
      </c>
      <c r="AF375" s="4"/>
      <c r="AG375" s="4"/>
      <c r="AH375" s="4"/>
      <c r="AI375" s="4"/>
      <c r="AL375" s="4" t="str">
        <f t="shared" si="1"/>
        <v>Cluster 18</v>
      </c>
      <c r="AM375" s="4" t="str">
        <f t="shared" si="2"/>
        <v>KAWU MAI WANKI STREET</v>
      </c>
    </row>
    <row r="376">
      <c r="A376" s="3">
        <f>IFERROR(__xludf.DUMMYFUNCTION("""COMPUTED_VALUE"""),45868.78338388889)</f>
        <v>45868.78338</v>
      </c>
      <c r="B376" s="4" t="str">
        <f>IFERROR(__xludf.DUMMYFUNCTION("""COMPUTED_VALUE"""),"umrdalhatu@gmail.com")</f>
        <v>umrdalhatu@gmail.com</v>
      </c>
      <c r="C376" s="4" t="str">
        <f>IFERROR(__xludf.DUMMYFUNCTION("""COMPUTED_VALUE"""),"Umar Dalhatu")</f>
        <v>Umar Dalhatu</v>
      </c>
      <c r="D376" s="4"/>
      <c r="E376" s="4"/>
      <c r="F376" s="4"/>
      <c r="G376" s="4"/>
      <c r="H376" s="4"/>
      <c r="I376" s="4"/>
      <c r="J376" s="4" t="str">
        <f>IFERROR(__xludf.DUMMYFUNCTION("""COMPUTED_VALUE"""),"Cluster 7")</f>
        <v>Cluster 7</v>
      </c>
      <c r="K376" s="4"/>
      <c r="L376" s="4" t="str">
        <f>IFERROR(__xludf.DUMMYFUNCTION("""COMPUTED_VALUE"""),"ISAH WAZIRI ROAD")</f>
        <v>ISAH WAZIRI ROAD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 t="str">
        <f>IFERROR(__xludf.DUMMYFUNCTION("""COMPUTED_VALUE"""),"Point 1")</f>
        <v>Point 1</v>
      </c>
      <c r="AC376" s="4">
        <f>IFERROR(__xludf.DUMMYFUNCTION("""COMPUTED_VALUE"""),11.961095)</f>
        <v>11.961095</v>
      </c>
      <c r="AD376" s="4">
        <f>IFERROR(__xludf.DUMMYFUNCTION("""COMPUTED_VALUE"""),8.536085)</f>
        <v>8.536085</v>
      </c>
      <c r="AE376" s="5" t="str">
        <f>IFERROR(__xludf.DUMMYFUNCTION("""COMPUTED_VALUE"""),"https://drive.google.com/open?id=1ZqqckNWdODk1lPQZlZVkJalVjH72TIR2")</f>
        <v>https://drive.google.com/open?id=1ZqqckNWdODk1lPQZlZVkJalVjH72TIR2</v>
      </c>
      <c r="AF376" s="4"/>
      <c r="AG376" s="4"/>
      <c r="AH376" s="4"/>
      <c r="AI376" s="4"/>
      <c r="AL376" s="4" t="str">
        <f t="shared" si="1"/>
        <v>Cluster 7</v>
      </c>
      <c r="AM376" s="4" t="str">
        <f t="shared" si="2"/>
        <v>ISAH WAZIRI ROAD</v>
      </c>
    </row>
    <row r="377">
      <c r="A377" s="3">
        <f>IFERROR(__xludf.DUMMYFUNCTION("""COMPUTED_VALUE"""),45868.781785416664)</f>
        <v>45868.78179</v>
      </c>
      <c r="B377" s="4" t="str">
        <f>IFERROR(__xludf.DUMMYFUNCTION("""COMPUTED_VALUE"""),"elhabs256@gmail.com")</f>
        <v>elhabs256@gmail.com</v>
      </c>
      <c r="C377" s="4" t="str">
        <f>IFERROR(__xludf.DUMMYFUNCTION("""COMPUTED_VALUE"""),"Abdullahi Elhabeeb")</f>
        <v>Abdullahi Elhabeeb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tr">
        <f>IFERROR(__xludf.DUMMYFUNCTION("""COMPUTED_VALUE"""),"Cluster 18")</f>
        <v>Cluster 18</v>
      </c>
      <c r="Q377" s="4"/>
      <c r="R377" s="4"/>
      <c r="S377" s="4"/>
      <c r="T377" s="4"/>
      <c r="U377" s="4" t="str">
        <f>IFERROR(__xludf.DUMMYFUNCTION("""COMPUTED_VALUE"""),"BATAWA ROAD")</f>
        <v>BATAWA ROAD</v>
      </c>
      <c r="V377" s="4"/>
      <c r="W377" s="4"/>
      <c r="X377" s="4"/>
      <c r="Y377" s="4"/>
      <c r="Z377" s="4"/>
      <c r="AA377" s="4"/>
      <c r="AB377" s="4" t="str">
        <f>IFERROR(__xludf.DUMMYFUNCTION("""COMPUTED_VALUE"""),"Point 2")</f>
        <v>Point 2</v>
      </c>
      <c r="AC377" s="4">
        <f>IFERROR(__xludf.DUMMYFUNCTION("""COMPUTED_VALUE"""),12.00738)</f>
        <v>12.00738</v>
      </c>
      <c r="AD377" s="4">
        <f>IFERROR(__xludf.DUMMYFUNCTION("""COMPUTED_VALUE"""),8.569329)</f>
        <v>8.569329</v>
      </c>
      <c r="AE377" s="5" t="str">
        <f>IFERROR(__xludf.DUMMYFUNCTION("""COMPUTED_VALUE"""),"https://drive.google.com/open?id=19fhuhOUACPm-ES-X83ZjzOUw7OxersZj")</f>
        <v>https://drive.google.com/open?id=19fhuhOUACPm-ES-X83ZjzOUw7OxersZj</v>
      </c>
      <c r="AF377" s="4"/>
      <c r="AG377" s="4"/>
      <c r="AH377" s="4"/>
      <c r="AI377" s="4"/>
      <c r="AL377" s="4" t="str">
        <f t="shared" si="1"/>
        <v>Cluster 18</v>
      </c>
      <c r="AM377" s="4" t="str">
        <f t="shared" si="2"/>
        <v>BATAWA ROAD</v>
      </c>
    </row>
    <row r="378">
      <c r="A378" s="3">
        <f>IFERROR(__xludf.DUMMYFUNCTION("""COMPUTED_VALUE"""),45868.77941553241)</f>
        <v>45868.77942</v>
      </c>
      <c r="B378" s="4" t="str">
        <f>IFERROR(__xludf.DUMMYFUNCTION("""COMPUTED_VALUE"""),"elhabs256@gmail.com")</f>
        <v>elhabs256@gmail.com</v>
      </c>
      <c r="C378" s="4" t="str">
        <f>IFERROR(__xludf.DUMMYFUNCTION("""COMPUTED_VALUE"""),"Abdullahi Elhabeeb")</f>
        <v>Abdullahi Elhabeeb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tr">
        <f>IFERROR(__xludf.DUMMYFUNCTION("""COMPUTED_VALUE"""),"Cluster 18")</f>
        <v>Cluster 18</v>
      </c>
      <c r="Q378" s="4"/>
      <c r="R378" s="4"/>
      <c r="S378" s="4"/>
      <c r="T378" s="4"/>
      <c r="U378" s="4" t="str">
        <f>IFERROR(__xludf.DUMMYFUNCTION("""COMPUTED_VALUE"""),"BATAWA ROAD")</f>
        <v>BATAWA ROAD</v>
      </c>
      <c r="V378" s="4"/>
      <c r="W378" s="4"/>
      <c r="X378" s="4"/>
      <c r="Y378" s="4"/>
      <c r="Z378" s="4"/>
      <c r="AA378" s="4"/>
      <c r="AB378" s="4" t="str">
        <f>IFERROR(__xludf.DUMMYFUNCTION("""COMPUTED_VALUE"""),"Point 1")</f>
        <v>Point 1</v>
      </c>
      <c r="AC378" s="4">
        <f>IFERROR(__xludf.DUMMYFUNCTION("""COMPUTED_VALUE"""),12.00735)</f>
        <v>12.00735</v>
      </c>
      <c r="AD378" s="4">
        <f>IFERROR(__xludf.DUMMYFUNCTION("""COMPUTED_VALUE"""),8.568707)</f>
        <v>8.568707</v>
      </c>
      <c r="AE378" s="5" t="str">
        <f>IFERROR(__xludf.DUMMYFUNCTION("""COMPUTED_VALUE"""),"https://drive.google.com/open?id=1g4KXY1vqmql1X_6XpwF010uXblQju7sl")</f>
        <v>https://drive.google.com/open?id=1g4KXY1vqmql1X_6XpwF010uXblQju7sl</v>
      </c>
      <c r="AF378" s="4"/>
      <c r="AG378" s="4"/>
      <c r="AH378" s="4"/>
      <c r="AI378" s="4"/>
      <c r="AL378" s="4" t="str">
        <f t="shared" si="1"/>
        <v>Cluster 18</v>
      </c>
      <c r="AM378" s="4" t="str">
        <f t="shared" si="2"/>
        <v>BATAWA ROAD</v>
      </c>
    </row>
    <row r="379">
      <c r="A379" s="3">
        <f>IFERROR(__xludf.DUMMYFUNCTION("""COMPUTED_VALUE"""),45868.779239027775)</f>
        <v>45868.77924</v>
      </c>
      <c r="B379" s="4" t="str">
        <f>IFERROR(__xludf.DUMMYFUNCTION("""COMPUTED_VALUE"""),"umrdalhatu@gmail.com")</f>
        <v>umrdalhatu@gmail.com</v>
      </c>
      <c r="C379" s="4" t="str">
        <f>IFERROR(__xludf.DUMMYFUNCTION("""COMPUTED_VALUE"""),"Umar Dalhatu")</f>
        <v>Umar Dalhatu</v>
      </c>
      <c r="D379" s="4"/>
      <c r="E379" s="4"/>
      <c r="F379" s="4"/>
      <c r="G379" s="4"/>
      <c r="H379" s="4"/>
      <c r="I379" s="4"/>
      <c r="J379" s="4" t="str">
        <f>IFERROR(__xludf.DUMMYFUNCTION("""COMPUTED_VALUE"""),"Cluster 1")</f>
        <v>Cluster 1</v>
      </c>
      <c r="K379" s="4" t="str">
        <f>IFERROR(__xludf.DUMMYFUNCTION("""COMPUTED_VALUE"""),"MAITAMA STREET")</f>
        <v>MAITAMA STREET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 t="str">
        <f>IFERROR(__xludf.DUMMYFUNCTION("""COMPUTED_VALUE"""),"Point 2")</f>
        <v>Point 2</v>
      </c>
      <c r="AC379" s="4">
        <f>IFERROR(__xludf.DUMMYFUNCTION("""COMPUTED_VALUE"""),11.99369365)</f>
        <v>11.99369365</v>
      </c>
      <c r="AD379" s="4">
        <f>IFERROR(__xludf.DUMMYFUNCTION("""COMPUTED_VALUE"""),8.535977338)</f>
        <v>8.535977338</v>
      </c>
      <c r="AE379" s="5" t="str">
        <f>IFERROR(__xludf.DUMMYFUNCTION("""COMPUTED_VALUE"""),"https://drive.google.com/open?id=1JeTVeoL6cN-abSFWoRn1KVV6IorneYv3")</f>
        <v>https://drive.google.com/open?id=1JeTVeoL6cN-abSFWoRn1KVV6IorneYv3</v>
      </c>
      <c r="AF379" s="4"/>
      <c r="AG379" s="4"/>
      <c r="AH379" s="4"/>
      <c r="AI379" s="4"/>
      <c r="AL379" s="4" t="str">
        <f t="shared" si="1"/>
        <v>Cluster 1</v>
      </c>
      <c r="AM379" s="4" t="str">
        <f t="shared" si="2"/>
        <v>MAITAMA STREET</v>
      </c>
    </row>
    <row r="380">
      <c r="A380" s="3">
        <f>IFERROR(__xludf.DUMMYFUNCTION("""COMPUTED_VALUE"""),45868.776304652776)</f>
        <v>45868.7763</v>
      </c>
      <c r="B380" s="4" t="str">
        <f>IFERROR(__xludf.DUMMYFUNCTION("""COMPUTED_VALUE"""),"umrdalhatu@gmail.com")</f>
        <v>umrdalhatu@gmail.com</v>
      </c>
      <c r="C380" s="4" t="str">
        <f>IFERROR(__xludf.DUMMYFUNCTION("""COMPUTED_VALUE"""),"Umar Dalhatu")</f>
        <v>Umar Dalhatu</v>
      </c>
      <c r="D380" s="4"/>
      <c r="E380" s="4"/>
      <c r="F380" s="4"/>
      <c r="G380" s="4"/>
      <c r="H380" s="4"/>
      <c r="I380" s="4"/>
      <c r="J380" s="4" t="str">
        <f>IFERROR(__xludf.DUMMYFUNCTION("""COMPUTED_VALUE"""),"Cluster 1")</f>
        <v>Cluster 1</v>
      </c>
      <c r="K380" s="4" t="str">
        <f>IFERROR(__xludf.DUMMYFUNCTION("""COMPUTED_VALUE"""),"MAITAMA STREET")</f>
        <v>MAITAMA STREET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 t="str">
        <f>IFERROR(__xludf.DUMMYFUNCTION("""COMPUTED_VALUE"""),"Point 1")</f>
        <v>Point 1</v>
      </c>
      <c r="AC380" s="4">
        <f>IFERROR(__xludf.DUMMYFUNCTION("""COMPUTED_VALUE"""),11.987875)</f>
        <v>11.987875</v>
      </c>
      <c r="AD380" s="4">
        <f>IFERROR(__xludf.DUMMYFUNCTION("""COMPUTED_VALUE"""),8.539648)</f>
        <v>8.539648</v>
      </c>
      <c r="AE380" s="5" t="str">
        <f>IFERROR(__xludf.DUMMYFUNCTION("""COMPUTED_VALUE"""),"https://drive.google.com/open?id=1tDJYVDkVfTjfhvyJgJdhVB2nBvpTO1Vy")</f>
        <v>https://drive.google.com/open?id=1tDJYVDkVfTjfhvyJgJdhVB2nBvpTO1Vy</v>
      </c>
      <c r="AF380" s="4"/>
      <c r="AG380" s="4"/>
      <c r="AH380" s="4"/>
      <c r="AI380" s="4"/>
      <c r="AL380" s="4" t="str">
        <f t="shared" si="1"/>
        <v>Cluster 1</v>
      </c>
      <c r="AM380" s="4" t="str">
        <f t="shared" si="2"/>
        <v>MAITAMA STREET</v>
      </c>
    </row>
    <row r="381">
      <c r="A381" s="3">
        <f>IFERROR(__xludf.DUMMYFUNCTION("""COMPUTED_VALUE"""),45868.77353723379)</f>
        <v>45868.77354</v>
      </c>
      <c r="B381" s="4" t="str">
        <f>IFERROR(__xludf.DUMMYFUNCTION("""COMPUTED_VALUE"""),"umrdalhatu@gmail.com")</f>
        <v>umrdalhatu@gmail.com</v>
      </c>
      <c r="C381" s="4" t="str">
        <f>IFERROR(__xludf.DUMMYFUNCTION("""COMPUTED_VALUE"""),"Umar Dalhatu")</f>
        <v>Umar Dalhatu</v>
      </c>
      <c r="D381" s="4"/>
      <c r="E381" s="4"/>
      <c r="F381" s="4"/>
      <c r="G381" s="4"/>
      <c r="H381" s="4"/>
      <c r="I381" s="4"/>
      <c r="J381" s="4" t="str">
        <f>IFERROR(__xludf.DUMMYFUNCTION("""COMPUTED_VALUE"""),"Cluster 1")</f>
        <v>Cluster 1</v>
      </c>
      <c r="K381" s="4" t="str">
        <f>IFERROR(__xludf.DUMMYFUNCTION("""COMPUTED_VALUE"""),"SIR PETER OBEBI CLOSE")</f>
        <v>SIR PETER OBEBI CLOSE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 t="str">
        <f>IFERROR(__xludf.DUMMYFUNCTION("""COMPUTED_VALUE"""),"Point 1")</f>
        <v>Point 1</v>
      </c>
      <c r="AC381" s="4">
        <f>IFERROR(__xludf.DUMMYFUNCTION("""COMPUTED_VALUE"""),11.9974744)</f>
        <v>11.9974744</v>
      </c>
      <c r="AD381" s="4">
        <f>IFERROR(__xludf.DUMMYFUNCTION("""COMPUTED_VALUE"""),8.577715239)</f>
        <v>8.577715239</v>
      </c>
      <c r="AE381" s="5" t="str">
        <f>IFERROR(__xludf.DUMMYFUNCTION("""COMPUTED_VALUE"""),"https://drive.google.com/open?id=1jpLSdw-BXZEH3C2CBuFs9Zs1BzjODnIo")</f>
        <v>https://drive.google.com/open?id=1jpLSdw-BXZEH3C2CBuFs9Zs1BzjODnIo</v>
      </c>
      <c r="AF381" s="4"/>
      <c r="AG381" s="4"/>
      <c r="AH381" s="4"/>
      <c r="AI381" s="4"/>
      <c r="AL381" s="4" t="str">
        <f t="shared" si="1"/>
        <v>Cluster 1</v>
      </c>
      <c r="AM381" s="4" t="str">
        <f t="shared" si="2"/>
        <v>SIR PETER OBEBI CLOSE</v>
      </c>
    </row>
    <row r="382">
      <c r="A382" s="3">
        <f>IFERROR(__xludf.DUMMYFUNCTION("""COMPUTED_VALUE"""),45868.77145864583)</f>
        <v>45868.77146</v>
      </c>
      <c r="B382" s="4" t="str">
        <f>IFERROR(__xludf.DUMMYFUNCTION("""COMPUTED_VALUE"""),"umrdalhatu@gmail.com")</f>
        <v>umrdalhatu@gmail.com</v>
      </c>
      <c r="C382" s="4" t="str">
        <f>IFERROR(__xludf.DUMMYFUNCTION("""COMPUTED_VALUE"""),"Umar Dalhatu")</f>
        <v>Umar Dalhatu</v>
      </c>
      <c r="D382" s="4"/>
      <c r="E382" s="4"/>
      <c r="F382" s="4"/>
      <c r="G382" s="4"/>
      <c r="H382" s="4"/>
      <c r="I382" s="4"/>
      <c r="J382" s="4" t="str">
        <f>IFERROR(__xludf.DUMMYFUNCTION("""COMPUTED_VALUE"""),"Cluster 20")</f>
        <v>Cluster 20</v>
      </c>
      <c r="K382" s="4"/>
      <c r="L382" s="4"/>
      <c r="M382" s="4"/>
      <c r="N382" s="4"/>
      <c r="O382" s="4" t="str">
        <f>IFERROR(__xludf.DUMMYFUNCTION("""COMPUTED_VALUE"""),"CBN QUARTERS ROAD")</f>
        <v>CBN QUARTERS ROAD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 t="str">
        <f>IFERROR(__xludf.DUMMYFUNCTION("""COMPUTED_VALUE"""),"Point 1")</f>
        <v>Point 1</v>
      </c>
      <c r="AC382" s="4">
        <f>IFERROR(__xludf.DUMMYFUNCTION("""COMPUTED_VALUE"""),11.964438)</f>
        <v>11.964438</v>
      </c>
      <c r="AD382" s="4">
        <f>IFERROR(__xludf.DUMMYFUNCTION("""COMPUTED_VALUE"""),8.563345)</f>
        <v>8.563345</v>
      </c>
      <c r="AE382" s="5" t="str">
        <f>IFERROR(__xludf.DUMMYFUNCTION("""COMPUTED_VALUE"""),"https://drive.google.com/open?id=1nZxv1UQ0EivQwy0SABskAklxJBi923s2")</f>
        <v>https://drive.google.com/open?id=1nZxv1UQ0EivQwy0SABskAklxJBi923s2</v>
      </c>
      <c r="AF382" s="4"/>
      <c r="AG382" s="4"/>
      <c r="AH382" s="4"/>
      <c r="AI382" s="4"/>
      <c r="AL382" s="4" t="str">
        <f t="shared" si="1"/>
        <v>Cluster 20</v>
      </c>
      <c r="AM382" s="4" t="str">
        <f t="shared" si="2"/>
        <v>CBN QUARTERS ROAD</v>
      </c>
    </row>
    <row r="383">
      <c r="A383" s="3">
        <f>IFERROR(__xludf.DUMMYFUNCTION("""COMPUTED_VALUE"""),45868.769913055556)</f>
        <v>45868.76991</v>
      </c>
      <c r="B383" s="4" t="str">
        <f>IFERROR(__xludf.DUMMYFUNCTION("""COMPUTED_VALUE"""),"umrdalhatu@gmail.com")</f>
        <v>umrdalhatu@gmail.com</v>
      </c>
      <c r="C383" s="4" t="str">
        <f>IFERROR(__xludf.DUMMYFUNCTION("""COMPUTED_VALUE"""),"Umar Dalhatu")</f>
        <v>Umar Dalhatu</v>
      </c>
      <c r="D383" s="4"/>
      <c r="E383" s="4"/>
      <c r="F383" s="4"/>
      <c r="G383" s="4"/>
      <c r="H383" s="4"/>
      <c r="I383" s="4"/>
      <c r="J383" s="4" t="str">
        <f>IFERROR(__xludf.DUMMYFUNCTION("""COMPUTED_VALUE"""),"Cluster 20")</f>
        <v>Cluster 20</v>
      </c>
      <c r="K383" s="4"/>
      <c r="L383" s="4"/>
      <c r="M383" s="4"/>
      <c r="N383" s="4"/>
      <c r="O383" s="4" t="str">
        <f>IFERROR(__xludf.DUMMYFUNCTION("""COMPUTED_VALUE"""),"ABDUL'AZIZ HARUNA STREET")</f>
        <v>ABDUL'AZIZ HARUNA STREET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 t="str">
        <f>IFERROR(__xludf.DUMMYFUNCTION("""COMPUTED_VALUE"""),"Point 2")</f>
        <v>Point 2</v>
      </c>
      <c r="AC383" s="4">
        <f>IFERROR(__xludf.DUMMYFUNCTION("""COMPUTED_VALUE"""),11.98813639)</f>
        <v>11.98813639</v>
      </c>
      <c r="AD383" s="4">
        <f>IFERROR(__xludf.DUMMYFUNCTION("""COMPUTED_VALUE"""),8.584792179)</f>
        <v>8.584792179</v>
      </c>
      <c r="AE383" s="5" t="str">
        <f>IFERROR(__xludf.DUMMYFUNCTION("""COMPUTED_VALUE"""),"https://drive.google.com/open?id=1qR836HQo8xtExXDGl8iZyVVoYfId1HDl")</f>
        <v>https://drive.google.com/open?id=1qR836HQo8xtExXDGl8iZyVVoYfId1HDl</v>
      </c>
      <c r="AF383" s="4"/>
      <c r="AG383" s="4"/>
      <c r="AH383" s="4"/>
      <c r="AI383" s="4"/>
      <c r="AL383" s="4" t="str">
        <f t="shared" si="1"/>
        <v>Cluster 20</v>
      </c>
      <c r="AM383" s="4" t="str">
        <f t="shared" si="2"/>
        <v>ABDUL'AZIZ HARUNA STREET</v>
      </c>
    </row>
    <row r="384">
      <c r="A384" s="3">
        <f>IFERROR(__xludf.DUMMYFUNCTION("""COMPUTED_VALUE"""),45868.76864740741)</f>
        <v>45868.76865</v>
      </c>
      <c r="B384" s="4" t="str">
        <f>IFERROR(__xludf.DUMMYFUNCTION("""COMPUTED_VALUE"""),"umrdalhatu@gmail.com")</f>
        <v>umrdalhatu@gmail.com</v>
      </c>
      <c r="C384" s="4" t="str">
        <f>IFERROR(__xludf.DUMMYFUNCTION("""COMPUTED_VALUE"""),"Umar Dalhatu")</f>
        <v>Umar Dalhatu</v>
      </c>
      <c r="D384" s="4"/>
      <c r="E384" s="4"/>
      <c r="F384" s="4"/>
      <c r="G384" s="4"/>
      <c r="H384" s="4"/>
      <c r="I384" s="4"/>
      <c r="J384" s="4" t="str">
        <f>IFERROR(__xludf.DUMMYFUNCTION("""COMPUTED_VALUE"""),"Cluster 20")</f>
        <v>Cluster 20</v>
      </c>
      <c r="K384" s="4"/>
      <c r="L384" s="4"/>
      <c r="M384" s="4"/>
      <c r="N384" s="4"/>
      <c r="O384" s="4" t="str">
        <f>IFERROR(__xludf.DUMMYFUNCTION("""COMPUTED_VALUE"""),"ABDUL'AZIZ HARUNA STREET")</f>
        <v>ABDUL'AZIZ HARUNA STREET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 t="str">
        <f>IFERROR(__xludf.DUMMYFUNCTION("""COMPUTED_VALUE"""),"Point 1")</f>
        <v>Point 1</v>
      </c>
      <c r="AC384" s="4">
        <f>IFERROR(__xludf.DUMMYFUNCTION("""COMPUTED_VALUE"""),11.98573844)</f>
        <v>11.98573844</v>
      </c>
      <c r="AD384" s="4">
        <f>IFERROR(__xludf.DUMMYFUNCTION("""COMPUTED_VALUE"""),8.583746399)</f>
        <v>8.583746399</v>
      </c>
      <c r="AE384" s="5" t="str">
        <f>IFERROR(__xludf.DUMMYFUNCTION("""COMPUTED_VALUE"""),"https://drive.google.com/open?id=17yAReCxsrlj54-cyrGp68U9iia0-KeSh")</f>
        <v>https://drive.google.com/open?id=17yAReCxsrlj54-cyrGp68U9iia0-KeSh</v>
      </c>
      <c r="AF384" s="4"/>
      <c r="AG384" s="4"/>
      <c r="AH384" s="4"/>
      <c r="AI384" s="4"/>
      <c r="AL384" s="4" t="str">
        <f t="shared" si="1"/>
        <v>Cluster 20</v>
      </c>
      <c r="AM384" s="4" t="str">
        <f t="shared" si="2"/>
        <v>ABDUL'AZIZ HARUNA STREET</v>
      </c>
    </row>
    <row r="385">
      <c r="A385" s="3">
        <f>IFERROR(__xludf.DUMMYFUNCTION("""COMPUTED_VALUE"""),45868.76615170139)</f>
        <v>45868.76615</v>
      </c>
      <c r="B385" s="4" t="str">
        <f>IFERROR(__xludf.DUMMYFUNCTION("""COMPUTED_VALUE"""),"umrdalhatu@gmail.com")</f>
        <v>umrdalhatu@gmail.com</v>
      </c>
      <c r="C385" s="4" t="str">
        <f>IFERROR(__xludf.DUMMYFUNCTION("""COMPUTED_VALUE"""),"Umar Dalhatu")</f>
        <v>Umar Dalhatu</v>
      </c>
      <c r="D385" s="4"/>
      <c r="E385" s="4"/>
      <c r="F385" s="4"/>
      <c r="G385" s="4"/>
      <c r="H385" s="4"/>
      <c r="I385" s="4"/>
      <c r="J385" s="4" t="str">
        <f>IFERROR(__xludf.DUMMYFUNCTION("""COMPUTED_VALUE"""),"Cluster 10")</f>
        <v>Cluster 10</v>
      </c>
      <c r="K385" s="4"/>
      <c r="L385" s="4"/>
      <c r="M385" s="4" t="str">
        <f>IFERROR(__xludf.DUMMYFUNCTION("""COMPUTED_VALUE"""),"MUSTAPHA TELA STREET")</f>
        <v>MUSTAPHA TELA STREET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 t="str">
        <f>IFERROR(__xludf.DUMMYFUNCTION("""COMPUTED_VALUE"""),"Point 2")</f>
        <v>Point 2</v>
      </c>
      <c r="AC385" s="4">
        <f>IFERROR(__xludf.DUMMYFUNCTION("""COMPUTED_VALUE"""),11.97986742)</f>
        <v>11.97986742</v>
      </c>
      <c r="AD385" s="4">
        <f>IFERROR(__xludf.DUMMYFUNCTION("""COMPUTED_VALUE"""),8.574172234)</f>
        <v>8.574172234</v>
      </c>
      <c r="AE385" s="5" t="str">
        <f>IFERROR(__xludf.DUMMYFUNCTION("""COMPUTED_VALUE"""),"https://drive.google.com/open?id=1N49_N7hZhpacW5qJ4xDoBB-dKhfs3hd2")</f>
        <v>https://drive.google.com/open?id=1N49_N7hZhpacW5qJ4xDoBB-dKhfs3hd2</v>
      </c>
      <c r="AF385" s="4"/>
      <c r="AG385" s="4"/>
      <c r="AH385" s="4"/>
      <c r="AI385" s="4"/>
      <c r="AL385" s="4" t="str">
        <f t="shared" si="1"/>
        <v>Cluster 10</v>
      </c>
      <c r="AM385" s="4" t="str">
        <f t="shared" si="2"/>
        <v>MUSTAPHA TELA STREET</v>
      </c>
    </row>
    <row r="386">
      <c r="A386" s="3">
        <f>IFERROR(__xludf.DUMMYFUNCTION("""COMPUTED_VALUE"""),45868.76508405093)</f>
        <v>45868.76508</v>
      </c>
      <c r="B386" s="4" t="str">
        <f>IFERROR(__xludf.DUMMYFUNCTION("""COMPUTED_VALUE"""),"umrdalhatu@gmail.com")</f>
        <v>umrdalhatu@gmail.com</v>
      </c>
      <c r="C386" s="4" t="str">
        <f>IFERROR(__xludf.DUMMYFUNCTION("""COMPUTED_VALUE"""),"Umar Dalhatu")</f>
        <v>Umar Dalhatu</v>
      </c>
      <c r="D386" s="4"/>
      <c r="E386" s="4"/>
      <c r="F386" s="4"/>
      <c r="G386" s="4"/>
      <c r="H386" s="4"/>
      <c r="I386" s="4"/>
      <c r="J386" s="4" t="str">
        <f>IFERROR(__xludf.DUMMYFUNCTION("""COMPUTED_VALUE"""),"Cluster 10")</f>
        <v>Cluster 10</v>
      </c>
      <c r="K386" s="4"/>
      <c r="L386" s="4"/>
      <c r="M386" s="4" t="str">
        <f>IFERROR(__xludf.DUMMYFUNCTION("""COMPUTED_VALUE"""),"MUSTAPHA TELA STREET")</f>
        <v>MUSTAPHA TELA STREET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 t="str">
        <f>IFERROR(__xludf.DUMMYFUNCTION("""COMPUTED_VALUE"""),"Point 1")</f>
        <v>Point 1</v>
      </c>
      <c r="AC386" s="4">
        <f>IFERROR(__xludf.DUMMYFUNCTION("""COMPUTED_VALUE"""),11.97994157)</f>
        <v>11.97994157</v>
      </c>
      <c r="AD386" s="4">
        <f>IFERROR(__xludf.DUMMYFUNCTION("""COMPUTED_VALUE"""),8.574988374)</f>
        <v>8.574988374</v>
      </c>
      <c r="AE386" s="5" t="str">
        <f>IFERROR(__xludf.DUMMYFUNCTION("""COMPUTED_VALUE"""),"https://drive.google.com/open?id=1YDyhm71HI1DP_kZRSyTuFrp5z6-hwIDz")</f>
        <v>https://drive.google.com/open?id=1YDyhm71HI1DP_kZRSyTuFrp5z6-hwIDz</v>
      </c>
      <c r="AF386" s="4"/>
      <c r="AG386" s="4"/>
      <c r="AH386" s="4"/>
      <c r="AI386" s="4"/>
      <c r="AL386" s="4" t="str">
        <f t="shared" si="1"/>
        <v>Cluster 10</v>
      </c>
      <c r="AM386" s="4" t="str">
        <f t="shared" si="2"/>
        <v>MUSTAPHA TELA STREETMUSA TUDUN WADA LINK</v>
      </c>
    </row>
    <row r="387">
      <c r="A387" s="3">
        <f>IFERROR(__xludf.DUMMYFUNCTION("""COMPUTED_VALUE"""),45868.7615933912)</f>
        <v>45868.76159</v>
      </c>
      <c r="B387" s="4" t="str">
        <f>IFERROR(__xludf.DUMMYFUNCTION("""COMPUTED_VALUE"""),"umrdalhatu@gmail.com")</f>
        <v>umrdalhatu@gmail.com</v>
      </c>
      <c r="C387" s="4" t="str">
        <f>IFERROR(__xludf.DUMMYFUNCTION("""COMPUTED_VALUE"""),"Umar Dalhatu")</f>
        <v>Umar Dalhatu</v>
      </c>
      <c r="D387" s="4"/>
      <c r="E387" s="4"/>
      <c r="F387" s="4"/>
      <c r="G387" s="4"/>
      <c r="H387" s="4"/>
      <c r="I387" s="4"/>
      <c r="J387" s="4" t="str">
        <f>IFERROR(__xludf.DUMMYFUNCTION("""COMPUTED_VALUE"""),"Cluster 1")</f>
        <v>Cluster 1</v>
      </c>
      <c r="K387" s="4" t="str">
        <f>IFERROR(__xludf.DUMMYFUNCTION("""COMPUTED_VALUE"""),"NA'ANNABI AHMED STREET")</f>
        <v>NA'ANNABI AHMED STREET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 t="str">
        <f>IFERROR(__xludf.DUMMYFUNCTION("""COMPUTED_VALUE"""),"Point 2")</f>
        <v>Point 2</v>
      </c>
      <c r="AC387" s="4">
        <f>IFERROR(__xludf.DUMMYFUNCTION("""COMPUTED_VALUE"""),11.9974744)</f>
        <v>11.9974744</v>
      </c>
      <c r="AD387" s="4">
        <f>IFERROR(__xludf.DUMMYFUNCTION("""COMPUTED_VALUE"""),8.577715239)</f>
        <v>8.577715239</v>
      </c>
      <c r="AE387" s="5" t="str">
        <f>IFERROR(__xludf.DUMMYFUNCTION("""COMPUTED_VALUE"""),"https://drive.google.com/open?id=1c0R-edNdsxKz5SRnEXxCOhtdAVE1KlY5")</f>
        <v>https://drive.google.com/open?id=1c0R-edNdsxKz5SRnEXxCOhtdAVE1KlY5</v>
      </c>
      <c r="AF387" s="4"/>
      <c r="AG387" s="4"/>
      <c r="AH387" s="4"/>
      <c r="AI387" s="4"/>
      <c r="AL387" s="4" t="str">
        <f t="shared" si="1"/>
        <v>Cluster 1</v>
      </c>
      <c r="AM387" s="4" t="str">
        <f t="shared" si="2"/>
        <v>NA'ANNABI AHMED STREETMUSA TUDUN WADA LINK</v>
      </c>
    </row>
    <row r="388">
      <c r="A388" s="3">
        <f>IFERROR(__xludf.DUMMYFUNCTION("""COMPUTED_VALUE"""),45868.760362824076)</f>
        <v>45868.76036</v>
      </c>
      <c r="B388" s="4" t="str">
        <f>IFERROR(__xludf.DUMMYFUNCTION("""COMPUTED_VALUE"""),"umrdalhatu@gmail.com")</f>
        <v>umrdalhatu@gmail.com</v>
      </c>
      <c r="C388" s="4" t="str">
        <f>IFERROR(__xludf.DUMMYFUNCTION("""COMPUTED_VALUE"""),"Umar Dalhatu")</f>
        <v>Umar Dalhatu</v>
      </c>
      <c r="D388" s="4"/>
      <c r="E388" s="4"/>
      <c r="F388" s="4"/>
      <c r="G388" s="4"/>
      <c r="H388" s="4"/>
      <c r="I388" s="4"/>
      <c r="J388" s="4" t="str">
        <f>IFERROR(__xludf.DUMMYFUNCTION("""COMPUTED_VALUE"""),"Cluster 1")</f>
        <v>Cluster 1</v>
      </c>
      <c r="K388" s="4" t="str">
        <f>IFERROR(__xludf.DUMMYFUNCTION("""COMPUTED_VALUE"""),"NA'ANNABI AHMED STREET")</f>
        <v>NA'ANNABI AHMED STREET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 t="str">
        <f>IFERROR(__xludf.DUMMYFUNCTION("""COMPUTED_VALUE"""),"Point 1")</f>
        <v>Point 1</v>
      </c>
      <c r="AC388" s="4">
        <f>IFERROR(__xludf.DUMMYFUNCTION("""COMPUTED_VALUE"""),11.99131258)</f>
        <v>11.99131258</v>
      </c>
      <c r="AD388" s="4">
        <f>IFERROR(__xludf.DUMMYFUNCTION("""COMPUTED_VALUE"""),8.57239211)</f>
        <v>8.57239211</v>
      </c>
      <c r="AE388" s="5" t="str">
        <f>IFERROR(__xludf.DUMMYFUNCTION("""COMPUTED_VALUE"""),"https://drive.google.com/open?id=1fuRiXhNmge713L8wuF1wyMBhyCHf59ff")</f>
        <v>https://drive.google.com/open?id=1fuRiXhNmge713L8wuF1wyMBhyCHf59ff</v>
      </c>
      <c r="AF388" s="4"/>
      <c r="AG388" s="4"/>
      <c r="AH388" s="4"/>
      <c r="AI388" s="4"/>
      <c r="AL388" s="4" t="str">
        <f t="shared" si="1"/>
        <v>Cluster 1</v>
      </c>
      <c r="AM388" s="4" t="str">
        <f t="shared" si="2"/>
        <v>NA'ANNABI AHMED STREETMADINA LINK</v>
      </c>
    </row>
    <row r="389">
      <c r="A389" s="3">
        <f>IFERROR(__xludf.DUMMYFUNCTION("""COMPUTED_VALUE"""),45868.75875396991)</f>
        <v>45868.75875</v>
      </c>
      <c r="B389" s="4" t="str">
        <f>IFERROR(__xludf.DUMMYFUNCTION("""COMPUTED_VALUE"""),"umrdalhatu@gmail.com")</f>
        <v>umrdalhatu@gmail.com</v>
      </c>
      <c r="C389" s="4" t="str">
        <f>IFERROR(__xludf.DUMMYFUNCTION("""COMPUTED_VALUE"""),"Umar Dalhatu")</f>
        <v>Umar Dalhatu</v>
      </c>
      <c r="D389" s="4"/>
      <c r="E389" s="4"/>
      <c r="F389" s="4"/>
      <c r="G389" s="4"/>
      <c r="H389" s="4"/>
      <c r="I389" s="4"/>
      <c r="J389" s="4" t="str">
        <f>IFERROR(__xludf.DUMMYFUNCTION("""COMPUTED_VALUE"""),"Cluster 10")</f>
        <v>Cluster 10</v>
      </c>
      <c r="K389" s="4"/>
      <c r="L389" s="4"/>
      <c r="M389" s="4" t="str">
        <f>IFERROR(__xludf.DUMMYFUNCTION("""COMPUTED_VALUE"""),"DPO STREET")</f>
        <v>DPO STREET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 t="str">
        <f>IFERROR(__xludf.DUMMYFUNCTION("""COMPUTED_VALUE"""),"Point 2")</f>
        <v>Point 2</v>
      </c>
      <c r="AC389" s="4">
        <f>IFERROR(__xludf.DUMMYFUNCTION("""COMPUTED_VALUE"""),11.981627)</f>
        <v>11.981627</v>
      </c>
      <c r="AD389" s="4">
        <f>IFERROR(__xludf.DUMMYFUNCTION("""COMPUTED_VALUE"""),8.574221)</f>
        <v>8.574221</v>
      </c>
      <c r="AE389" s="5" t="str">
        <f>IFERROR(__xludf.DUMMYFUNCTION("""COMPUTED_VALUE"""),"https://drive.google.com/open?id=1LQsRY_hhgUOKtnOYLcTm9lUJZxQoLYt-")</f>
        <v>https://drive.google.com/open?id=1LQsRY_hhgUOKtnOYLcTm9lUJZxQoLYt-</v>
      </c>
      <c r="AF389" s="4"/>
      <c r="AG389" s="4"/>
      <c r="AH389" s="4"/>
      <c r="AI389" s="4"/>
      <c r="AL389" s="4" t="str">
        <f t="shared" si="1"/>
        <v>Cluster 10</v>
      </c>
      <c r="AM389" s="4" t="str">
        <f t="shared" si="2"/>
        <v>DPO STREETMADINA LINK</v>
      </c>
    </row>
    <row r="390">
      <c r="A390" s="3">
        <f>IFERROR(__xludf.DUMMYFUNCTION("""COMPUTED_VALUE"""),45868.75765300926)</f>
        <v>45868.75765</v>
      </c>
      <c r="B390" s="4" t="str">
        <f>IFERROR(__xludf.DUMMYFUNCTION("""COMPUTED_VALUE"""),"umrdalhatu@gmail.com")</f>
        <v>umrdalhatu@gmail.com</v>
      </c>
      <c r="C390" s="4" t="str">
        <f>IFERROR(__xludf.DUMMYFUNCTION("""COMPUTED_VALUE"""),"Umar Dalhatu")</f>
        <v>Umar Dalhatu</v>
      </c>
      <c r="D390" s="4"/>
      <c r="E390" s="4"/>
      <c r="F390" s="4"/>
      <c r="G390" s="4"/>
      <c r="H390" s="4"/>
      <c r="I390" s="4"/>
      <c r="J390" s="4" t="str">
        <f>IFERROR(__xludf.DUMMYFUNCTION("""COMPUTED_VALUE"""),"Cluster 10")</f>
        <v>Cluster 10</v>
      </c>
      <c r="K390" s="4"/>
      <c r="L390" s="4"/>
      <c r="M390" s="4" t="str">
        <f>IFERROR(__xludf.DUMMYFUNCTION("""COMPUTED_VALUE"""),"DPO STREET")</f>
        <v>DPO STREET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 t="str">
        <f>IFERROR(__xludf.DUMMYFUNCTION("""COMPUTED_VALUE"""),"Point 1")</f>
        <v>Point 1</v>
      </c>
      <c r="AC390" s="4">
        <f>IFERROR(__xludf.DUMMYFUNCTION("""COMPUTED_VALUE"""),11.98100479)</f>
        <v>11.98100479</v>
      </c>
      <c r="AD390" s="4">
        <f>IFERROR(__xludf.DUMMYFUNCTION("""COMPUTED_VALUE"""),8.573148892)</f>
        <v>8.573148892</v>
      </c>
      <c r="AE390" s="5" t="str">
        <f>IFERROR(__xludf.DUMMYFUNCTION("""COMPUTED_VALUE"""),"https://drive.google.com/open?id=1q8GSjE30eH9qWE9HA6XF5-Uiyedv8P-j")</f>
        <v>https://drive.google.com/open?id=1q8GSjE30eH9qWE9HA6XF5-Uiyedv8P-j</v>
      </c>
      <c r="AF390" s="4"/>
      <c r="AG390" s="4"/>
      <c r="AH390" s="4"/>
      <c r="AI390" s="4"/>
      <c r="AL390" s="4" t="str">
        <f t="shared" si="1"/>
        <v>Cluster 10</v>
      </c>
      <c r="AM390" s="4" t="str">
        <f t="shared" si="2"/>
        <v>DPO STREETIBRAHIM GODI STREET</v>
      </c>
    </row>
    <row r="391">
      <c r="A391" s="3">
        <f>IFERROR(__xludf.DUMMYFUNCTION("""COMPUTED_VALUE"""),45868.75609634259)</f>
        <v>45868.7561</v>
      </c>
      <c r="B391" s="4" t="str">
        <f>IFERROR(__xludf.DUMMYFUNCTION("""COMPUTED_VALUE"""),"umrdalhatu@gmail.com")</f>
        <v>umrdalhatu@gmail.com</v>
      </c>
      <c r="C391" s="4" t="str">
        <f>IFERROR(__xludf.DUMMYFUNCTION("""COMPUTED_VALUE"""),"Umar Dalhatu")</f>
        <v>Umar Dalhatu</v>
      </c>
      <c r="D391" s="4"/>
      <c r="E391" s="4"/>
      <c r="F391" s="4"/>
      <c r="G391" s="4"/>
      <c r="H391" s="4"/>
      <c r="I391" s="4"/>
      <c r="J391" s="4" t="str">
        <f>IFERROR(__xludf.DUMMYFUNCTION("""COMPUTED_VALUE"""),"Cluster 20")</f>
        <v>Cluster 20</v>
      </c>
      <c r="K391" s="4"/>
      <c r="L391" s="4"/>
      <c r="M391" s="4"/>
      <c r="N391" s="4"/>
      <c r="O391" s="4" t="str">
        <f>IFERROR(__xludf.DUMMYFUNCTION("""COMPUTED_VALUE"""),"HANGA AVENUE")</f>
        <v>HANGA AVENUE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 t="str">
        <f>IFERROR(__xludf.DUMMYFUNCTION("""COMPUTED_VALUE"""),"Point 2")</f>
        <v>Point 2</v>
      </c>
      <c r="AC391" s="4">
        <f>IFERROR(__xludf.DUMMYFUNCTION("""COMPUTED_VALUE"""),11.96469448)</f>
        <v>11.96469448</v>
      </c>
      <c r="AD391" s="4">
        <f>IFERROR(__xludf.DUMMYFUNCTION("""COMPUTED_VALUE"""),8.568506101)</f>
        <v>8.568506101</v>
      </c>
      <c r="AE391" s="5" t="str">
        <f>IFERROR(__xludf.DUMMYFUNCTION("""COMPUTED_VALUE"""),"https://drive.google.com/open?id=1KE9_EgnQ2VRg6Z8ofapt1dPUcG9ZAP7_")</f>
        <v>https://drive.google.com/open?id=1KE9_EgnQ2VRg6Z8ofapt1dPUcG9ZAP7_</v>
      </c>
      <c r="AF391" s="4"/>
      <c r="AG391" s="4"/>
      <c r="AH391" s="4"/>
      <c r="AI391" s="4"/>
      <c r="AL391" s="4" t="str">
        <f t="shared" si="1"/>
        <v>Cluster 20</v>
      </c>
      <c r="AM391" s="4" t="str">
        <f t="shared" si="2"/>
        <v>HANGA AVENUEIBRAHIM GODI STREET</v>
      </c>
    </row>
    <row r="392">
      <c r="A392" s="3">
        <f>IFERROR(__xludf.DUMMYFUNCTION("""COMPUTED_VALUE"""),45868.75510920139)</f>
        <v>45868.75511</v>
      </c>
      <c r="B392" s="4" t="str">
        <f>IFERROR(__xludf.DUMMYFUNCTION("""COMPUTED_VALUE"""),"umrdalhatu@gmail.com")</f>
        <v>umrdalhatu@gmail.com</v>
      </c>
      <c r="C392" s="4" t="str">
        <f>IFERROR(__xludf.DUMMYFUNCTION("""COMPUTED_VALUE"""),"Umar Dalhatu")</f>
        <v>Umar Dalhatu</v>
      </c>
      <c r="D392" s="4"/>
      <c r="E392" s="4"/>
      <c r="F392" s="4"/>
      <c r="G392" s="4"/>
      <c r="H392" s="4"/>
      <c r="I392" s="4"/>
      <c r="J392" s="4" t="str">
        <f>IFERROR(__xludf.DUMMYFUNCTION("""COMPUTED_VALUE"""),"Cluster 20")</f>
        <v>Cluster 20</v>
      </c>
      <c r="K392" s="4"/>
      <c r="L392" s="4"/>
      <c r="M392" s="4"/>
      <c r="N392" s="4"/>
      <c r="O392" s="4" t="str">
        <f>IFERROR(__xludf.DUMMYFUNCTION("""COMPUTED_VALUE"""),"HANGA AVENUE")</f>
        <v>HANGA AVENUE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 t="str">
        <f>IFERROR(__xludf.DUMMYFUNCTION("""COMPUTED_VALUE"""),"Point 1")</f>
        <v>Point 1</v>
      </c>
      <c r="AC392" s="4">
        <f>IFERROR(__xludf.DUMMYFUNCTION("""COMPUTED_VALUE"""),11.96601413)</f>
        <v>11.96601413</v>
      </c>
      <c r="AD392" s="4">
        <f>IFERROR(__xludf.DUMMYFUNCTION("""COMPUTED_VALUE"""),8.566444698)</f>
        <v>8.566444698</v>
      </c>
      <c r="AE392" s="5" t="str">
        <f>IFERROR(__xludf.DUMMYFUNCTION("""COMPUTED_VALUE"""),"https://drive.google.com/open?id=1-S-r8QFRMKrRy5CIR_fbBNOEKLeG4X7U")</f>
        <v>https://drive.google.com/open?id=1-S-r8QFRMKrRy5CIR_fbBNOEKLeG4X7U</v>
      </c>
      <c r="AF392" s="4"/>
      <c r="AG392" s="4"/>
      <c r="AH392" s="4"/>
      <c r="AI392" s="4"/>
      <c r="AL392" s="4" t="str">
        <f t="shared" si="1"/>
        <v>Cluster 20</v>
      </c>
      <c r="AM392" s="4" t="str">
        <f t="shared" si="2"/>
        <v>HANGA AVENUEMALAM BUHARI LINK</v>
      </c>
    </row>
    <row r="393">
      <c r="A393" s="3">
        <f>IFERROR(__xludf.DUMMYFUNCTION("""COMPUTED_VALUE"""),45868.75353826389)</f>
        <v>45868.75354</v>
      </c>
      <c r="B393" s="4" t="str">
        <f>IFERROR(__xludf.DUMMYFUNCTION("""COMPUTED_VALUE"""),"umrdalhatu@gmail.com")</f>
        <v>umrdalhatu@gmail.com</v>
      </c>
      <c r="C393" s="4" t="str">
        <f>IFERROR(__xludf.DUMMYFUNCTION("""COMPUTED_VALUE"""),"Umar Dalhatu")</f>
        <v>Umar Dalhatu</v>
      </c>
      <c r="D393" s="4"/>
      <c r="E393" s="4"/>
      <c r="F393" s="4"/>
      <c r="G393" s="4"/>
      <c r="H393" s="4"/>
      <c r="I393" s="4"/>
      <c r="J393" s="4" t="str">
        <f>IFERROR(__xludf.DUMMYFUNCTION("""COMPUTED_VALUE"""),"Cluster 10")</f>
        <v>Cluster 10</v>
      </c>
      <c r="K393" s="4"/>
      <c r="L393" s="4"/>
      <c r="M393" s="4" t="str">
        <f>IFERROR(__xludf.DUMMYFUNCTION("""COMPUTED_VALUE"""),"DAN GAYA STREET")</f>
        <v>DAN GAYA STREET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 t="str">
        <f>IFERROR(__xludf.DUMMYFUNCTION("""COMPUTED_VALUE"""),"Point 2")</f>
        <v>Point 2</v>
      </c>
      <c r="AC393" s="4">
        <f>IFERROR(__xludf.DUMMYFUNCTION("""COMPUTED_VALUE"""),11.98247)</f>
        <v>11.98247</v>
      </c>
      <c r="AD393" s="4">
        <f>IFERROR(__xludf.DUMMYFUNCTION("""COMPUTED_VALUE"""),8.576927)</f>
        <v>8.576927</v>
      </c>
      <c r="AE393" s="5" t="str">
        <f>IFERROR(__xludf.DUMMYFUNCTION("""COMPUTED_VALUE"""),"https://drive.google.com/open?id=1581d423LPEADV_z8dd_JsusS-Hsb-Mjy")</f>
        <v>https://drive.google.com/open?id=1581d423LPEADV_z8dd_JsusS-Hsb-Mjy</v>
      </c>
      <c r="AF393" s="4"/>
      <c r="AG393" s="4"/>
      <c r="AH393" s="4"/>
      <c r="AI393" s="4"/>
      <c r="AL393" s="4" t="str">
        <f t="shared" si="1"/>
        <v>Cluster 10</v>
      </c>
      <c r="AM393" s="4" t="str">
        <f t="shared" si="2"/>
        <v>DAN GAYA STREET</v>
      </c>
    </row>
    <row r="394">
      <c r="A394" s="3">
        <f>IFERROR(__xludf.DUMMYFUNCTION("""COMPUTED_VALUE"""),45868.752216608795)</f>
        <v>45868.75222</v>
      </c>
      <c r="B394" s="4" t="str">
        <f>IFERROR(__xludf.DUMMYFUNCTION("""COMPUTED_VALUE"""),"umrdalhatu@gmail.com")</f>
        <v>umrdalhatu@gmail.com</v>
      </c>
      <c r="C394" s="4" t="str">
        <f>IFERROR(__xludf.DUMMYFUNCTION("""COMPUTED_VALUE"""),"Umar Dalhatu")</f>
        <v>Umar Dalhatu</v>
      </c>
      <c r="D394" s="4"/>
      <c r="E394" s="4"/>
      <c r="F394" s="4"/>
      <c r="G394" s="4"/>
      <c r="H394" s="4"/>
      <c r="I394" s="4"/>
      <c r="J394" s="4" t="str">
        <f>IFERROR(__xludf.DUMMYFUNCTION("""COMPUTED_VALUE"""),"Cluster 10")</f>
        <v>Cluster 10</v>
      </c>
      <c r="K394" s="4"/>
      <c r="L394" s="4"/>
      <c r="M394" s="4" t="str">
        <f>IFERROR(__xludf.DUMMYFUNCTION("""COMPUTED_VALUE"""),"DAN GAYA STREET")</f>
        <v>DAN GAYA STREET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 t="str">
        <f>IFERROR(__xludf.DUMMYFUNCTION("""COMPUTED_VALUE"""),"Point 1")</f>
        <v>Point 1</v>
      </c>
      <c r="AC394" s="4">
        <f>IFERROR(__xludf.DUMMYFUNCTION("""COMPUTED_VALUE"""),11.981888)</f>
        <v>11.981888</v>
      </c>
      <c r="AD394" s="4">
        <f>IFERROR(__xludf.DUMMYFUNCTION("""COMPUTED_VALUE"""),8.577404)</f>
        <v>8.577404</v>
      </c>
      <c r="AE394" s="5" t="str">
        <f>IFERROR(__xludf.DUMMYFUNCTION("""COMPUTED_VALUE"""),"https://drive.google.com/open?id=1W52eAvV6zQEZyA82v4AdJdQDJMfEo2rd")</f>
        <v>https://drive.google.com/open?id=1W52eAvV6zQEZyA82v4AdJdQDJMfEo2rd</v>
      </c>
      <c r="AF394" s="4"/>
      <c r="AG394" s="4"/>
      <c r="AH394" s="4"/>
      <c r="AI394" s="4"/>
      <c r="AL394" s="4" t="str">
        <f t="shared" si="1"/>
        <v>Cluster 10</v>
      </c>
      <c r="AM394" s="4" t="str">
        <f t="shared" si="2"/>
        <v>DAN GAYA STREET</v>
      </c>
    </row>
    <row r="395">
      <c r="A395" s="3">
        <f>IFERROR(__xludf.DUMMYFUNCTION("""COMPUTED_VALUE"""),45868.75080324074)</f>
        <v>45868.7508</v>
      </c>
      <c r="B395" s="4" t="str">
        <f>IFERROR(__xludf.DUMMYFUNCTION("""COMPUTED_VALUE"""),"umrdalhatu@gmail.com")</f>
        <v>umrdalhatu@gmail.com</v>
      </c>
      <c r="C395" s="4" t="str">
        <f>IFERROR(__xludf.DUMMYFUNCTION("""COMPUTED_VALUE"""),"Umar Dalhatu")</f>
        <v>Umar Dalhatu</v>
      </c>
      <c r="D395" s="4"/>
      <c r="E395" s="4"/>
      <c r="F395" s="4"/>
      <c r="G395" s="4"/>
      <c r="H395" s="4"/>
      <c r="I395" s="4"/>
      <c r="J395" s="4" t="str">
        <f>IFERROR(__xludf.DUMMYFUNCTION("""COMPUTED_VALUE"""),"Cluster 1")</f>
        <v>Cluster 1</v>
      </c>
      <c r="K395" s="4" t="str">
        <f>IFERROR(__xludf.DUMMYFUNCTION("""COMPUTED_VALUE"""),"M.J. LAWAL STREET")</f>
        <v>M.J. LAWAL STREET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 t="str">
        <f>IFERROR(__xludf.DUMMYFUNCTION("""COMPUTED_VALUE"""),"Point 2")</f>
        <v>Point 2</v>
      </c>
      <c r="AC395" s="4">
        <f>IFERROR(__xludf.DUMMYFUNCTION("""COMPUTED_VALUE"""),11.99681771)</f>
        <v>11.99681771</v>
      </c>
      <c r="AD395" s="4">
        <f>IFERROR(__xludf.DUMMYFUNCTION("""COMPUTED_VALUE"""),8.573178985)</f>
        <v>8.573178985</v>
      </c>
      <c r="AE395" s="5" t="str">
        <f>IFERROR(__xludf.DUMMYFUNCTION("""COMPUTED_VALUE"""),"https://drive.google.com/open?id=1WfsDrbLv4esPsG8Fod1H5PqPl1nbCnBJ")</f>
        <v>https://drive.google.com/open?id=1WfsDrbLv4esPsG8Fod1H5PqPl1nbCnBJ</v>
      </c>
      <c r="AF395" s="4"/>
      <c r="AG395" s="4"/>
      <c r="AH395" s="4"/>
      <c r="AI395" s="4"/>
      <c r="AL395" s="4" t="str">
        <f t="shared" si="1"/>
        <v>Cluster 1</v>
      </c>
      <c r="AM395" s="4" t="str">
        <f t="shared" si="2"/>
        <v>M.J. LAWAL STREET</v>
      </c>
    </row>
    <row r="396">
      <c r="A396" s="3">
        <f>IFERROR(__xludf.DUMMYFUNCTION("""COMPUTED_VALUE"""),45868.749988587966)</f>
        <v>45868.74999</v>
      </c>
      <c r="B396" s="4" t="str">
        <f>IFERROR(__xludf.DUMMYFUNCTION("""COMPUTED_VALUE"""),"umrdalhatu@gmail.com")</f>
        <v>umrdalhatu@gmail.com</v>
      </c>
      <c r="C396" s="4" t="str">
        <f>IFERROR(__xludf.DUMMYFUNCTION("""COMPUTED_VALUE"""),"Umar Dalhatu")</f>
        <v>Umar Dalhatu</v>
      </c>
      <c r="D396" s="4"/>
      <c r="E396" s="4"/>
      <c r="F396" s="4"/>
      <c r="G396" s="4"/>
      <c r="H396" s="4"/>
      <c r="I396" s="4"/>
      <c r="J396" s="4" t="str">
        <f>IFERROR(__xludf.DUMMYFUNCTION("""COMPUTED_VALUE"""),"Cluster 1")</f>
        <v>Cluster 1</v>
      </c>
      <c r="K396" s="4" t="str">
        <f>IFERROR(__xludf.DUMMYFUNCTION("""COMPUTED_VALUE"""),"M.J. LAWAL STREET")</f>
        <v>M.J. LAWAL STREET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 t="str">
        <f>IFERROR(__xludf.DUMMYFUNCTION("""COMPUTED_VALUE"""),"Point 1")</f>
        <v>Point 1</v>
      </c>
      <c r="AC396" s="4">
        <f>IFERROR(__xludf.DUMMYFUNCTION("""COMPUTED_VALUE"""),11.99738853)</f>
        <v>11.99738853</v>
      </c>
      <c r="AD396" s="4">
        <f>IFERROR(__xludf.DUMMYFUNCTION("""COMPUTED_VALUE"""),8.573169142)</f>
        <v>8.573169142</v>
      </c>
      <c r="AE396" s="5" t="str">
        <f>IFERROR(__xludf.DUMMYFUNCTION("""COMPUTED_VALUE"""),"https://drive.google.com/open?id=1lZZUev3RgoBXL68IS_twYl98daJiBLlD")</f>
        <v>https://drive.google.com/open?id=1lZZUev3RgoBXL68IS_twYl98daJiBLlD</v>
      </c>
      <c r="AF396" s="4"/>
      <c r="AG396" s="4"/>
      <c r="AH396" s="4"/>
      <c r="AI396" s="4"/>
      <c r="AL396" s="4" t="str">
        <f t="shared" si="1"/>
        <v>Cluster 1</v>
      </c>
      <c r="AM396" s="4" t="str">
        <f t="shared" si="2"/>
        <v>M.J. LAWAL STREET</v>
      </c>
    </row>
    <row r="397">
      <c r="A397" s="3">
        <f>IFERROR(__xludf.DUMMYFUNCTION("""COMPUTED_VALUE"""),45868.745429814815)</f>
        <v>45868.74543</v>
      </c>
      <c r="B397" s="4" t="str">
        <f>IFERROR(__xludf.DUMMYFUNCTION("""COMPUTED_VALUE"""),"umrdalhatu@gmail.com")</f>
        <v>umrdalhatu@gmail.com</v>
      </c>
      <c r="C397" s="4" t="str">
        <f>IFERROR(__xludf.DUMMYFUNCTION("""COMPUTED_VALUE"""),"Umar Dalhatu")</f>
        <v>Umar Dalhatu</v>
      </c>
      <c r="D397" s="4"/>
      <c r="E397" s="4"/>
      <c r="F397" s="4"/>
      <c r="G397" s="4"/>
      <c r="H397" s="4"/>
      <c r="I397" s="4"/>
      <c r="J397" s="4" t="str">
        <f>IFERROR(__xludf.DUMMYFUNCTION("""COMPUTED_VALUE"""),"Cluster 1")</f>
        <v>Cluster 1</v>
      </c>
      <c r="K397" s="4" t="str">
        <f>IFERROR(__xludf.DUMMYFUNCTION("""COMPUTED_VALUE"""),"ABDULRAHMAN ABUBAKAR LINK")</f>
        <v>ABDULRAHMAN ABUBAKAR LINK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 t="str">
        <f>IFERROR(__xludf.DUMMYFUNCTION("""COMPUTED_VALUE"""),"Point 2")</f>
        <v>Point 2</v>
      </c>
      <c r="AC397" s="4">
        <f>IFERROR(__xludf.DUMMYFUNCTION("""COMPUTED_VALUE"""),11.99688214)</f>
        <v>11.99688214</v>
      </c>
      <c r="AD397" s="4">
        <f>IFERROR(__xludf.DUMMYFUNCTION("""COMPUTED_VALUE"""),8.570981421)</f>
        <v>8.570981421</v>
      </c>
      <c r="AE397" s="5" t="str">
        <f>IFERROR(__xludf.DUMMYFUNCTION("""COMPUTED_VALUE"""),"https://drive.google.com/open?id=1Ld0z6p8OUtrzIKGaa7moFS_PGcNAaS0i")</f>
        <v>https://drive.google.com/open?id=1Ld0z6p8OUtrzIKGaa7moFS_PGcNAaS0i</v>
      </c>
      <c r="AF397" s="4"/>
      <c r="AG397" s="4"/>
      <c r="AH397" s="4"/>
      <c r="AI397" s="4"/>
      <c r="AL397" s="4" t="str">
        <f t="shared" si="1"/>
        <v>Cluster 1</v>
      </c>
      <c r="AM397" s="4" t="str">
        <f t="shared" si="2"/>
        <v>ABDULRAHMAN ABUBAKAR LINK</v>
      </c>
    </row>
    <row r="398">
      <c r="A398" s="3">
        <f>IFERROR(__xludf.DUMMYFUNCTION("""COMPUTED_VALUE"""),45868.743933668986)</f>
        <v>45868.74393</v>
      </c>
      <c r="B398" s="4" t="str">
        <f>IFERROR(__xludf.DUMMYFUNCTION("""COMPUTED_VALUE"""),"umrdalhatu@gmail.com")</f>
        <v>umrdalhatu@gmail.com</v>
      </c>
      <c r="C398" s="4" t="str">
        <f>IFERROR(__xludf.DUMMYFUNCTION("""COMPUTED_VALUE"""),"Umar Dalhatu")</f>
        <v>Umar Dalhatu</v>
      </c>
      <c r="D398" s="4"/>
      <c r="E398" s="4"/>
      <c r="F398" s="4"/>
      <c r="G398" s="4"/>
      <c r="H398" s="4"/>
      <c r="I398" s="4"/>
      <c r="J398" s="4" t="str">
        <f>IFERROR(__xludf.DUMMYFUNCTION("""COMPUTED_VALUE"""),"Cluster 1")</f>
        <v>Cluster 1</v>
      </c>
      <c r="K398" s="4" t="str">
        <f>IFERROR(__xludf.DUMMYFUNCTION("""COMPUTED_VALUE"""),"ABDULRAHMAN ABUBAKAR LINK")</f>
        <v>ABDULRAHMAN ABUBAKAR LINK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 t="str">
        <f>IFERROR(__xludf.DUMMYFUNCTION("""COMPUTED_VALUE"""),"Point 1")</f>
        <v>Point 1</v>
      </c>
      <c r="AC398" s="4">
        <f>IFERROR(__xludf.DUMMYFUNCTION("""COMPUTED_VALUE"""),11.99690006)</f>
        <v>11.99690006</v>
      </c>
      <c r="AD398" s="4">
        <f>IFERROR(__xludf.DUMMYFUNCTION("""COMPUTED_VALUE"""),8.571570159)</f>
        <v>8.571570159</v>
      </c>
      <c r="AE398" s="5" t="str">
        <f>IFERROR(__xludf.DUMMYFUNCTION("""COMPUTED_VALUE"""),"https://drive.google.com/open?id=1Tn8woeBRunzmyMdLdBxMvYseVaBhF0IN")</f>
        <v>https://drive.google.com/open?id=1Tn8woeBRunzmyMdLdBxMvYseVaBhF0IN</v>
      </c>
      <c r="AF398" s="4"/>
      <c r="AG398" s="4"/>
      <c r="AH398" s="4"/>
      <c r="AI398" s="4"/>
      <c r="AL398" s="4" t="str">
        <f t="shared" si="1"/>
        <v>Cluster 1</v>
      </c>
      <c r="AM398" s="4" t="str">
        <f t="shared" si="2"/>
        <v>ABDULRAHMAN ABUBAKAR LINK</v>
      </c>
    </row>
    <row r="399">
      <c r="A399" s="3">
        <f>IFERROR(__xludf.DUMMYFUNCTION("""COMPUTED_VALUE"""),45868.74051944444)</f>
        <v>45868.74052</v>
      </c>
      <c r="B399" s="4" t="str">
        <f>IFERROR(__xludf.DUMMYFUNCTION("""COMPUTED_VALUE"""),"umrdalhatu@gmail.com")</f>
        <v>umrdalhatu@gmail.com</v>
      </c>
      <c r="C399" s="4" t="str">
        <f>IFERROR(__xludf.DUMMYFUNCTION("""COMPUTED_VALUE"""),"Umar Dalhatu")</f>
        <v>Umar Dalhatu</v>
      </c>
      <c r="D399" s="4"/>
      <c r="E399" s="4"/>
      <c r="F399" s="4"/>
      <c r="G399" s="4"/>
      <c r="H399" s="4"/>
      <c r="I399" s="4"/>
      <c r="J399" s="4" t="str">
        <f>IFERROR(__xludf.DUMMYFUNCTION("""COMPUTED_VALUE"""),"Cluster 1")</f>
        <v>Cluster 1</v>
      </c>
      <c r="K399" s="4" t="str">
        <f>IFERROR(__xludf.DUMMYFUNCTION("""COMPUTED_VALUE"""),"UMAR MADAHAJI STREET")</f>
        <v>UMAR MADAHAJI STREET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 t="str">
        <f>IFERROR(__xludf.DUMMYFUNCTION("""COMPUTED_VALUE"""),"Point 2")</f>
        <v>Point 2</v>
      </c>
      <c r="AC399" s="4">
        <f>IFERROR(__xludf.DUMMYFUNCTION("""COMPUTED_VALUE"""),11.99553865)</f>
        <v>11.99553865</v>
      </c>
      <c r="AD399" s="4">
        <f>IFERROR(__xludf.DUMMYFUNCTION("""COMPUTED_VALUE"""),8.540472645)</f>
        <v>8.540472645</v>
      </c>
      <c r="AE399" s="5" t="str">
        <f>IFERROR(__xludf.DUMMYFUNCTION("""COMPUTED_VALUE"""),"https://drive.google.com/open?id=1FUyMSaudoBZ5byrHWlMUvFpyM2Uenxz5")</f>
        <v>https://drive.google.com/open?id=1FUyMSaudoBZ5byrHWlMUvFpyM2Uenxz5</v>
      </c>
      <c r="AF399" s="4"/>
      <c r="AG399" s="4"/>
      <c r="AH399" s="4"/>
      <c r="AI399" s="4"/>
      <c r="AL399" s="4" t="str">
        <f t="shared" si="1"/>
        <v>Cluster 1</v>
      </c>
      <c r="AM399" s="4" t="str">
        <f t="shared" si="2"/>
        <v>UMAR MADAHAJI STREET</v>
      </c>
    </row>
    <row r="400">
      <c r="A400" s="3">
        <f>IFERROR(__xludf.DUMMYFUNCTION("""COMPUTED_VALUE"""),45868.73889951389)</f>
        <v>45868.7389</v>
      </c>
      <c r="B400" s="4" t="str">
        <f>IFERROR(__xludf.DUMMYFUNCTION("""COMPUTED_VALUE"""),"umrdalhatu@gmail.com")</f>
        <v>umrdalhatu@gmail.com</v>
      </c>
      <c r="C400" s="4" t="str">
        <f>IFERROR(__xludf.DUMMYFUNCTION("""COMPUTED_VALUE"""),"Umar Dalhatu")</f>
        <v>Umar Dalhatu</v>
      </c>
      <c r="D400" s="4"/>
      <c r="E400" s="4"/>
      <c r="F400" s="4"/>
      <c r="G400" s="4"/>
      <c r="H400" s="4"/>
      <c r="I400" s="4"/>
      <c r="J400" s="4" t="str">
        <f>IFERROR(__xludf.DUMMYFUNCTION("""COMPUTED_VALUE"""),"Cluster 1")</f>
        <v>Cluster 1</v>
      </c>
      <c r="K400" s="4" t="str">
        <f>IFERROR(__xludf.DUMMYFUNCTION("""COMPUTED_VALUE"""),"UMAR MADAHAJI STREET")</f>
        <v>UMAR MADAHAJI STREET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 t="str">
        <f>IFERROR(__xludf.DUMMYFUNCTION("""COMPUTED_VALUE"""),"Point 1")</f>
        <v>Point 1</v>
      </c>
      <c r="AC400" s="4">
        <f>IFERROR(__xludf.DUMMYFUNCTION("""COMPUTED_VALUE"""),11.99632)</f>
        <v>11.99632</v>
      </c>
      <c r="AD400" s="4">
        <f>IFERROR(__xludf.DUMMYFUNCTION("""COMPUTED_VALUE"""),8.539354365)</f>
        <v>8.539354365</v>
      </c>
      <c r="AE400" s="5" t="str">
        <f>IFERROR(__xludf.DUMMYFUNCTION("""COMPUTED_VALUE"""),"https://drive.google.com/open?id=1zWhIKKnNxa778QO8EezgQ8n5eKE6UxpR")</f>
        <v>https://drive.google.com/open?id=1zWhIKKnNxa778QO8EezgQ8n5eKE6UxpR</v>
      </c>
      <c r="AF400" s="4"/>
      <c r="AG400" s="4"/>
      <c r="AH400" s="4"/>
      <c r="AI400" s="4"/>
      <c r="AL400" s="4" t="str">
        <f t="shared" si="1"/>
        <v>Cluster 1</v>
      </c>
      <c r="AM400" s="4" t="str">
        <f t="shared" si="2"/>
        <v>UMAR MADAHAJI STREET</v>
      </c>
    </row>
    <row r="401">
      <c r="A401" s="3">
        <f>IFERROR(__xludf.DUMMYFUNCTION("""COMPUTED_VALUE"""),45868.7365296412)</f>
        <v>45868.73653</v>
      </c>
      <c r="B401" s="4" t="str">
        <f>IFERROR(__xludf.DUMMYFUNCTION("""COMPUTED_VALUE"""),"umrdalhatu@gmail.com")</f>
        <v>umrdalhatu@gmail.com</v>
      </c>
      <c r="C401" s="4" t="str">
        <f>IFERROR(__xludf.DUMMYFUNCTION("""COMPUTED_VALUE"""),"Umar Dalhatu")</f>
        <v>Umar Dalhatu</v>
      </c>
      <c r="D401" s="4"/>
      <c r="E401" s="4"/>
      <c r="F401" s="4"/>
      <c r="G401" s="4"/>
      <c r="H401" s="4"/>
      <c r="I401" s="4"/>
      <c r="J401" s="4" t="str">
        <f>IFERROR(__xludf.DUMMYFUNCTION("""COMPUTED_VALUE"""),"Cluster 1")</f>
        <v>Cluster 1</v>
      </c>
      <c r="K401" s="4" t="str">
        <f>IFERROR(__xludf.DUMMYFUNCTION("""COMPUTED_VALUE"""),"GIRGIRI LAWAN LINK")</f>
        <v>GIRGIRI LAWAN LINK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 t="str">
        <f>IFERROR(__xludf.DUMMYFUNCTION("""COMPUTED_VALUE"""),"Point 2")</f>
        <v>Point 2</v>
      </c>
      <c r="AC401" s="4">
        <f>IFERROR(__xludf.DUMMYFUNCTION("""COMPUTED_VALUE"""),11.99211091)</f>
        <v>11.99211091</v>
      </c>
      <c r="AD401" s="4">
        <f>IFERROR(__xludf.DUMMYFUNCTION("""COMPUTED_VALUE"""),8.542411463)</f>
        <v>8.542411463</v>
      </c>
      <c r="AE401" s="5" t="str">
        <f>IFERROR(__xludf.DUMMYFUNCTION("""COMPUTED_VALUE"""),"https://drive.google.com/open?id=1r-ec9we6cFgNFbYTqWbwDiELQg5f0t3j")</f>
        <v>https://drive.google.com/open?id=1r-ec9we6cFgNFbYTqWbwDiELQg5f0t3j</v>
      </c>
      <c r="AF401" s="4"/>
      <c r="AG401" s="4"/>
      <c r="AH401" s="4"/>
      <c r="AI401" s="4"/>
      <c r="AL401" s="4" t="str">
        <f t="shared" si="1"/>
        <v>Cluster 1</v>
      </c>
      <c r="AM401" s="4" t="str">
        <f t="shared" si="2"/>
        <v>GIRGIRI LAWAN LINK</v>
      </c>
    </row>
    <row r="402">
      <c r="A402" s="3">
        <f>IFERROR(__xludf.DUMMYFUNCTION("""COMPUTED_VALUE"""),45868.73519697916)</f>
        <v>45868.7352</v>
      </c>
      <c r="B402" s="4" t="str">
        <f>IFERROR(__xludf.DUMMYFUNCTION("""COMPUTED_VALUE"""),"umrdalhatu@gmail.com")</f>
        <v>umrdalhatu@gmail.com</v>
      </c>
      <c r="C402" s="4" t="str">
        <f>IFERROR(__xludf.DUMMYFUNCTION("""COMPUTED_VALUE"""),"Umar Dalhatu")</f>
        <v>Umar Dalhatu</v>
      </c>
      <c r="D402" s="4"/>
      <c r="E402" s="4"/>
      <c r="F402" s="4"/>
      <c r="G402" s="4"/>
      <c r="H402" s="4"/>
      <c r="I402" s="4"/>
      <c r="J402" s="4" t="str">
        <f>IFERROR(__xludf.DUMMYFUNCTION("""COMPUTED_VALUE"""),"Cluster 1")</f>
        <v>Cluster 1</v>
      </c>
      <c r="K402" s="4" t="str">
        <f>IFERROR(__xludf.DUMMYFUNCTION("""COMPUTED_VALUE"""),"GIRGIRI LAWAN LINK")</f>
        <v>GIRGIRI LAWAN LINK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 t="str">
        <f>IFERROR(__xludf.DUMMYFUNCTION("""COMPUTED_VALUE"""),"Point 1")</f>
        <v>Point 1</v>
      </c>
      <c r="AC402" s="4">
        <f>IFERROR(__xludf.DUMMYFUNCTION("""COMPUTED_VALUE"""),11.99346964)</f>
        <v>11.99346964</v>
      </c>
      <c r="AD402" s="4">
        <f>IFERROR(__xludf.DUMMYFUNCTION("""COMPUTED_VALUE"""),8.542488196)</f>
        <v>8.542488196</v>
      </c>
      <c r="AE402" s="5" t="str">
        <f>IFERROR(__xludf.DUMMYFUNCTION("""COMPUTED_VALUE"""),"https://drive.google.com/open?id=1IOQWzjDyqKCkpRfOtF0TF7xrjviKCsrA")</f>
        <v>https://drive.google.com/open?id=1IOQWzjDyqKCkpRfOtF0TF7xrjviKCsrA</v>
      </c>
      <c r="AF402" s="4"/>
      <c r="AG402" s="4"/>
      <c r="AH402" s="4"/>
      <c r="AI402" s="4"/>
      <c r="AL402" s="4" t="str">
        <f t="shared" si="1"/>
        <v>Cluster 1</v>
      </c>
      <c r="AM402" s="4" t="str">
        <f t="shared" si="2"/>
        <v>GIRGIRI LAWAN LINK</v>
      </c>
    </row>
    <row r="403">
      <c r="A403" s="3">
        <f>IFERROR(__xludf.DUMMYFUNCTION("""COMPUTED_VALUE"""),45868.73384829861)</f>
        <v>45868.73385</v>
      </c>
      <c r="B403" s="4" t="str">
        <f>IFERROR(__xludf.DUMMYFUNCTION("""COMPUTED_VALUE"""),"umrdalhatu@gmail.com")</f>
        <v>umrdalhatu@gmail.com</v>
      </c>
      <c r="C403" s="4" t="str">
        <f>IFERROR(__xludf.DUMMYFUNCTION("""COMPUTED_VALUE"""),"Umar Dalhatu")</f>
        <v>Umar Dalhatu</v>
      </c>
      <c r="D403" s="4"/>
      <c r="E403" s="4"/>
      <c r="F403" s="4"/>
      <c r="G403" s="4"/>
      <c r="H403" s="4"/>
      <c r="I403" s="4"/>
      <c r="J403" s="4" t="str">
        <f>IFERROR(__xludf.DUMMYFUNCTION("""COMPUTED_VALUE"""),"Cluster 1")</f>
        <v>Cluster 1</v>
      </c>
      <c r="K403" s="4" t="str">
        <f>IFERROR(__xludf.DUMMYFUNCTION("""COMPUTED_VALUE"""),"AMINU BABANDI STREET")</f>
        <v>AMINU BABANDI STREET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 t="str">
        <f>IFERROR(__xludf.DUMMYFUNCTION("""COMPUTED_VALUE"""),"Point 2")</f>
        <v>Point 2</v>
      </c>
      <c r="AC403" s="4">
        <f>IFERROR(__xludf.DUMMYFUNCTION("""COMPUTED_VALUE"""),11.99632)</f>
        <v>11.99632</v>
      </c>
      <c r="AD403" s="4">
        <f>IFERROR(__xludf.DUMMYFUNCTION("""COMPUTED_VALUE"""),8.539354365)</f>
        <v>8.539354365</v>
      </c>
      <c r="AE403" s="5" t="str">
        <f>IFERROR(__xludf.DUMMYFUNCTION("""COMPUTED_VALUE"""),"https://drive.google.com/open?id=11gxBJFuo1djywRVQHjySlediT_BtzdFr")</f>
        <v>https://drive.google.com/open?id=11gxBJFuo1djywRVQHjySlediT_BtzdFr</v>
      </c>
      <c r="AF403" s="4"/>
      <c r="AG403" s="4"/>
      <c r="AH403" s="4"/>
      <c r="AI403" s="4"/>
      <c r="AL403" s="4" t="str">
        <f t="shared" si="1"/>
        <v>Cluster 1</v>
      </c>
      <c r="AM403" s="4" t="str">
        <f t="shared" si="2"/>
        <v>AMINU BABANDI STREET</v>
      </c>
    </row>
    <row r="404">
      <c r="A404" s="3">
        <f>IFERROR(__xludf.DUMMYFUNCTION("""COMPUTED_VALUE"""),45868.73222518519)</f>
        <v>45868.73223</v>
      </c>
      <c r="B404" s="4" t="str">
        <f>IFERROR(__xludf.DUMMYFUNCTION("""COMPUTED_VALUE"""),"umrdalhatu@gmail.com")</f>
        <v>umrdalhatu@gmail.com</v>
      </c>
      <c r="C404" s="4" t="str">
        <f>IFERROR(__xludf.DUMMYFUNCTION("""COMPUTED_VALUE"""),"Umar Dalhatu")</f>
        <v>Umar Dalhatu</v>
      </c>
      <c r="D404" s="4"/>
      <c r="E404" s="4"/>
      <c r="F404" s="4"/>
      <c r="G404" s="4"/>
      <c r="H404" s="4"/>
      <c r="I404" s="4"/>
      <c r="J404" s="4" t="str">
        <f>IFERROR(__xludf.DUMMYFUNCTION("""COMPUTED_VALUE"""),"Cluster 1")</f>
        <v>Cluster 1</v>
      </c>
      <c r="K404" s="4" t="str">
        <f>IFERROR(__xludf.DUMMYFUNCTION("""COMPUTED_VALUE"""),"AMINU BABANDI STREET")</f>
        <v>AMINU BABANDI STREET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 t="str">
        <f>IFERROR(__xludf.DUMMYFUNCTION("""COMPUTED_VALUE"""),"Point 1")</f>
        <v>Point 1</v>
      </c>
      <c r="AC404" s="4">
        <f>IFERROR(__xludf.DUMMYFUNCTION("""COMPUTED_VALUE"""),11.99575927)</f>
        <v>11.99575927</v>
      </c>
      <c r="AD404" s="4">
        <f>IFERROR(__xludf.DUMMYFUNCTION("""COMPUTED_VALUE"""),8.538946412)</f>
        <v>8.538946412</v>
      </c>
      <c r="AE404" s="5" t="str">
        <f>IFERROR(__xludf.DUMMYFUNCTION("""COMPUTED_VALUE"""),"https://drive.google.com/open?id=1w1fTH_uFFMjHUoKs5Fliw5GbSVDiqJo7")</f>
        <v>https://drive.google.com/open?id=1w1fTH_uFFMjHUoKs5Fliw5GbSVDiqJo7</v>
      </c>
      <c r="AF404" s="4"/>
      <c r="AG404" s="4"/>
      <c r="AH404" s="4"/>
      <c r="AI404" s="4"/>
      <c r="AL404" s="4" t="str">
        <f t="shared" si="1"/>
        <v>Cluster 1</v>
      </c>
      <c r="AM404" s="4" t="str">
        <f t="shared" si="2"/>
        <v>AMINU BABANDI STREET</v>
      </c>
    </row>
    <row r="405">
      <c r="A405" s="3">
        <f>IFERROR(__xludf.DUMMYFUNCTION("""COMPUTED_VALUE"""),45868.72972472222)</f>
        <v>45868.72972</v>
      </c>
      <c r="B405" s="4" t="str">
        <f>IFERROR(__xludf.DUMMYFUNCTION("""COMPUTED_VALUE"""),"umrdalhatu@gmail.com")</f>
        <v>umrdalhatu@gmail.com</v>
      </c>
      <c r="C405" s="4" t="str">
        <f>IFERROR(__xludf.DUMMYFUNCTION("""COMPUTED_VALUE"""),"Umar Dalhatu")</f>
        <v>Umar Dalhatu</v>
      </c>
      <c r="D405" s="4"/>
      <c r="E405" s="4"/>
      <c r="F405" s="4"/>
      <c r="G405" s="4"/>
      <c r="H405" s="4"/>
      <c r="I405" s="4"/>
      <c r="J405" s="4" t="str">
        <f>IFERROR(__xludf.DUMMYFUNCTION("""COMPUTED_VALUE"""),"Cluster 1")</f>
        <v>Cluster 1</v>
      </c>
      <c r="K405" s="4" t="str">
        <f>IFERROR(__xludf.DUMMYFUNCTION("""COMPUTED_VALUE"""),"IBRAHIM HARUNA CLOSE")</f>
        <v>IBRAHIM HARUNA CLOSE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 t="str">
        <f>IFERROR(__xludf.DUMMYFUNCTION("""COMPUTED_VALUE"""),"Point 1")</f>
        <v>Point 1</v>
      </c>
      <c r="AC405" s="4">
        <f>IFERROR(__xludf.DUMMYFUNCTION("""COMPUTED_VALUE"""),11.99440737)</f>
        <v>11.99440737</v>
      </c>
      <c r="AD405" s="4">
        <f>IFERROR(__xludf.DUMMYFUNCTION("""COMPUTED_VALUE"""),8.541051902)</f>
        <v>8.541051902</v>
      </c>
      <c r="AE405" s="5" t="str">
        <f>IFERROR(__xludf.DUMMYFUNCTION("""COMPUTED_VALUE"""),"https://drive.google.com/open?id=1qA6uiAjpQYxH4Wy7OikbFqZhRCx093Os")</f>
        <v>https://drive.google.com/open?id=1qA6uiAjpQYxH4Wy7OikbFqZhRCx093Os</v>
      </c>
      <c r="AF405" s="4"/>
      <c r="AG405" s="4"/>
      <c r="AH405" s="4"/>
      <c r="AI405" s="4"/>
      <c r="AL405" s="4" t="str">
        <f t="shared" si="1"/>
        <v>Cluster 1</v>
      </c>
      <c r="AM405" s="4" t="str">
        <f t="shared" si="2"/>
        <v>IBRAHIM HARUNA CLOSE</v>
      </c>
    </row>
    <row r="406">
      <c r="A406" s="3">
        <f>IFERROR(__xludf.DUMMYFUNCTION("""COMPUTED_VALUE"""),45868.72774700231)</f>
        <v>45868.72775</v>
      </c>
      <c r="B406" s="4" t="str">
        <f>IFERROR(__xludf.DUMMYFUNCTION("""COMPUTED_VALUE"""),"umrdalhatu@gmail.com")</f>
        <v>umrdalhatu@gmail.com</v>
      </c>
      <c r="C406" s="4" t="str">
        <f>IFERROR(__xludf.DUMMYFUNCTION("""COMPUTED_VALUE"""),"Umar Dalhatu")</f>
        <v>Umar Dalhatu</v>
      </c>
      <c r="D406" s="4"/>
      <c r="E406" s="4"/>
      <c r="F406" s="4"/>
      <c r="G406" s="4"/>
      <c r="H406" s="4"/>
      <c r="I406" s="4"/>
      <c r="J406" s="4" t="str">
        <f>IFERROR(__xludf.DUMMYFUNCTION("""COMPUTED_VALUE"""),"Cluster 1")</f>
        <v>Cluster 1</v>
      </c>
      <c r="K406" s="4" t="str">
        <f>IFERROR(__xludf.DUMMYFUNCTION("""COMPUTED_VALUE"""),"BBY LINK")</f>
        <v>BBY LINK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 t="str">
        <f>IFERROR(__xludf.DUMMYFUNCTION("""COMPUTED_VALUE"""),"Point 2")</f>
        <v>Point 2</v>
      </c>
      <c r="AC406" s="4">
        <f>IFERROR(__xludf.DUMMYFUNCTION("""COMPUTED_VALUE"""),11.99415762)</f>
        <v>11.99415762</v>
      </c>
      <c r="AD406" s="4">
        <f>IFERROR(__xludf.DUMMYFUNCTION("""COMPUTED_VALUE"""),8.543105102)</f>
        <v>8.543105102</v>
      </c>
      <c r="AE406" s="5" t="str">
        <f>IFERROR(__xludf.DUMMYFUNCTION("""COMPUTED_VALUE"""),"https://drive.google.com/open?id=14b1pDR-KTbXB5cZXZeEJqkFjUJcYbDWc")</f>
        <v>https://drive.google.com/open?id=14b1pDR-KTbXB5cZXZeEJqkFjUJcYbDWc</v>
      </c>
      <c r="AF406" s="4"/>
      <c r="AG406" s="4"/>
      <c r="AH406" s="4"/>
      <c r="AI406" s="4"/>
      <c r="AL406" s="4" t="str">
        <f t="shared" si="1"/>
        <v>Cluster 1</v>
      </c>
      <c r="AM406" s="4" t="str">
        <f t="shared" si="2"/>
        <v>BBY LINK</v>
      </c>
    </row>
    <row r="407">
      <c r="A407" s="3">
        <f>IFERROR(__xludf.DUMMYFUNCTION("""COMPUTED_VALUE"""),45868.726641863424)</f>
        <v>45868.72664</v>
      </c>
      <c r="B407" s="4" t="str">
        <f>IFERROR(__xludf.DUMMYFUNCTION("""COMPUTED_VALUE"""),"umrdalhatu@gmail.com")</f>
        <v>umrdalhatu@gmail.com</v>
      </c>
      <c r="C407" s="4" t="str">
        <f>IFERROR(__xludf.DUMMYFUNCTION("""COMPUTED_VALUE"""),"Umar Dalhatu")</f>
        <v>Umar Dalhatu</v>
      </c>
      <c r="D407" s="4"/>
      <c r="E407" s="4"/>
      <c r="F407" s="4"/>
      <c r="G407" s="4"/>
      <c r="H407" s="4"/>
      <c r="I407" s="4"/>
      <c r="J407" s="4" t="str">
        <f>IFERROR(__xludf.DUMMYFUNCTION("""COMPUTED_VALUE"""),"Cluster 1")</f>
        <v>Cluster 1</v>
      </c>
      <c r="K407" s="4" t="str">
        <f>IFERROR(__xludf.DUMMYFUNCTION("""COMPUTED_VALUE"""),"BBY LINK")</f>
        <v>BBY LINK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 t="str">
        <f>IFERROR(__xludf.DUMMYFUNCTION("""COMPUTED_VALUE"""),"Point 1")</f>
        <v>Point 1</v>
      </c>
      <c r="AC407" s="4">
        <f>IFERROR(__xludf.DUMMYFUNCTION("""COMPUTED_VALUE"""),11.99479684)</f>
        <v>11.99479684</v>
      </c>
      <c r="AD407" s="4">
        <f>IFERROR(__xludf.DUMMYFUNCTION("""COMPUTED_VALUE"""),8.54244922)</f>
        <v>8.54244922</v>
      </c>
      <c r="AE407" s="5" t="str">
        <f>IFERROR(__xludf.DUMMYFUNCTION("""COMPUTED_VALUE"""),"https://drive.google.com/open?id=1bp0kBGgz36P5zaPOGUlZ0573iPbElE-R")</f>
        <v>https://drive.google.com/open?id=1bp0kBGgz36P5zaPOGUlZ0573iPbElE-R</v>
      </c>
      <c r="AF407" s="4"/>
      <c r="AG407" s="4"/>
      <c r="AH407" s="4"/>
      <c r="AI407" s="4"/>
      <c r="AL407" s="4" t="str">
        <f t="shared" si="1"/>
        <v>Cluster 1</v>
      </c>
      <c r="AM407" s="4" t="str">
        <f t="shared" si="2"/>
        <v>BBY LINK</v>
      </c>
    </row>
    <row r="408">
      <c r="A408" s="3">
        <f>IFERROR(__xludf.DUMMYFUNCTION("""COMPUTED_VALUE"""),45868.54654922454)</f>
        <v>45868.54655</v>
      </c>
      <c r="B408" s="4" t="str">
        <f>IFERROR(__xludf.DUMMYFUNCTION("""COMPUTED_VALUE"""),"ajisadiqdala@gmail.com")</f>
        <v>ajisadiqdala@gmail.com</v>
      </c>
      <c r="C408" s="4" t="str">
        <f>IFERROR(__xludf.DUMMYFUNCTION("""COMPUTED_VALUE"""),"Sadiq Dala")</f>
        <v>Sadiq Dala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 t="str">
        <f>IFERROR(__xludf.DUMMYFUNCTION("""COMPUTED_VALUE"""),"Cluster 5")</f>
        <v>Cluster 5</v>
      </c>
      <c r="W408" s="4" t="str">
        <f>IFERROR(__xludf.DUMMYFUNCTION("""COMPUTED_VALUE"""),"NAZIRU SARKIN WAKA STREET")</f>
        <v>NAZIRU SARKIN WAKA STREET</v>
      </c>
      <c r="X408" s="4"/>
      <c r="Y408" s="4"/>
      <c r="Z408" s="4"/>
      <c r="AA408" s="4"/>
      <c r="AB408" s="4" t="str">
        <f>IFERROR(__xludf.DUMMYFUNCTION("""COMPUTED_VALUE"""),"Point 2")</f>
        <v>Point 2</v>
      </c>
      <c r="AC408" s="4">
        <f>IFERROR(__xludf.DUMMYFUNCTION("""COMPUTED_VALUE"""),11.94667742)</f>
        <v>11.94667742</v>
      </c>
      <c r="AD408" s="4">
        <f>IFERROR(__xludf.DUMMYFUNCTION("""COMPUTED_VALUE"""),8.551740066)</f>
        <v>8.551740066</v>
      </c>
      <c r="AE408" s="5" t="str">
        <f>IFERROR(__xludf.DUMMYFUNCTION("""COMPUTED_VALUE"""),"https://drive.google.com/open?id=1_nkRGa45zMyQpUvVzjBzet6U-NF4cASX")</f>
        <v>https://drive.google.com/open?id=1_nkRGa45zMyQpUvVzjBzet6U-NF4cASX</v>
      </c>
      <c r="AF408" s="4"/>
      <c r="AG408" s="4"/>
      <c r="AH408" s="4"/>
      <c r="AI408" s="4"/>
      <c r="AL408" s="4" t="str">
        <f t="shared" si="1"/>
        <v>Cluster 5</v>
      </c>
      <c r="AM408" s="4" t="str">
        <f t="shared" si="2"/>
        <v>NAZIRU SARKIN WAKA STREET</v>
      </c>
    </row>
    <row r="409">
      <c r="A409" s="3">
        <f>IFERROR(__xludf.DUMMYFUNCTION("""COMPUTED_VALUE"""),45868.53199913194)</f>
        <v>45868.532</v>
      </c>
      <c r="B409" s="4" t="str">
        <f>IFERROR(__xludf.DUMMYFUNCTION("""COMPUTED_VALUE"""),"ajisadiqdala@gmail.com")</f>
        <v>ajisadiqdala@gmail.com</v>
      </c>
      <c r="C409" s="4" t="str">
        <f>IFERROR(__xludf.DUMMYFUNCTION("""COMPUTED_VALUE"""),"Sadiq Dala")</f>
        <v>Sadiq Dala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 t="str">
        <f>IFERROR(__xludf.DUMMYFUNCTION("""COMPUTED_VALUE"""),"Cluster 5")</f>
        <v>Cluster 5</v>
      </c>
      <c r="W409" s="4" t="str">
        <f>IFERROR(__xludf.DUMMYFUNCTION("""COMPUTED_VALUE"""),"NAZIRU SARKIN WAKA STREET")</f>
        <v>NAZIRU SARKIN WAKA STREET</v>
      </c>
      <c r="X409" s="4"/>
      <c r="Y409" s="4"/>
      <c r="Z409" s="4"/>
      <c r="AA409" s="4"/>
      <c r="AB409" s="4" t="str">
        <f>IFERROR(__xludf.DUMMYFUNCTION("""COMPUTED_VALUE"""),"Point 1")</f>
        <v>Point 1</v>
      </c>
      <c r="AC409" s="4">
        <f>IFERROR(__xludf.DUMMYFUNCTION("""COMPUTED_VALUE"""),11.94558037)</f>
        <v>11.94558037</v>
      </c>
      <c r="AD409" s="4">
        <f>IFERROR(__xludf.DUMMYFUNCTION("""COMPUTED_VALUE"""),8.552357706)</f>
        <v>8.552357706</v>
      </c>
      <c r="AE409" s="5" t="str">
        <f>IFERROR(__xludf.DUMMYFUNCTION("""COMPUTED_VALUE"""),"https://drive.google.com/open?id=14O93K3fyf0M7c_5ptOQ482RsT5IxOcew")</f>
        <v>https://drive.google.com/open?id=14O93K3fyf0M7c_5ptOQ482RsT5IxOcew</v>
      </c>
      <c r="AF409" s="4"/>
      <c r="AG409" s="4"/>
      <c r="AH409" s="4"/>
      <c r="AI409" s="4"/>
      <c r="AL409" s="4" t="str">
        <f t="shared" si="1"/>
        <v>Cluster 5</v>
      </c>
      <c r="AM409" s="4" t="str">
        <f t="shared" si="2"/>
        <v>NAZIRU SARKIN WAKA STREET</v>
      </c>
    </row>
    <row r="410">
      <c r="A410" s="3">
        <f>IFERROR(__xludf.DUMMYFUNCTION("""COMPUTED_VALUE"""),45868.52674056713)</f>
        <v>45868.52674</v>
      </c>
      <c r="B410" s="4" t="str">
        <f>IFERROR(__xludf.DUMMYFUNCTION("""COMPUTED_VALUE"""),"ajisadiqdala@gmail.com")</f>
        <v>ajisadiqdala@gmail.com</v>
      </c>
      <c r="C410" s="4" t="str">
        <f>IFERROR(__xludf.DUMMYFUNCTION("""COMPUTED_VALUE"""),"Sadiq Dala")</f>
        <v>Sadiq Dala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 t="str">
        <f>IFERROR(__xludf.DUMMYFUNCTION("""COMPUTED_VALUE"""),"Cluster 19")</f>
        <v>Cluster 19</v>
      </c>
      <c r="W410" s="4"/>
      <c r="X410" s="4"/>
      <c r="Y410" s="4"/>
      <c r="Z410" s="4"/>
      <c r="AA410" s="4" t="str">
        <f>IFERROR(__xludf.DUMMYFUNCTION("""COMPUTED_VALUE"""),"MUSA TUDUN WADA LINK")</f>
        <v>MUSA TUDUN WADA LINK</v>
      </c>
      <c r="AB410" s="4" t="str">
        <f>IFERROR(__xludf.DUMMYFUNCTION("""COMPUTED_VALUE"""),"Point 2")</f>
        <v>Point 2</v>
      </c>
      <c r="AC410" s="4">
        <f>IFERROR(__xludf.DUMMYFUNCTION("""COMPUTED_VALUE"""),11.99703864)</f>
        <v>11.99703864</v>
      </c>
      <c r="AD410" s="4">
        <f>IFERROR(__xludf.DUMMYFUNCTION("""COMPUTED_VALUE"""),8.567789799)</f>
        <v>8.567789799</v>
      </c>
      <c r="AE410" s="5" t="str">
        <f>IFERROR(__xludf.DUMMYFUNCTION("""COMPUTED_VALUE"""),"https://drive.google.com/open?id=1PPUgM4dRh76PI3sR_DG0YwoLOWWat4dB")</f>
        <v>https://drive.google.com/open?id=1PPUgM4dRh76PI3sR_DG0YwoLOWWat4dB</v>
      </c>
      <c r="AF410" s="4"/>
      <c r="AG410" s="4"/>
      <c r="AH410" s="4"/>
      <c r="AI410" s="4"/>
      <c r="AL410" s="4" t="str">
        <f t="shared" si="1"/>
        <v>Cluster 19</v>
      </c>
      <c r="AM410" s="4" t="str">
        <f t="shared" si="2"/>
        <v>MUSA TUDUN WADA LINK</v>
      </c>
    </row>
    <row r="411">
      <c r="A411" s="3">
        <f>IFERROR(__xludf.DUMMYFUNCTION("""COMPUTED_VALUE"""),45868.52474679398)</f>
        <v>45868.52475</v>
      </c>
      <c r="B411" s="4" t="str">
        <f>IFERROR(__xludf.DUMMYFUNCTION("""COMPUTED_VALUE"""),"ajisadiqdala@gmail.com")</f>
        <v>ajisadiqdala@gmail.com</v>
      </c>
      <c r="C411" s="4" t="str">
        <f>IFERROR(__xludf.DUMMYFUNCTION("""COMPUTED_VALUE"""),"Sadiq Dala")</f>
        <v>Sadiq Dala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 t="str">
        <f>IFERROR(__xludf.DUMMYFUNCTION("""COMPUTED_VALUE"""),"Cluster 19")</f>
        <v>Cluster 19</v>
      </c>
      <c r="W411" s="4"/>
      <c r="X411" s="4"/>
      <c r="Y411" s="4"/>
      <c r="Z411" s="4"/>
      <c r="AA411" s="4" t="str">
        <f>IFERROR(__xludf.DUMMYFUNCTION("""COMPUTED_VALUE"""),"MUSA TUDUN WADA LINK")</f>
        <v>MUSA TUDUN WADA LINK</v>
      </c>
      <c r="AB411" s="4" t="str">
        <f>IFERROR(__xludf.DUMMYFUNCTION("""COMPUTED_VALUE"""),"Point 1")</f>
        <v>Point 1</v>
      </c>
      <c r="AC411" s="4">
        <f>IFERROR(__xludf.DUMMYFUNCTION("""COMPUTED_VALUE"""),11.99617532)</f>
        <v>11.99617532</v>
      </c>
      <c r="AD411" s="4">
        <f>IFERROR(__xludf.DUMMYFUNCTION("""COMPUTED_VALUE"""),8.568498658)</f>
        <v>8.568498658</v>
      </c>
      <c r="AE411" s="5" t="str">
        <f>IFERROR(__xludf.DUMMYFUNCTION("""COMPUTED_VALUE"""),"https://drive.google.com/open?id=1qJRpLQ8Mltv5fNIUloFVs6SJPwhuZTCg")</f>
        <v>https://drive.google.com/open?id=1qJRpLQ8Mltv5fNIUloFVs6SJPwhuZTCg</v>
      </c>
      <c r="AF411" s="4"/>
      <c r="AG411" s="4"/>
      <c r="AH411" s="4"/>
      <c r="AI411" s="4"/>
      <c r="AL411" s="4" t="str">
        <f t="shared" si="1"/>
        <v>Cluster 19</v>
      </c>
      <c r="AM411" s="4" t="str">
        <f t="shared" si="2"/>
        <v>MUSA TUDUN WADA LINK</v>
      </c>
    </row>
    <row r="412">
      <c r="A412" s="3">
        <f>IFERROR(__xludf.DUMMYFUNCTION("""COMPUTED_VALUE"""),45868.522645069446)</f>
        <v>45868.52265</v>
      </c>
      <c r="B412" s="4" t="str">
        <f>IFERROR(__xludf.DUMMYFUNCTION("""COMPUTED_VALUE"""),"ajisadiqdala@gmail.com")</f>
        <v>ajisadiqdala@gmail.com</v>
      </c>
      <c r="C412" s="4" t="str">
        <f>IFERROR(__xludf.DUMMYFUNCTION("""COMPUTED_VALUE"""),"Sadiq Dala")</f>
        <v>Sadiq Dala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 t="str">
        <f>IFERROR(__xludf.DUMMYFUNCTION("""COMPUTED_VALUE"""),"Cluster 19")</f>
        <v>Cluster 19</v>
      </c>
      <c r="W412" s="4"/>
      <c r="X412" s="4"/>
      <c r="Y412" s="4"/>
      <c r="Z412" s="4"/>
      <c r="AA412" s="4" t="str">
        <f>IFERROR(__xludf.DUMMYFUNCTION("""COMPUTED_VALUE"""),"MADINA LINK")</f>
        <v>MADINA LINK</v>
      </c>
      <c r="AB412" s="4" t="str">
        <f>IFERROR(__xludf.DUMMYFUNCTION("""COMPUTED_VALUE"""),"Point 2")</f>
        <v>Point 2</v>
      </c>
      <c r="AC412" s="4">
        <f>IFERROR(__xludf.DUMMYFUNCTION("""COMPUTED_VALUE"""),11.98885116)</f>
        <v>11.98885116</v>
      </c>
      <c r="AD412" s="4">
        <f>IFERROR(__xludf.DUMMYFUNCTION("""COMPUTED_VALUE"""),8.571847548)</f>
        <v>8.571847548</v>
      </c>
      <c r="AE412" s="5" t="str">
        <f>IFERROR(__xludf.DUMMYFUNCTION("""COMPUTED_VALUE"""),"https://drive.google.com/open?id=1WGaLn5uYFx7plDjcV93eGVOpzl-tJ5JH")</f>
        <v>https://drive.google.com/open?id=1WGaLn5uYFx7plDjcV93eGVOpzl-tJ5JH</v>
      </c>
      <c r="AF412" s="4"/>
      <c r="AG412" s="4"/>
      <c r="AH412" s="4"/>
      <c r="AI412" s="4"/>
      <c r="AL412" s="4" t="str">
        <f t="shared" si="1"/>
        <v>Cluster 19</v>
      </c>
      <c r="AM412" s="4" t="str">
        <f t="shared" si="2"/>
        <v>MADINA LINK</v>
      </c>
    </row>
    <row r="413">
      <c r="A413" s="3">
        <f>IFERROR(__xludf.DUMMYFUNCTION("""COMPUTED_VALUE"""),45868.52116873843)</f>
        <v>45868.52117</v>
      </c>
      <c r="B413" s="4" t="str">
        <f>IFERROR(__xludf.DUMMYFUNCTION("""COMPUTED_VALUE"""),"ajisadiqdala@gmail.com")</f>
        <v>ajisadiqdala@gmail.com</v>
      </c>
      <c r="C413" s="4" t="str">
        <f>IFERROR(__xludf.DUMMYFUNCTION("""COMPUTED_VALUE"""),"Sadiq Dala")</f>
        <v>Sadiq Dala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 t="str">
        <f>IFERROR(__xludf.DUMMYFUNCTION("""COMPUTED_VALUE"""),"Cluster 19")</f>
        <v>Cluster 19</v>
      </c>
      <c r="W413" s="4"/>
      <c r="X413" s="4"/>
      <c r="Y413" s="4"/>
      <c r="Z413" s="4"/>
      <c r="AA413" s="4" t="str">
        <f>IFERROR(__xludf.DUMMYFUNCTION("""COMPUTED_VALUE"""),"MADINA LINK")</f>
        <v>MADINA LINK</v>
      </c>
      <c r="AB413" s="4" t="str">
        <f>IFERROR(__xludf.DUMMYFUNCTION("""COMPUTED_VALUE"""),"Point 1")</f>
        <v>Point 1</v>
      </c>
      <c r="AC413" s="4">
        <f>IFERROR(__xludf.DUMMYFUNCTION("""COMPUTED_VALUE"""),11.99020712)</f>
        <v>11.99020712</v>
      </c>
      <c r="AD413" s="4">
        <f>IFERROR(__xludf.DUMMYFUNCTION("""COMPUTED_VALUE"""),11.98591722)</f>
        <v>11.98591722</v>
      </c>
      <c r="AE413" s="5" t="str">
        <f>IFERROR(__xludf.DUMMYFUNCTION("""COMPUTED_VALUE"""),"https://drive.google.com/open?id=1q2SXjkL2eW5Q5Qiyjc_gCh7z9FyE2Mva")</f>
        <v>https://drive.google.com/open?id=1q2SXjkL2eW5Q5Qiyjc_gCh7z9FyE2Mva</v>
      </c>
      <c r="AF413" s="4"/>
      <c r="AG413" s="4"/>
      <c r="AH413" s="4"/>
      <c r="AI413" s="4"/>
      <c r="AL413" s="4" t="str">
        <f t="shared" si="1"/>
        <v>Cluster 19</v>
      </c>
      <c r="AM413" s="4" t="str">
        <f t="shared" si="2"/>
        <v>MADINA LINK</v>
      </c>
    </row>
    <row r="414">
      <c r="A414" s="3">
        <f>IFERROR(__xludf.DUMMYFUNCTION("""COMPUTED_VALUE"""),45868.516828576394)</f>
        <v>45868.51683</v>
      </c>
      <c r="B414" s="4" t="str">
        <f>IFERROR(__xludf.DUMMYFUNCTION("""COMPUTED_VALUE"""),"ajisadiqdala@gmail.com")</f>
        <v>ajisadiqdala@gmail.com</v>
      </c>
      <c r="C414" s="4" t="str">
        <f>IFERROR(__xludf.DUMMYFUNCTION("""COMPUTED_VALUE"""),"Sadiq Dala")</f>
        <v>Sadiq Dala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 t="str">
        <f>IFERROR(__xludf.DUMMYFUNCTION("""COMPUTED_VALUE"""),"Cluster 19")</f>
        <v>Cluster 19</v>
      </c>
      <c r="W414" s="4"/>
      <c r="X414" s="4"/>
      <c r="Y414" s="4"/>
      <c r="Z414" s="4"/>
      <c r="AA414" s="4" t="str">
        <f>IFERROR(__xludf.DUMMYFUNCTION("""COMPUTED_VALUE"""),"IBRAHIM GODI STREET")</f>
        <v>IBRAHIM GODI STREET</v>
      </c>
      <c r="AB414" s="4" t="str">
        <f>IFERROR(__xludf.DUMMYFUNCTION("""COMPUTED_VALUE"""),"Point 2")</f>
        <v>Point 2</v>
      </c>
      <c r="AC414" s="4">
        <f>IFERROR(__xludf.DUMMYFUNCTION("""COMPUTED_VALUE"""),11.98591722)</f>
        <v>11.98591722</v>
      </c>
      <c r="AD414" s="4">
        <f>IFERROR(__xludf.DUMMYFUNCTION("""COMPUTED_VALUE"""),8.568032292)</f>
        <v>8.568032292</v>
      </c>
      <c r="AE414" s="5" t="str">
        <f>IFERROR(__xludf.DUMMYFUNCTION("""COMPUTED_VALUE"""),"https://drive.google.com/open?id=1tDxo4G2DFSxpuovREC7GAujUrYT72zz_")</f>
        <v>https://drive.google.com/open?id=1tDxo4G2DFSxpuovREC7GAujUrYT72zz_</v>
      </c>
      <c r="AF414" s="4"/>
      <c r="AG414" s="4"/>
      <c r="AH414" s="4"/>
      <c r="AI414" s="4"/>
      <c r="AL414" s="4" t="str">
        <f t="shared" si="1"/>
        <v>Cluster 19</v>
      </c>
      <c r="AM414" s="4" t="str">
        <f t="shared" si="2"/>
        <v>IBRAHIM GODI STREET</v>
      </c>
    </row>
    <row r="415">
      <c r="A415" s="3">
        <f>IFERROR(__xludf.DUMMYFUNCTION("""COMPUTED_VALUE"""),45868.51371737268)</f>
        <v>45868.51372</v>
      </c>
      <c r="B415" s="4" t="str">
        <f>IFERROR(__xludf.DUMMYFUNCTION("""COMPUTED_VALUE"""),"ajisadiqdala@gmail.com")</f>
        <v>ajisadiqdala@gmail.com</v>
      </c>
      <c r="C415" s="4" t="str">
        <f>IFERROR(__xludf.DUMMYFUNCTION("""COMPUTED_VALUE"""),"Sadiq Dala")</f>
        <v>Sadiq Dala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 t="str">
        <f>IFERROR(__xludf.DUMMYFUNCTION("""COMPUTED_VALUE"""),"Cluster 19")</f>
        <v>Cluster 19</v>
      </c>
      <c r="W415" s="4"/>
      <c r="X415" s="4"/>
      <c r="Y415" s="4"/>
      <c r="Z415" s="4"/>
      <c r="AA415" s="4" t="str">
        <f>IFERROR(__xludf.DUMMYFUNCTION("""COMPUTED_VALUE"""),"IBRAHIM GODI STREET")</f>
        <v>IBRAHIM GODI STREET</v>
      </c>
      <c r="AB415" s="4" t="str">
        <f>IFERROR(__xludf.DUMMYFUNCTION("""COMPUTED_VALUE"""),"Point 1")</f>
        <v>Point 1</v>
      </c>
      <c r="AC415" s="4">
        <f>IFERROR(__xludf.DUMMYFUNCTION("""COMPUTED_VALUE"""),11.98758884)</f>
        <v>11.98758884</v>
      </c>
      <c r="AD415" s="4">
        <f>IFERROR(__xludf.DUMMYFUNCTION("""COMPUTED_VALUE"""),8.568566542)</f>
        <v>8.568566542</v>
      </c>
      <c r="AE415" s="5" t="str">
        <f>IFERROR(__xludf.DUMMYFUNCTION("""COMPUTED_VALUE"""),"https://drive.google.com/open?id=1SK2qeOk_7SD8r4L92EccKy9xfkhKvfns")</f>
        <v>https://drive.google.com/open?id=1SK2qeOk_7SD8r4L92EccKy9xfkhKvfns</v>
      </c>
      <c r="AF415" s="4"/>
      <c r="AG415" s="4"/>
      <c r="AH415" s="4"/>
      <c r="AI415" s="4"/>
      <c r="AL415" s="4" t="str">
        <f t="shared" si="1"/>
        <v>Cluster 19</v>
      </c>
      <c r="AM415" s="4" t="str">
        <f t="shared" si="2"/>
        <v>IBRAHIM GODI STREET</v>
      </c>
    </row>
    <row r="416">
      <c r="A416" s="3">
        <f>IFERROR(__xludf.DUMMYFUNCTION("""COMPUTED_VALUE"""),45868.50916616898)</f>
        <v>45868.50917</v>
      </c>
      <c r="B416" s="4" t="str">
        <f>IFERROR(__xludf.DUMMYFUNCTION("""COMPUTED_VALUE"""),"ajisadiqdala@gmail.com")</f>
        <v>ajisadiqdala@gmail.com</v>
      </c>
      <c r="C416" s="4" t="str">
        <f>IFERROR(__xludf.DUMMYFUNCTION("""COMPUTED_VALUE"""),"Sadiq Dala")</f>
        <v>Sadiq Dala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 t="str">
        <f>IFERROR(__xludf.DUMMYFUNCTION("""COMPUTED_VALUE"""),"Cluster 19")</f>
        <v>Cluster 19</v>
      </c>
      <c r="W416" s="4"/>
      <c r="X416" s="4"/>
      <c r="Y416" s="4"/>
      <c r="Z416" s="4"/>
      <c r="AA416" s="4" t="str">
        <f>IFERROR(__xludf.DUMMYFUNCTION("""COMPUTED_VALUE"""),"MALAM BUHARI LINK")</f>
        <v>MALAM BUHARI LINK</v>
      </c>
      <c r="AB416" s="4" t="str">
        <f>IFERROR(__xludf.DUMMYFUNCTION("""COMPUTED_VALUE"""),"Point 1")</f>
        <v>Point 1</v>
      </c>
      <c r="AC416" s="4">
        <f>IFERROR(__xludf.DUMMYFUNCTION("""COMPUTED_VALUE"""),11.98732404)</f>
        <v>11.98732404</v>
      </c>
      <c r="AD416" s="4">
        <f>IFERROR(__xludf.DUMMYFUNCTION("""COMPUTED_VALUE"""),8.56646193)</f>
        <v>8.56646193</v>
      </c>
      <c r="AE416" s="5" t="str">
        <f>IFERROR(__xludf.DUMMYFUNCTION("""COMPUTED_VALUE"""),"https://drive.google.com/open?id=1dEdS-P5cRarLpwck30iCMGcXhjuOwIRc")</f>
        <v>https://drive.google.com/open?id=1dEdS-P5cRarLpwck30iCMGcXhjuOwIRc</v>
      </c>
      <c r="AF416" s="4"/>
      <c r="AG416" s="4"/>
      <c r="AH416" s="4"/>
      <c r="AI416" s="4"/>
      <c r="AL416" s="4" t="str">
        <f t="shared" si="1"/>
        <v>Cluster 19</v>
      </c>
      <c r="AM416" s="4" t="str">
        <f t="shared" si="2"/>
        <v>MALAM BUHARI LINK</v>
      </c>
    </row>
    <row r="417">
      <c r="A417" s="3">
        <f>IFERROR(__xludf.DUMMYFUNCTION("""COMPUTED_VALUE"""),45866.99288284722)</f>
        <v>45866.99288</v>
      </c>
      <c r="B417" s="4" t="str">
        <f>IFERROR(__xludf.DUMMYFUNCTION("""COMPUTED_VALUE"""),"iahmadzakari@gmail.com")</f>
        <v>iahmadzakari@gmail.com</v>
      </c>
      <c r="C417" s="4" t="str">
        <f>IFERROR(__xludf.DUMMYFUNCTION("""COMPUTED_VALUE"""),"Sadiq Ilu")</f>
        <v>Sadiq Ilu</v>
      </c>
      <c r="D417" s="4" t="str">
        <f>IFERROR(__xludf.DUMMYFUNCTION("""COMPUTED_VALUE"""),"Cluster 8")</f>
        <v>Cluster 8</v>
      </c>
      <c r="E417" s="4"/>
      <c r="F417" s="4"/>
      <c r="G417" s="4" t="str">
        <f>IFERROR(__xludf.DUMMYFUNCTION("""COMPUTED_VALUE"""),"MUHAMMED ALI ROAD")</f>
        <v>MUHAMMED ALI ROAD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 t="str">
        <f>IFERROR(__xludf.DUMMYFUNCTION("""COMPUTED_VALUE"""),"Point 2")</f>
        <v>Point 2</v>
      </c>
      <c r="AC417" s="4">
        <f>IFERROR(__xludf.DUMMYFUNCTION("""COMPUTED_VALUE"""),11.971253)</f>
        <v>11.971253</v>
      </c>
      <c r="AD417" s="4">
        <f>IFERROR(__xludf.DUMMYFUNCTION("""COMPUTED_VALUE"""),8.539852)</f>
        <v>8.539852</v>
      </c>
      <c r="AE417" s="5" t="str">
        <f>IFERROR(__xludf.DUMMYFUNCTION("""COMPUTED_VALUE"""),"https://drive.google.com/open?id=1_2KxJQ8-o9_PQDPtArQGMjPKfacqlaHa")</f>
        <v>https://drive.google.com/open?id=1_2KxJQ8-o9_PQDPtArQGMjPKfacqlaHa</v>
      </c>
      <c r="AF417" s="4"/>
      <c r="AG417" s="4"/>
      <c r="AH417" s="4"/>
      <c r="AI417" s="4"/>
      <c r="AL417" s="4" t="str">
        <f t="shared" si="1"/>
        <v>Cluster 8</v>
      </c>
      <c r="AM417" s="4" t="str">
        <f t="shared" si="2"/>
        <v>MUHAMMED ALI ROAD</v>
      </c>
    </row>
    <row r="418">
      <c r="A418" s="3">
        <f>IFERROR(__xludf.DUMMYFUNCTION("""COMPUTED_VALUE"""),45866.99156059028)</f>
        <v>45866.99156</v>
      </c>
      <c r="B418" s="4" t="str">
        <f>IFERROR(__xludf.DUMMYFUNCTION("""COMPUTED_VALUE"""),"iahmadzakari@gmail.com")</f>
        <v>iahmadzakari@gmail.com</v>
      </c>
      <c r="C418" s="4" t="str">
        <f>IFERROR(__xludf.DUMMYFUNCTION("""COMPUTED_VALUE"""),"Sadiq Ilu")</f>
        <v>Sadiq Ilu</v>
      </c>
      <c r="D418" s="4" t="str">
        <f>IFERROR(__xludf.DUMMYFUNCTION("""COMPUTED_VALUE"""),"Cluster 8")</f>
        <v>Cluster 8</v>
      </c>
      <c r="E418" s="4"/>
      <c r="F418" s="4"/>
      <c r="G418" s="4" t="str">
        <f>IFERROR(__xludf.DUMMYFUNCTION("""COMPUTED_VALUE"""),"MUHAMMED ALI ROAD")</f>
        <v>MUHAMMED ALI ROAD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 t="str">
        <f>IFERROR(__xludf.DUMMYFUNCTION("""COMPUTED_VALUE"""),"Point 1")</f>
        <v>Point 1</v>
      </c>
      <c r="AC418" s="4">
        <f>IFERROR(__xludf.DUMMYFUNCTION("""COMPUTED_VALUE"""),11.973922)</f>
        <v>11.973922</v>
      </c>
      <c r="AD418" s="4">
        <f>IFERROR(__xludf.DUMMYFUNCTION("""COMPUTED_VALUE"""),8.538865)</f>
        <v>8.538865</v>
      </c>
      <c r="AE418" s="5" t="str">
        <f>IFERROR(__xludf.DUMMYFUNCTION("""COMPUTED_VALUE"""),"https://drive.google.com/open?id=1uJsu2VM1oFIic-LQGUNt4mGcA0koSMoa")</f>
        <v>https://drive.google.com/open?id=1uJsu2VM1oFIic-LQGUNt4mGcA0koSMoa</v>
      </c>
      <c r="AF418" s="4"/>
      <c r="AG418" s="4"/>
      <c r="AH418" s="4"/>
      <c r="AI418" s="4"/>
      <c r="AL418" s="4" t="str">
        <f t="shared" si="1"/>
        <v>Cluster 8</v>
      </c>
      <c r="AM418" s="4" t="str">
        <f t="shared" si="2"/>
        <v>MUHAMMED ALI ROAD</v>
      </c>
    </row>
    <row r="419">
      <c r="A419" s="3">
        <f>IFERROR(__xludf.DUMMYFUNCTION("""COMPUTED_VALUE"""),45866.98684629629)</f>
        <v>45866.98685</v>
      </c>
      <c r="B419" s="4" t="str">
        <f>IFERROR(__xludf.DUMMYFUNCTION("""COMPUTED_VALUE"""),"iahmadzakari@gmail.com")</f>
        <v>iahmadzakari@gmail.com</v>
      </c>
      <c r="C419" s="4" t="str">
        <f>IFERROR(__xludf.DUMMYFUNCTION("""COMPUTED_VALUE"""),"Sadiq Ilu")</f>
        <v>Sadiq Ilu</v>
      </c>
      <c r="D419" s="4" t="str">
        <f>IFERROR(__xludf.DUMMYFUNCTION("""COMPUTED_VALUE"""),"Cluster 17")</f>
        <v>Cluster 17</v>
      </c>
      <c r="E419" s="4"/>
      <c r="F419" s="4"/>
      <c r="G419" s="4"/>
      <c r="H419" s="4"/>
      <c r="I419" s="4" t="str">
        <f>IFERROR(__xludf.DUMMYFUNCTION("""COMPUTED_VALUE"""),"ADAMU BAKER STREET")</f>
        <v>ADAMU BAKER STREET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 t="str">
        <f>IFERROR(__xludf.DUMMYFUNCTION("""COMPUTED_VALUE"""),"Point 2")</f>
        <v>Point 2</v>
      </c>
      <c r="AC419" s="4">
        <f>IFERROR(__xludf.DUMMYFUNCTION("""COMPUTED_VALUE"""),11.975455)</f>
        <v>11.975455</v>
      </c>
      <c r="AD419" s="4">
        <f>IFERROR(__xludf.DUMMYFUNCTION("""COMPUTED_VALUE"""),8.569724)</f>
        <v>8.569724</v>
      </c>
      <c r="AE419" s="5" t="str">
        <f>IFERROR(__xludf.DUMMYFUNCTION("""COMPUTED_VALUE"""),"https://drive.google.com/open?id=1OmKzYLDDmzw--7DnBQ6_7IzTY7ktAhzn")</f>
        <v>https://drive.google.com/open?id=1OmKzYLDDmzw--7DnBQ6_7IzTY7ktAhzn</v>
      </c>
      <c r="AF419" s="4"/>
      <c r="AG419" s="4"/>
      <c r="AH419" s="4"/>
      <c r="AI419" s="4"/>
      <c r="AL419" s="4" t="str">
        <f t="shared" si="1"/>
        <v>Cluster 17</v>
      </c>
      <c r="AM419" s="4" t="str">
        <f t="shared" si="2"/>
        <v>ADAMU BAKER STREET</v>
      </c>
    </row>
    <row r="420">
      <c r="A420" s="3">
        <f>IFERROR(__xludf.DUMMYFUNCTION("""COMPUTED_VALUE"""),45866.98492993056)</f>
        <v>45866.98493</v>
      </c>
      <c r="B420" s="4" t="str">
        <f>IFERROR(__xludf.DUMMYFUNCTION("""COMPUTED_VALUE"""),"iahmadzakari@gmail.com")</f>
        <v>iahmadzakari@gmail.com</v>
      </c>
      <c r="C420" s="4" t="str">
        <f>IFERROR(__xludf.DUMMYFUNCTION("""COMPUTED_VALUE"""),"Sadiq Ilu")</f>
        <v>Sadiq Ilu</v>
      </c>
      <c r="D420" s="4" t="str">
        <f>IFERROR(__xludf.DUMMYFUNCTION("""COMPUTED_VALUE"""),"Cluster 4")</f>
        <v>Cluster 4</v>
      </c>
      <c r="E420" s="4"/>
      <c r="F420" s="4" t="str">
        <f>IFERROR(__xludf.DUMMYFUNCTION("""COMPUTED_VALUE"""),"HALLIRU ROAD")</f>
        <v>HALLIRU ROAD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 t="str">
        <f>IFERROR(__xludf.DUMMYFUNCTION("""COMPUTED_VALUE"""),"Point 1")</f>
        <v>Point 1</v>
      </c>
      <c r="AC420" s="4">
        <f>IFERROR(__xludf.DUMMYFUNCTION("""COMPUTED_VALUE"""),11.97132)</f>
        <v>11.97132</v>
      </c>
      <c r="AD420" s="4">
        <f>IFERROR(__xludf.DUMMYFUNCTION("""COMPUTED_VALUE"""),8.5759223)</f>
        <v>8.5759223</v>
      </c>
      <c r="AE420" s="5" t="str">
        <f>IFERROR(__xludf.DUMMYFUNCTION("""COMPUTED_VALUE"""),"https://drive.google.com/open?id=1qKh946ek2Hs6OmOX5QNhibw1MrF_ZI-d")</f>
        <v>https://drive.google.com/open?id=1qKh946ek2Hs6OmOX5QNhibw1MrF_ZI-d</v>
      </c>
      <c r="AF420" s="4"/>
      <c r="AG420" s="4"/>
      <c r="AH420" s="4"/>
      <c r="AI420" s="4"/>
      <c r="AL420" s="4" t="str">
        <f t="shared" si="1"/>
        <v>Cluster 4</v>
      </c>
      <c r="AM420" s="4" t="str">
        <f t="shared" si="2"/>
        <v>HALLIRU ROAD</v>
      </c>
    </row>
    <row r="421">
      <c r="A421" s="3">
        <f>IFERROR(__xludf.DUMMYFUNCTION("""COMPUTED_VALUE"""),45866.983946238426)</f>
        <v>45866.98395</v>
      </c>
      <c r="B421" s="4" t="str">
        <f>IFERROR(__xludf.DUMMYFUNCTION("""COMPUTED_VALUE"""),"iahmadzakari@gmail.com")</f>
        <v>iahmadzakari@gmail.com</v>
      </c>
      <c r="C421" s="4" t="str">
        <f>IFERROR(__xludf.DUMMYFUNCTION("""COMPUTED_VALUE"""),"Sadiq Ilu")</f>
        <v>Sadiq Ilu</v>
      </c>
      <c r="D421" s="4" t="str">
        <f>IFERROR(__xludf.DUMMYFUNCTION("""COMPUTED_VALUE"""),"Cluster 4")</f>
        <v>Cluster 4</v>
      </c>
      <c r="E421" s="4"/>
      <c r="F421" s="4" t="str">
        <f>IFERROR(__xludf.DUMMYFUNCTION("""COMPUTED_VALUE"""),"HALLIRU ROAD")</f>
        <v>HALLIRU ROAD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 t="str">
        <f>IFERROR(__xludf.DUMMYFUNCTION("""COMPUTED_VALUE"""),"Point 2")</f>
        <v>Point 2</v>
      </c>
      <c r="AC421" s="4">
        <f>IFERROR(__xludf.DUMMYFUNCTION("""COMPUTED_VALUE"""),11.971867)</f>
        <v>11.971867</v>
      </c>
      <c r="AD421" s="4">
        <f>IFERROR(__xludf.DUMMYFUNCTION("""COMPUTED_VALUE"""),8.581724)</f>
        <v>8.581724</v>
      </c>
      <c r="AE421" s="5" t="str">
        <f>IFERROR(__xludf.DUMMYFUNCTION("""COMPUTED_VALUE"""),"https://drive.google.com/open?id=1ct9Uf6tZuki3zY7pLp70dnfmuF9DQ8qV")</f>
        <v>https://drive.google.com/open?id=1ct9Uf6tZuki3zY7pLp70dnfmuF9DQ8qV</v>
      </c>
      <c r="AF421" s="4"/>
      <c r="AG421" s="4"/>
      <c r="AH421" s="4"/>
      <c r="AI421" s="4"/>
      <c r="AL421" s="4" t="str">
        <f t="shared" si="1"/>
        <v>Cluster 4</v>
      </c>
      <c r="AM421" s="4" t="str">
        <f t="shared" si="2"/>
        <v>HALLIRU ROAD</v>
      </c>
    </row>
    <row r="422">
      <c r="A422" s="3">
        <f>IFERROR(__xludf.DUMMYFUNCTION("""COMPUTED_VALUE"""),45866.98305045139)</f>
        <v>45866.98305</v>
      </c>
      <c r="B422" s="4" t="str">
        <f>IFERROR(__xludf.DUMMYFUNCTION("""COMPUTED_VALUE"""),"iahmadzakari@gmail.com")</f>
        <v>iahmadzakari@gmail.com</v>
      </c>
      <c r="C422" s="4" t="str">
        <f>IFERROR(__xludf.DUMMYFUNCTION("""COMPUTED_VALUE"""),"Sadiq Ilu")</f>
        <v>Sadiq Ilu</v>
      </c>
      <c r="D422" s="4" t="str">
        <f>IFERROR(__xludf.DUMMYFUNCTION("""COMPUTED_VALUE"""),"Cluster 4")</f>
        <v>Cluster 4</v>
      </c>
      <c r="E422" s="4"/>
      <c r="F422" s="4" t="str">
        <f>IFERROR(__xludf.DUMMYFUNCTION("""COMPUTED_VALUE"""),"MOHAMMED VICE ADAMU ROAD")</f>
        <v>MOHAMMED VICE ADAMU ROAD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 t="str">
        <f>IFERROR(__xludf.DUMMYFUNCTION("""COMPUTED_VALUE"""),"Point 2")</f>
        <v>Point 2</v>
      </c>
      <c r="AC422" s="4">
        <f>IFERROR(__xludf.DUMMYFUNCTION("""COMPUTED_VALUE"""),11.980106)</f>
        <v>11.980106</v>
      </c>
      <c r="AD422" s="4">
        <f>IFERROR(__xludf.DUMMYFUNCTION("""COMPUTED_VALUE"""),8.569864)</f>
        <v>8.569864</v>
      </c>
      <c r="AE422" s="5" t="str">
        <f>IFERROR(__xludf.DUMMYFUNCTION("""COMPUTED_VALUE"""),"https://drive.google.com/open?id=1S6xh5qHy529vDJuqwNlRg-CBm2N1Cmuz")</f>
        <v>https://drive.google.com/open?id=1S6xh5qHy529vDJuqwNlRg-CBm2N1Cmuz</v>
      </c>
      <c r="AF422" s="4"/>
      <c r="AG422" s="4"/>
      <c r="AH422" s="4"/>
      <c r="AI422" s="4"/>
      <c r="AL422" s="4" t="str">
        <f t="shared" si="1"/>
        <v>Cluster 4</v>
      </c>
      <c r="AM422" s="4" t="str">
        <f t="shared" si="2"/>
        <v>MOHAMMED VICE ADAMU ROAD</v>
      </c>
    </row>
    <row r="423">
      <c r="A423" s="3">
        <f>IFERROR(__xludf.DUMMYFUNCTION("""COMPUTED_VALUE"""),45866.98214681713)</f>
        <v>45866.98215</v>
      </c>
      <c r="B423" s="4" t="str">
        <f>IFERROR(__xludf.DUMMYFUNCTION("""COMPUTED_VALUE"""),"iahmadzakari@gmail.com")</f>
        <v>iahmadzakari@gmail.com</v>
      </c>
      <c r="C423" s="4" t="str">
        <f>IFERROR(__xludf.DUMMYFUNCTION("""COMPUTED_VALUE"""),"Sadiq Ilu")</f>
        <v>Sadiq Ilu</v>
      </c>
      <c r="D423" s="4" t="str">
        <f>IFERROR(__xludf.DUMMYFUNCTION("""COMPUTED_VALUE"""),"Cluster 4")</f>
        <v>Cluster 4</v>
      </c>
      <c r="E423" s="4"/>
      <c r="F423" s="4" t="str">
        <f>IFERROR(__xludf.DUMMYFUNCTION("""COMPUTED_VALUE"""),"MOHAMMED VICE ADAMU ROAD")</f>
        <v>MOHAMMED VICE ADAMU ROAD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 t="str">
        <f>IFERROR(__xludf.DUMMYFUNCTION("""COMPUTED_VALUE"""),"Point 1")</f>
        <v>Point 1</v>
      </c>
      <c r="AC423" s="4">
        <f>IFERROR(__xludf.DUMMYFUNCTION("""COMPUTED_VALUE"""),11.97364)</f>
        <v>11.97364</v>
      </c>
      <c r="AD423" s="4">
        <f>IFERROR(__xludf.DUMMYFUNCTION("""COMPUTED_VALUE"""),8.570197)</f>
        <v>8.570197</v>
      </c>
      <c r="AE423" s="5" t="str">
        <f>IFERROR(__xludf.DUMMYFUNCTION("""COMPUTED_VALUE"""),"https://drive.google.com/open?id=1jVqztgd28O3ChPgYfjRdyXNgl-HhMdt8")</f>
        <v>https://drive.google.com/open?id=1jVqztgd28O3ChPgYfjRdyXNgl-HhMdt8</v>
      </c>
      <c r="AF423" s="4"/>
      <c r="AG423" s="4"/>
      <c r="AH423" s="4"/>
      <c r="AI423" s="4"/>
      <c r="AL423" s="4" t="str">
        <f t="shared" si="1"/>
        <v>Cluster 4</v>
      </c>
      <c r="AM423" s="4" t="str">
        <f t="shared" si="2"/>
        <v>MOHAMMED VICE ADAMU ROAD</v>
      </c>
    </row>
    <row r="424">
      <c r="A424" s="3">
        <f>IFERROR(__xludf.DUMMYFUNCTION("""COMPUTED_VALUE"""),45866.9812122338)</f>
        <v>45866.98121</v>
      </c>
      <c r="B424" s="4" t="str">
        <f>IFERROR(__xludf.DUMMYFUNCTION("""COMPUTED_VALUE"""),"iahmadzakari@gmail.com")</f>
        <v>iahmadzakari@gmail.com</v>
      </c>
      <c r="C424" s="4" t="str">
        <f>IFERROR(__xludf.DUMMYFUNCTION("""COMPUTED_VALUE"""),"Sadiq Ilu")</f>
        <v>Sadiq Ilu</v>
      </c>
      <c r="D424" s="4" t="str">
        <f>IFERROR(__xludf.DUMMYFUNCTION("""COMPUTED_VALUE"""),"Cluster 4")</f>
        <v>Cluster 4</v>
      </c>
      <c r="E424" s="4"/>
      <c r="F424" s="4" t="str">
        <f>IFERROR(__xludf.DUMMYFUNCTION("""COMPUTED_VALUE"""),"HOTORO AVENUE")</f>
        <v>HOTORO AVENUE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 t="str">
        <f>IFERROR(__xludf.DUMMYFUNCTION("""COMPUTED_VALUE"""),"Point 1")</f>
        <v>Point 1</v>
      </c>
      <c r="AC424" s="4">
        <f>IFERROR(__xludf.DUMMYFUNCTION("""COMPUTED_VALUE"""),11.975777)</f>
        <v>11.975777</v>
      </c>
      <c r="AD424" s="4">
        <f>IFERROR(__xludf.DUMMYFUNCTION("""COMPUTED_VALUE"""),8.573778)</f>
        <v>8.573778</v>
      </c>
      <c r="AE424" s="5" t="str">
        <f>IFERROR(__xludf.DUMMYFUNCTION("""COMPUTED_VALUE"""),"https://drive.google.com/open?id=1-5Dm_VRKKslX8Ci_ObO5Cg4u9N6k78aZ")</f>
        <v>https://drive.google.com/open?id=1-5Dm_VRKKslX8Ci_ObO5Cg4u9N6k78aZ</v>
      </c>
      <c r="AF424" s="4"/>
      <c r="AG424" s="4"/>
      <c r="AH424" s="4"/>
      <c r="AI424" s="4"/>
      <c r="AL424" s="4" t="str">
        <f t="shared" si="1"/>
        <v>Cluster 4</v>
      </c>
      <c r="AM424" s="4" t="str">
        <f t="shared" si="2"/>
        <v>HOTORO AVENUE</v>
      </c>
    </row>
    <row r="425">
      <c r="A425" s="3">
        <f>IFERROR(__xludf.DUMMYFUNCTION("""COMPUTED_VALUE"""),45866.97321195602)</f>
        <v>45866.97321</v>
      </c>
      <c r="B425" s="4" t="str">
        <f>IFERROR(__xludf.DUMMYFUNCTION("""COMPUTED_VALUE"""),"iahmadzakari@gmail.com")</f>
        <v>iahmadzakari@gmail.com</v>
      </c>
      <c r="C425" s="4" t="str">
        <f>IFERROR(__xludf.DUMMYFUNCTION("""COMPUTED_VALUE"""),"Sadiq Ilu")</f>
        <v>Sadiq Ilu</v>
      </c>
      <c r="D425" s="4" t="str">
        <f>IFERROR(__xludf.DUMMYFUNCTION("""COMPUTED_VALUE"""),"Cluster 4")</f>
        <v>Cluster 4</v>
      </c>
      <c r="E425" s="4"/>
      <c r="F425" s="4" t="str">
        <f>IFERROR(__xludf.DUMMYFUNCTION("""COMPUTED_VALUE"""),"HOTORO AVENUE")</f>
        <v>HOTORO AVENUE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 t="str">
        <f>IFERROR(__xludf.DUMMYFUNCTION("""COMPUTED_VALUE"""),"Point 2")</f>
        <v>Point 2</v>
      </c>
      <c r="AC425" s="4">
        <f>IFERROR(__xludf.DUMMYFUNCTION("""COMPUTED_VALUE"""),11.97802)</f>
        <v>11.97802</v>
      </c>
      <c r="AD425" s="4">
        <f>IFERROR(__xludf.DUMMYFUNCTION("""COMPUTED_VALUE"""),8.57319)</f>
        <v>8.57319</v>
      </c>
      <c r="AE425" s="5" t="str">
        <f>IFERROR(__xludf.DUMMYFUNCTION("""COMPUTED_VALUE"""),"https://drive.google.com/open?id=18ooYuENJ1O53LoOtTt22OI2xBzzo9a9W")</f>
        <v>https://drive.google.com/open?id=18ooYuENJ1O53LoOtTt22OI2xBzzo9a9W</v>
      </c>
      <c r="AF425" s="4"/>
      <c r="AG425" s="4"/>
      <c r="AH425" s="4"/>
      <c r="AI425" s="4"/>
      <c r="AL425" s="4" t="str">
        <f t="shared" si="1"/>
        <v>Cluster 4</v>
      </c>
      <c r="AM425" s="4" t="str">
        <f t="shared" si="2"/>
        <v>HOTORO AVENUE</v>
      </c>
    </row>
    <row r="426">
      <c r="A426" s="3">
        <f>IFERROR(__xludf.DUMMYFUNCTION("""COMPUTED_VALUE"""),45866.97082037037)</f>
        <v>45866.97082</v>
      </c>
      <c r="B426" s="4" t="str">
        <f>IFERROR(__xludf.DUMMYFUNCTION("""COMPUTED_VALUE"""),"iahmadzakari@gmail.com")</f>
        <v>iahmadzakari@gmail.com</v>
      </c>
      <c r="C426" s="4" t="str">
        <f>IFERROR(__xludf.DUMMYFUNCTION("""COMPUTED_VALUE"""),"Sadiq Ilu")</f>
        <v>Sadiq Ilu</v>
      </c>
      <c r="D426" s="4" t="str">
        <f>IFERROR(__xludf.DUMMYFUNCTION("""COMPUTED_VALUE"""),"Cluster 11")</f>
        <v>Cluster 11</v>
      </c>
      <c r="E426" s="4"/>
      <c r="F426" s="4"/>
      <c r="G426" s="4"/>
      <c r="H426" s="4" t="str">
        <f>IFERROR(__xludf.DUMMYFUNCTION("""COMPUTED_VALUE"""),"LAYIN ALARAMONA STREET")</f>
        <v>LAYIN ALARAMONA STREET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 t="str">
        <f>IFERROR(__xludf.DUMMYFUNCTION("""COMPUTED_VALUE"""),"Point 2")</f>
        <v>Point 2</v>
      </c>
      <c r="AC426" s="4">
        <f>IFERROR(__xludf.DUMMYFUNCTION("""COMPUTED_VALUE"""),11.988573)</f>
        <v>11.988573</v>
      </c>
      <c r="AD426" s="4">
        <f>IFERROR(__xludf.DUMMYFUNCTION("""COMPUTED_VALUE"""),8.568028)</f>
        <v>8.568028</v>
      </c>
      <c r="AE426" s="5" t="str">
        <f>IFERROR(__xludf.DUMMYFUNCTION("""COMPUTED_VALUE"""),"https://drive.google.com/open?id=1mPd0XeJNWTSkybOdlb67sB7MnhzZVz8l")</f>
        <v>https://drive.google.com/open?id=1mPd0XeJNWTSkybOdlb67sB7MnhzZVz8l</v>
      </c>
      <c r="AF426" s="4" t="str">
        <f>IFERROR(__xludf.DUMMYFUNCTION("""COMPUTED_VALUE"""),"Is Alaramma not ALaramona ")</f>
        <v>Is Alaramma not ALaramona </v>
      </c>
      <c r="AG426" s="4"/>
      <c r="AH426" s="4"/>
      <c r="AI426" s="4"/>
      <c r="AL426" s="4" t="str">
        <f t="shared" si="1"/>
        <v>Cluster 11</v>
      </c>
      <c r="AM426" s="4" t="str">
        <f t="shared" si="2"/>
        <v>LAYIN ALARAMONA STREET</v>
      </c>
    </row>
    <row r="427">
      <c r="A427" s="3">
        <f>IFERROR(__xludf.DUMMYFUNCTION("""COMPUTED_VALUE"""),45866.969120740745)</f>
        <v>45866.96912</v>
      </c>
      <c r="B427" s="4" t="str">
        <f>IFERROR(__xludf.DUMMYFUNCTION("""COMPUTED_VALUE"""),"iahmadzakari@gmail.com")</f>
        <v>iahmadzakari@gmail.com</v>
      </c>
      <c r="C427" s="4" t="str">
        <f>IFERROR(__xludf.DUMMYFUNCTION("""COMPUTED_VALUE"""),"Sadiq Ilu")</f>
        <v>Sadiq Ilu</v>
      </c>
      <c r="D427" s="4" t="str">
        <f>IFERROR(__xludf.DUMMYFUNCTION("""COMPUTED_VALUE"""),"Cluster 11")</f>
        <v>Cluster 11</v>
      </c>
      <c r="E427" s="4"/>
      <c r="F427" s="4"/>
      <c r="G427" s="4"/>
      <c r="H427" s="4" t="str">
        <f>IFERROR(__xludf.DUMMYFUNCTION("""COMPUTED_VALUE"""),"LAYIN ALARAMONA STREET")</f>
        <v>LAYIN ALARAMONA STREET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 t="str">
        <f>IFERROR(__xludf.DUMMYFUNCTION("""COMPUTED_VALUE"""),"Point 1")</f>
        <v>Point 1</v>
      </c>
      <c r="AC427" s="4">
        <f>IFERROR(__xludf.DUMMYFUNCTION("""COMPUTED_VALUE"""),11.988724)</f>
        <v>11.988724</v>
      </c>
      <c r="AD427" s="4">
        <f>IFERROR(__xludf.DUMMYFUNCTION("""COMPUTED_VALUE"""),8.564904)</f>
        <v>8.564904</v>
      </c>
      <c r="AE427" s="5" t="str">
        <f>IFERROR(__xludf.DUMMYFUNCTION("""COMPUTED_VALUE"""),"https://drive.google.com/open?id=1B5xegRgrAzN7cb7S2IWuOGg98pDSv13J")</f>
        <v>https://drive.google.com/open?id=1B5xegRgrAzN7cb7S2IWuOGg98pDSv13J</v>
      </c>
      <c r="AF427" s="4" t="str">
        <f>IFERROR(__xludf.DUMMYFUNCTION("""COMPUTED_VALUE"""),"The correct spelling is Alaramma not Alaramona and they beg us to correct it. ")</f>
        <v>The correct spelling is Alaramma not Alaramona and they beg us to correct it. </v>
      </c>
      <c r="AG427" s="4"/>
      <c r="AH427" s="4"/>
      <c r="AI427" s="4"/>
      <c r="AL427" s="4" t="str">
        <f t="shared" si="1"/>
        <v>Cluster 11</v>
      </c>
      <c r="AM427" s="4" t="str">
        <f t="shared" si="2"/>
        <v>LAYIN ALARAMONA STREET</v>
      </c>
    </row>
    <row r="428">
      <c r="A428" s="3">
        <f>IFERROR(__xludf.DUMMYFUNCTION("""COMPUTED_VALUE"""),45866.96692706019)</f>
        <v>45866.96693</v>
      </c>
      <c r="B428" s="4" t="str">
        <f>IFERROR(__xludf.DUMMYFUNCTION("""COMPUTED_VALUE"""),"iahmadzakari@gmail.com")</f>
        <v>iahmadzakari@gmail.com</v>
      </c>
      <c r="C428" s="4" t="str">
        <f>IFERROR(__xludf.DUMMYFUNCTION("""COMPUTED_VALUE"""),"Sadiq Ilu")</f>
        <v>Sadiq Ilu</v>
      </c>
      <c r="D428" s="4" t="str">
        <f>IFERROR(__xludf.DUMMYFUNCTION("""COMPUTED_VALUE"""),"Cluster 11")</f>
        <v>Cluster 11</v>
      </c>
      <c r="E428" s="4"/>
      <c r="F428" s="4"/>
      <c r="G428" s="4"/>
      <c r="H428" s="4" t="str">
        <f>IFERROR(__xludf.DUMMYFUNCTION("""COMPUTED_VALUE"""),"IBRAHIM KALA ROAD")</f>
        <v>IBRAHIM KALA ROAD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 t="str">
        <f>IFERROR(__xludf.DUMMYFUNCTION("""COMPUTED_VALUE"""),"Point 1")</f>
        <v>Point 1</v>
      </c>
      <c r="AC428" s="4">
        <f>IFERROR(__xludf.DUMMYFUNCTION("""COMPUTED_VALUE"""),11.988674)</f>
        <v>11.988674</v>
      </c>
      <c r="AD428" s="4">
        <f>IFERROR(__xludf.DUMMYFUNCTION("""COMPUTED_VALUE"""),8.56814)</f>
        <v>8.56814</v>
      </c>
      <c r="AE428" s="5" t="str">
        <f>IFERROR(__xludf.DUMMYFUNCTION("""COMPUTED_VALUE"""),"https://drive.google.com/open?id=1mExuyU2VNmXHzt3FOGL0_3QKQ2IIwl7r")</f>
        <v>https://drive.google.com/open?id=1mExuyU2VNmXHzt3FOGL0_3QKQ2IIwl7r</v>
      </c>
      <c r="AF428" s="4" t="str">
        <f>IFERROR(__xludf.DUMMYFUNCTION("""COMPUTED_VALUE"""),"The Correct spelling is Kalla not kala ")</f>
        <v>The Correct spelling is Kalla not kala </v>
      </c>
      <c r="AG428" s="4"/>
      <c r="AH428" s="4"/>
      <c r="AI428" s="4"/>
      <c r="AL428" s="4" t="str">
        <f t="shared" si="1"/>
        <v>Cluster 11</v>
      </c>
      <c r="AM428" s="4" t="str">
        <f t="shared" si="2"/>
        <v>IBRAHIM KALA ROAD</v>
      </c>
    </row>
    <row r="429">
      <c r="A429" s="3">
        <f>IFERROR(__xludf.DUMMYFUNCTION("""COMPUTED_VALUE"""),45866.96348039352)</f>
        <v>45866.96348</v>
      </c>
      <c r="B429" s="4" t="str">
        <f>IFERROR(__xludf.DUMMYFUNCTION("""COMPUTED_VALUE"""),"iahmadzakari@gmail.com")</f>
        <v>iahmadzakari@gmail.com</v>
      </c>
      <c r="C429" s="4" t="str">
        <f>IFERROR(__xludf.DUMMYFUNCTION("""COMPUTED_VALUE"""),"Sadiq Ilu")</f>
        <v>Sadiq Ilu</v>
      </c>
      <c r="D429" s="4" t="str">
        <f>IFERROR(__xludf.DUMMYFUNCTION("""COMPUTED_VALUE"""),"Cluster 11")</f>
        <v>Cluster 11</v>
      </c>
      <c r="E429" s="4"/>
      <c r="F429" s="4"/>
      <c r="G429" s="4"/>
      <c r="H429" s="4" t="str">
        <f>IFERROR(__xludf.DUMMYFUNCTION("""COMPUTED_VALUE"""),"IBRAHIM KALA ROAD")</f>
        <v>IBRAHIM KALA ROAD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 t="str">
        <f>IFERROR(__xludf.DUMMYFUNCTION("""COMPUTED_VALUE"""),"Point 2")</f>
        <v>Point 2</v>
      </c>
      <c r="AC429" s="4">
        <f>IFERROR(__xludf.DUMMYFUNCTION("""COMPUTED_VALUE"""),11.989458)</f>
        <v>11.989458</v>
      </c>
      <c r="AD429" s="4">
        <f>IFERROR(__xludf.DUMMYFUNCTION("""COMPUTED_VALUE"""),8.564653)</f>
        <v>8.564653</v>
      </c>
      <c r="AE429" s="5" t="str">
        <f>IFERROR(__xludf.DUMMYFUNCTION("""COMPUTED_VALUE"""),"https://drive.google.com/open?id=1c-C5DNnjBSKlZC1eiHlzkZK5rpAz54g-")</f>
        <v>https://drive.google.com/open?id=1c-C5DNnjBSKlZC1eiHlzkZK5rpAz54g-</v>
      </c>
      <c r="AF429" s="4"/>
      <c r="AG429" s="4"/>
      <c r="AH429" s="4"/>
      <c r="AI429" s="4"/>
      <c r="AL429" s="4" t="str">
        <f t="shared" si="1"/>
        <v>Cluster 11</v>
      </c>
      <c r="AM429" s="4" t="str">
        <f t="shared" si="2"/>
        <v>IBRAHIM KALA ROAD</v>
      </c>
    </row>
    <row r="430">
      <c r="A430" s="3">
        <f>IFERROR(__xludf.DUMMYFUNCTION("""COMPUTED_VALUE"""),45866.96135060185)</f>
        <v>45866.96135</v>
      </c>
      <c r="B430" s="4" t="str">
        <f>IFERROR(__xludf.DUMMYFUNCTION("""COMPUTED_VALUE"""),"iahmadzakari@gmail.com")</f>
        <v>iahmadzakari@gmail.com</v>
      </c>
      <c r="C430" s="4" t="str">
        <f>IFERROR(__xludf.DUMMYFUNCTION("""COMPUTED_VALUE"""),"Sadiq Ilu")</f>
        <v>Sadiq Ilu</v>
      </c>
      <c r="D430" s="4" t="str">
        <f>IFERROR(__xludf.DUMMYFUNCTION("""COMPUTED_VALUE"""),"Cluster 8")</f>
        <v>Cluster 8</v>
      </c>
      <c r="E430" s="4"/>
      <c r="F430" s="4"/>
      <c r="G430" s="4" t="str">
        <f>IFERROR(__xludf.DUMMYFUNCTION("""COMPUTED_VALUE"""),"WADA ALIYU ROAD")</f>
        <v>WADA ALIYU ROAD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 t="str">
        <f>IFERROR(__xludf.DUMMYFUNCTION("""COMPUTED_VALUE"""),"Point 2")</f>
        <v>Point 2</v>
      </c>
      <c r="AC430" s="4">
        <f>IFERROR(__xludf.DUMMYFUNCTION("""COMPUTED_VALUE"""),12.002562)</f>
        <v>12.002562</v>
      </c>
      <c r="AD430" s="4">
        <f>IFERROR(__xludf.DUMMYFUNCTION("""COMPUTED_VALUE"""),8.564036)</f>
        <v>8.564036</v>
      </c>
      <c r="AE430" s="5" t="str">
        <f>IFERROR(__xludf.DUMMYFUNCTION("""COMPUTED_VALUE"""),"https://drive.google.com/open?id=1jsJGH-ki4ODSRb92xjMz2RWVwFKL3NSI")</f>
        <v>https://drive.google.com/open?id=1jsJGH-ki4ODSRb92xjMz2RWVwFKL3NSI</v>
      </c>
      <c r="AF430" s="4"/>
      <c r="AG430" s="4"/>
      <c r="AH430" s="4"/>
      <c r="AI430" s="4"/>
      <c r="AL430" s="4" t="str">
        <f t="shared" si="1"/>
        <v>Cluster 8</v>
      </c>
      <c r="AM430" s="4" t="str">
        <f t="shared" si="2"/>
        <v>WADA ALIYU ROAD</v>
      </c>
    </row>
    <row r="431">
      <c r="A431" s="3">
        <f>IFERROR(__xludf.DUMMYFUNCTION("""COMPUTED_VALUE"""),45866.959790127316)</f>
        <v>45866.95979</v>
      </c>
      <c r="B431" s="4" t="str">
        <f>IFERROR(__xludf.DUMMYFUNCTION("""COMPUTED_VALUE"""),"iahmadzakari@gmail.com")</f>
        <v>iahmadzakari@gmail.com</v>
      </c>
      <c r="C431" s="4" t="str">
        <f>IFERROR(__xludf.DUMMYFUNCTION("""COMPUTED_VALUE"""),"Sadiq Ilu")</f>
        <v>Sadiq Ilu</v>
      </c>
      <c r="D431" s="4" t="str">
        <f>IFERROR(__xludf.DUMMYFUNCTION("""COMPUTED_VALUE"""),"Cluster 8")</f>
        <v>Cluster 8</v>
      </c>
      <c r="E431" s="4"/>
      <c r="F431" s="4"/>
      <c r="G431" s="4" t="str">
        <f>IFERROR(__xludf.DUMMYFUNCTION("""COMPUTED_VALUE"""),"WADA ALIYU ROAD")</f>
        <v>WADA ALIYU ROAD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 t="str">
        <f>IFERROR(__xludf.DUMMYFUNCTION("""COMPUTED_VALUE"""),"Point 1")</f>
        <v>Point 1</v>
      </c>
      <c r="AC431" s="4">
        <f>IFERROR(__xludf.DUMMYFUNCTION("""COMPUTED_VALUE"""),12.001628)</f>
        <v>12.001628</v>
      </c>
      <c r="AD431" s="4">
        <f>IFERROR(__xludf.DUMMYFUNCTION("""COMPUTED_VALUE"""),8.560989)</f>
        <v>8.560989</v>
      </c>
      <c r="AE431" s="5" t="str">
        <f>IFERROR(__xludf.DUMMYFUNCTION("""COMPUTED_VALUE"""),"https://drive.google.com/open?id=1aKGSCCeogYq8pmTu79MwJW2FtBctQMXB")</f>
        <v>https://drive.google.com/open?id=1aKGSCCeogYq8pmTu79MwJW2FtBctQMXB</v>
      </c>
      <c r="AF431" s="4"/>
      <c r="AG431" s="4"/>
      <c r="AH431" s="4"/>
      <c r="AI431" s="4"/>
      <c r="AL431" s="4" t="str">
        <f t="shared" si="1"/>
        <v>Cluster 8</v>
      </c>
      <c r="AM431" s="4" t="str">
        <f t="shared" si="2"/>
        <v>WADA ALIYU ROAD</v>
      </c>
    </row>
    <row r="432">
      <c r="A432" s="3">
        <f>IFERROR(__xludf.DUMMYFUNCTION("""COMPUTED_VALUE"""),45866.95815689815)</f>
        <v>45866.95816</v>
      </c>
      <c r="B432" s="4" t="str">
        <f>IFERROR(__xludf.DUMMYFUNCTION("""COMPUTED_VALUE"""),"iahmadzakari@gmail.com")</f>
        <v>iahmadzakari@gmail.com</v>
      </c>
      <c r="C432" s="4" t="str">
        <f>IFERROR(__xludf.DUMMYFUNCTION("""COMPUTED_VALUE"""),"Sadiq Ilu")</f>
        <v>Sadiq Ilu</v>
      </c>
      <c r="D432" s="4" t="str">
        <f>IFERROR(__xludf.DUMMYFUNCTION("""COMPUTED_VALUE"""),"Cluster 8")</f>
        <v>Cluster 8</v>
      </c>
      <c r="E432" s="4"/>
      <c r="F432" s="4"/>
      <c r="G432" s="4" t="str">
        <f>IFERROR(__xludf.DUMMYFUNCTION("""COMPUTED_VALUE"""),"IBRAHIM JOBE CRESCENT")</f>
        <v>IBRAHIM JOBE CRESCENT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 t="str">
        <f>IFERROR(__xludf.DUMMYFUNCTION("""COMPUTED_VALUE"""),"Point 1")</f>
        <v>Point 1</v>
      </c>
      <c r="AC432" s="4">
        <f>IFERROR(__xludf.DUMMYFUNCTION("""COMPUTED_VALUE"""),12.004426)</f>
        <v>12.004426</v>
      </c>
      <c r="AD432" s="4">
        <f>IFERROR(__xludf.DUMMYFUNCTION("""COMPUTED_VALUE"""),8.554717)</f>
        <v>8.554717</v>
      </c>
      <c r="AE432" s="5" t="str">
        <f>IFERROR(__xludf.DUMMYFUNCTION("""COMPUTED_VALUE"""),"https://drive.google.com/open?id=1p53d7MFVDUT_k3dHdUTh2obkpUoN3bvL")</f>
        <v>https://drive.google.com/open?id=1p53d7MFVDUT_k3dHdUTh2obkpUoN3bvL</v>
      </c>
      <c r="AF432" s="4"/>
      <c r="AG432" s="4"/>
      <c r="AH432" s="4"/>
      <c r="AI432" s="4"/>
      <c r="AL432" s="4" t="str">
        <f t="shared" si="1"/>
        <v>Cluster 8</v>
      </c>
      <c r="AM432" s="4" t="str">
        <f t="shared" si="2"/>
        <v>IBRAHIM JOBE CRESCENT</v>
      </c>
    </row>
    <row r="433">
      <c r="A433" s="3">
        <f>IFERROR(__xludf.DUMMYFUNCTION("""COMPUTED_VALUE"""),45866.957268680555)</f>
        <v>45866.95727</v>
      </c>
      <c r="B433" s="4" t="str">
        <f>IFERROR(__xludf.DUMMYFUNCTION("""COMPUTED_VALUE"""),"iahmadzakari@gmail.com")</f>
        <v>iahmadzakari@gmail.com</v>
      </c>
      <c r="C433" s="4" t="str">
        <f>IFERROR(__xludf.DUMMYFUNCTION("""COMPUTED_VALUE"""),"Sadiq Ilu")</f>
        <v>Sadiq Ilu</v>
      </c>
      <c r="D433" s="4" t="str">
        <f>IFERROR(__xludf.DUMMYFUNCTION("""COMPUTED_VALUE"""),"Cluster 8")</f>
        <v>Cluster 8</v>
      </c>
      <c r="E433" s="4"/>
      <c r="F433" s="4"/>
      <c r="G433" s="4" t="str">
        <f>IFERROR(__xludf.DUMMYFUNCTION("""COMPUTED_VALUE"""),"IBRAHIM JOBE CRESCENT")</f>
        <v>IBRAHIM JOBE CRESCENT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 t="str">
        <f>IFERROR(__xludf.DUMMYFUNCTION("""COMPUTED_VALUE"""),"Point 2")</f>
        <v>Point 2</v>
      </c>
      <c r="AC433" s="4">
        <f>IFERROR(__xludf.DUMMYFUNCTION("""COMPUTED_VALUE"""),12.004928)</f>
        <v>12.004928</v>
      </c>
      <c r="AD433" s="4">
        <f>IFERROR(__xludf.DUMMYFUNCTION("""COMPUTED_VALUE"""),8.556502)</f>
        <v>8.556502</v>
      </c>
      <c r="AE433" s="5" t="str">
        <f>IFERROR(__xludf.DUMMYFUNCTION("""COMPUTED_VALUE"""),"https://drive.google.com/open?id=10pruhDBUfEkFmBhx4I8peD_nGi_A-UVC")</f>
        <v>https://drive.google.com/open?id=10pruhDBUfEkFmBhx4I8peD_nGi_A-UVC</v>
      </c>
      <c r="AF433" s="4"/>
      <c r="AG433" s="4"/>
      <c r="AH433" s="4"/>
      <c r="AI433" s="4"/>
      <c r="AL433" s="4" t="str">
        <f t="shared" si="1"/>
        <v>Cluster 8</v>
      </c>
      <c r="AM433" s="4" t="str">
        <f t="shared" si="2"/>
        <v>IBRAHIM JOBE CRESCENT</v>
      </c>
    </row>
    <row r="434">
      <c r="A434" s="3">
        <f>IFERROR(__xludf.DUMMYFUNCTION("""COMPUTED_VALUE"""),45866.95467965278)</f>
        <v>45866.95468</v>
      </c>
      <c r="B434" s="4" t="str">
        <f>IFERROR(__xludf.DUMMYFUNCTION("""COMPUTED_VALUE"""),"iahmadzakari@gmail.com")</f>
        <v>iahmadzakari@gmail.com</v>
      </c>
      <c r="C434" s="4" t="str">
        <f>IFERROR(__xludf.DUMMYFUNCTION("""COMPUTED_VALUE"""),"Sadiq Ilu")</f>
        <v>Sadiq Ilu</v>
      </c>
      <c r="D434" s="4" t="str">
        <f>IFERROR(__xludf.DUMMYFUNCTION("""COMPUTED_VALUE"""),"Cluster 8")</f>
        <v>Cluster 8</v>
      </c>
      <c r="E434" s="4"/>
      <c r="F434" s="4"/>
      <c r="G434" s="4" t="str">
        <f>IFERROR(__xludf.DUMMYFUNCTION("""COMPUTED_VALUE"""),"GASHASH ROAD")</f>
        <v>GASHASH ROAD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 t="str">
        <f>IFERROR(__xludf.DUMMYFUNCTION("""COMPUTED_VALUE"""),"Point 2")</f>
        <v>Point 2</v>
      </c>
      <c r="AC434" s="4">
        <f>IFERROR(__xludf.DUMMYFUNCTION("""COMPUTED_VALUE"""),12.006753)</f>
        <v>12.006753</v>
      </c>
      <c r="AD434" s="4">
        <f>IFERROR(__xludf.DUMMYFUNCTION("""COMPUTED_VALUE"""),8.558437)</f>
        <v>8.558437</v>
      </c>
      <c r="AE434" s="5" t="str">
        <f>IFERROR(__xludf.DUMMYFUNCTION("""COMPUTED_VALUE"""),"https://drive.google.com/open?id=1o4QEv2bfTHiNn3kWTglY-kwNsFo-OS-P")</f>
        <v>https://drive.google.com/open?id=1o4QEv2bfTHiNn3kWTglY-kwNsFo-OS-P</v>
      </c>
      <c r="AF434" s="4"/>
      <c r="AG434" s="4"/>
      <c r="AH434" s="4"/>
      <c r="AI434" s="4"/>
      <c r="AL434" s="4" t="str">
        <f t="shared" si="1"/>
        <v>Cluster 8</v>
      </c>
      <c r="AM434" s="4" t="str">
        <f t="shared" si="2"/>
        <v>GASHASH ROAD</v>
      </c>
    </row>
    <row r="435">
      <c r="A435" s="3">
        <f>IFERROR(__xludf.DUMMYFUNCTION("""COMPUTED_VALUE"""),45866.58693666667)</f>
        <v>45866.58694</v>
      </c>
      <c r="B435" s="4" t="str">
        <f>IFERROR(__xludf.DUMMYFUNCTION("""COMPUTED_VALUE"""),"umrdalhatu@gmail.com")</f>
        <v>umrdalhatu@gmail.com</v>
      </c>
      <c r="C435" s="4" t="str">
        <f>IFERROR(__xludf.DUMMYFUNCTION("""COMPUTED_VALUE"""),"Umar Dalhatu")</f>
        <v>Umar Dalhatu</v>
      </c>
      <c r="D435" s="4"/>
      <c r="E435" s="4"/>
      <c r="F435" s="4"/>
      <c r="G435" s="4"/>
      <c r="H435" s="4"/>
      <c r="I435" s="4"/>
      <c r="J435" s="4" t="str">
        <f>IFERROR(__xludf.DUMMYFUNCTION("""COMPUTED_VALUE"""),"Cluster 1")</f>
        <v>Cluster 1</v>
      </c>
      <c r="K435" s="4" t="str">
        <f>IFERROR(__xludf.DUMMYFUNCTION("""COMPUTED_VALUE"""),"YALWAN DANZIAL LINK")</f>
        <v>YALWAN DANZIAL LINK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 t="str">
        <f>IFERROR(__xludf.DUMMYFUNCTION("""COMPUTED_VALUE"""),"Point 2")</f>
        <v>Point 2</v>
      </c>
      <c r="AC435" s="4">
        <f>IFERROR(__xludf.DUMMYFUNCTION("""COMPUTED_VALUE"""),11.99693043)</f>
        <v>11.99693043</v>
      </c>
      <c r="AD435" s="4">
        <f>IFERROR(__xludf.DUMMYFUNCTION("""COMPUTED_VALUE"""),8.542833036)</f>
        <v>8.542833036</v>
      </c>
      <c r="AE435" s="5" t="str">
        <f>IFERROR(__xludf.DUMMYFUNCTION("""COMPUTED_VALUE"""),"https://drive.google.com/open?id=1p8Ynpb_t5IMTRIxEQtFwvI1M2RdCPCYC")</f>
        <v>https://drive.google.com/open?id=1p8Ynpb_t5IMTRIxEQtFwvI1M2RdCPCYC</v>
      </c>
      <c r="AF435" s="4"/>
      <c r="AG435" s="4"/>
      <c r="AH435" s="4"/>
      <c r="AI435" s="4"/>
      <c r="AL435" s="4" t="str">
        <f t="shared" si="1"/>
        <v>Cluster 1</v>
      </c>
      <c r="AM435" s="4" t="str">
        <f t="shared" si="2"/>
        <v>YALWAN DANZIAL LINK</v>
      </c>
    </row>
    <row r="436">
      <c r="A436" s="3">
        <f>IFERROR(__xludf.DUMMYFUNCTION("""COMPUTED_VALUE"""),45866.58584436342)</f>
        <v>45866.58584</v>
      </c>
      <c r="B436" s="4" t="str">
        <f>IFERROR(__xludf.DUMMYFUNCTION("""COMPUTED_VALUE"""),"umrdalhatu@gmail.com")</f>
        <v>umrdalhatu@gmail.com</v>
      </c>
      <c r="C436" s="4" t="str">
        <f>IFERROR(__xludf.DUMMYFUNCTION("""COMPUTED_VALUE"""),"Umar Dalhatu")</f>
        <v>Umar Dalhatu</v>
      </c>
      <c r="D436" s="4"/>
      <c r="E436" s="4"/>
      <c r="F436" s="4"/>
      <c r="G436" s="4"/>
      <c r="H436" s="4"/>
      <c r="I436" s="4"/>
      <c r="J436" s="4" t="str">
        <f>IFERROR(__xludf.DUMMYFUNCTION("""COMPUTED_VALUE"""),"Cluster 1")</f>
        <v>Cluster 1</v>
      </c>
      <c r="K436" s="4" t="str">
        <f>IFERROR(__xludf.DUMMYFUNCTION("""COMPUTED_VALUE"""),"YALWAN DANZIAL LINK")</f>
        <v>YALWAN DANZIAL LINK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 t="str">
        <f>IFERROR(__xludf.DUMMYFUNCTION("""COMPUTED_VALUE"""),"Point 1")</f>
        <v>Point 1</v>
      </c>
      <c r="AC436" s="4">
        <f>IFERROR(__xludf.DUMMYFUNCTION("""COMPUTED_VALUE"""),11.99746656)</f>
        <v>11.99746656</v>
      </c>
      <c r="AD436" s="4">
        <f>IFERROR(__xludf.DUMMYFUNCTION("""COMPUTED_VALUE"""),8.540946994)</f>
        <v>8.540946994</v>
      </c>
      <c r="AE436" s="5" t="str">
        <f>IFERROR(__xludf.DUMMYFUNCTION("""COMPUTED_VALUE"""),"https://drive.google.com/open?id=1k8C9GlEPjJe4FnbCCU2NQuFtnseWj2_n")</f>
        <v>https://drive.google.com/open?id=1k8C9GlEPjJe4FnbCCU2NQuFtnseWj2_n</v>
      </c>
      <c r="AF436" s="4"/>
      <c r="AG436" s="4"/>
      <c r="AH436" s="4"/>
      <c r="AI436" s="4"/>
      <c r="AL436" s="4" t="str">
        <f t="shared" si="1"/>
        <v>Cluster 1</v>
      </c>
      <c r="AM436" s="4" t="str">
        <f t="shared" si="2"/>
        <v>YALWAN DANZIAL LINK</v>
      </c>
    </row>
    <row r="437">
      <c r="A437" s="3">
        <f>IFERROR(__xludf.DUMMYFUNCTION("""COMPUTED_VALUE"""),45866.58189361111)</f>
        <v>45866.58189</v>
      </c>
      <c r="B437" s="4" t="str">
        <f>IFERROR(__xludf.DUMMYFUNCTION("""COMPUTED_VALUE"""),"umrdalhatu@gmail.com")</f>
        <v>umrdalhatu@gmail.com</v>
      </c>
      <c r="C437" s="4" t="str">
        <f>IFERROR(__xludf.DUMMYFUNCTION("""COMPUTED_VALUE"""),"Umar Dalhatu")</f>
        <v>Umar Dalhatu</v>
      </c>
      <c r="D437" s="4"/>
      <c r="E437" s="4"/>
      <c r="F437" s="4"/>
      <c r="G437" s="4"/>
      <c r="H437" s="4"/>
      <c r="I437" s="4"/>
      <c r="J437" s="4" t="str">
        <f>IFERROR(__xludf.DUMMYFUNCTION("""COMPUTED_VALUE"""),"Cluster 1")</f>
        <v>Cluster 1</v>
      </c>
      <c r="K437" s="4" t="str">
        <f>IFERROR(__xludf.DUMMYFUNCTION("""COMPUTED_VALUE"""),"ABBA HABIB LINK")</f>
        <v>ABBA HABIB LINK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 t="str">
        <f>IFERROR(__xludf.DUMMYFUNCTION("""COMPUTED_VALUE"""),"Point 1")</f>
        <v>Point 1</v>
      </c>
      <c r="AC437" s="4">
        <f>IFERROR(__xludf.DUMMYFUNCTION("""COMPUTED_VALUE"""),11.99415762)</f>
        <v>11.99415762</v>
      </c>
      <c r="AD437" s="4">
        <f>IFERROR(__xludf.DUMMYFUNCTION("""COMPUTED_VALUE"""),8.543105102)</f>
        <v>8.543105102</v>
      </c>
      <c r="AE437" s="5" t="str">
        <f>IFERROR(__xludf.DUMMYFUNCTION("""COMPUTED_VALUE"""),"https://drive.google.com/open?id=1AzCWCDz3ArghW9Cs_bb7XCXlth4TjK2g")</f>
        <v>https://drive.google.com/open?id=1AzCWCDz3ArghW9Cs_bb7XCXlth4TjK2g</v>
      </c>
      <c r="AF437" s="4"/>
      <c r="AG437" s="4"/>
      <c r="AH437" s="4"/>
      <c r="AI437" s="4"/>
      <c r="AL437" s="4" t="str">
        <f t="shared" si="1"/>
        <v>Cluster 1</v>
      </c>
      <c r="AM437" s="4" t="str">
        <f t="shared" si="2"/>
        <v>ABBA HABIB LINKADAMU JOJI ROAD</v>
      </c>
    </row>
    <row r="438">
      <c r="A438" s="3">
        <f>IFERROR(__xludf.DUMMYFUNCTION("""COMPUTED_VALUE"""),45865.926708900464)</f>
        <v>45865.92671</v>
      </c>
      <c r="B438" s="4" t="str">
        <f>IFERROR(__xludf.DUMMYFUNCTION("""COMPUTED_VALUE"""),"umrdalhatu@gmail.com")</f>
        <v>umrdalhatu@gmail.com</v>
      </c>
      <c r="C438" s="4" t="str">
        <f>IFERROR(__xludf.DUMMYFUNCTION("""COMPUTED_VALUE"""),"Umar Dalhatu")</f>
        <v>Umar Dalhatu</v>
      </c>
      <c r="D438" s="4"/>
      <c r="E438" s="4"/>
      <c r="F438" s="4"/>
      <c r="G438" s="4"/>
      <c r="H438" s="4"/>
      <c r="I438" s="4"/>
      <c r="J438" s="4" t="str">
        <f>IFERROR(__xludf.DUMMYFUNCTION("""COMPUTED_VALUE"""),"Cluster 1")</f>
        <v>Cluster 1</v>
      </c>
      <c r="K438" s="4" t="str">
        <f>IFERROR(__xludf.DUMMYFUNCTION("""COMPUTED_VALUE"""),"MUSA Y MAI KIFI AVENUE")</f>
        <v>MUSA Y MAI KIFI AVENUE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 t="str">
        <f>IFERROR(__xludf.DUMMYFUNCTION("""COMPUTED_VALUE"""),"Point 2")</f>
        <v>Point 2</v>
      </c>
      <c r="AC438" s="4">
        <f>IFERROR(__xludf.DUMMYFUNCTION("""COMPUTED_VALUE"""),11.99746656)</f>
        <v>11.99746656</v>
      </c>
      <c r="AD438" s="4">
        <f>IFERROR(__xludf.DUMMYFUNCTION("""COMPUTED_VALUE"""),8.540946994)</f>
        <v>8.540946994</v>
      </c>
      <c r="AE438" s="5" t="str">
        <f>IFERROR(__xludf.DUMMYFUNCTION("""COMPUTED_VALUE"""),"https://drive.google.com/open?id=1I0VJZVYoZ9fJmdQgjXbFvcAtEo-xBjfZ")</f>
        <v>https://drive.google.com/open?id=1I0VJZVYoZ9fJmdQgjXbFvcAtEo-xBjfZ</v>
      </c>
      <c r="AF438" s="4"/>
      <c r="AG438" s="4"/>
      <c r="AH438" s="4"/>
      <c r="AI438" s="4"/>
      <c r="AL438" s="4" t="str">
        <f t="shared" si="1"/>
        <v>Cluster 1</v>
      </c>
      <c r="AM438" s="4" t="str">
        <f t="shared" si="2"/>
        <v>MUSA Y MAI KIFI AVENUEADAMU JOJI ROAD</v>
      </c>
    </row>
    <row r="439">
      <c r="A439" s="3">
        <f>IFERROR(__xludf.DUMMYFUNCTION("""COMPUTED_VALUE"""),45865.92545519676)</f>
        <v>45865.92546</v>
      </c>
      <c r="B439" s="4" t="str">
        <f>IFERROR(__xludf.DUMMYFUNCTION("""COMPUTED_VALUE"""),"umrdalhatu@gmail.com")</f>
        <v>umrdalhatu@gmail.com</v>
      </c>
      <c r="C439" s="4" t="str">
        <f>IFERROR(__xludf.DUMMYFUNCTION("""COMPUTED_VALUE"""),"Umar Dalhatu")</f>
        <v>Umar Dalhatu</v>
      </c>
      <c r="D439" s="4"/>
      <c r="E439" s="4"/>
      <c r="F439" s="4"/>
      <c r="G439" s="4"/>
      <c r="H439" s="4"/>
      <c r="I439" s="4"/>
      <c r="J439" s="4" t="str">
        <f>IFERROR(__xludf.DUMMYFUNCTION("""COMPUTED_VALUE"""),"Cluster 1")</f>
        <v>Cluster 1</v>
      </c>
      <c r="K439" s="4" t="str">
        <f>IFERROR(__xludf.DUMMYFUNCTION("""COMPUTED_VALUE"""),"MUSA Y MAI KIFI AVENUE")</f>
        <v>MUSA Y MAI KIFI AVENUE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 t="str">
        <f>IFERROR(__xludf.DUMMYFUNCTION("""COMPUTED_VALUE"""),"Point 1")</f>
        <v>Point 1</v>
      </c>
      <c r="AC439" s="4">
        <f>IFERROR(__xludf.DUMMYFUNCTION("""COMPUTED_VALUE"""),11.99553865)</f>
        <v>11.99553865</v>
      </c>
      <c r="AD439" s="4">
        <f>IFERROR(__xludf.DUMMYFUNCTION("""COMPUTED_VALUE"""),8.540472645)</f>
        <v>8.540472645</v>
      </c>
      <c r="AE439" s="5" t="str">
        <f>IFERROR(__xludf.DUMMYFUNCTION("""COMPUTED_VALUE"""),"https://drive.google.com/open?id=1bHAr0CNMx4O_vKkG6Nr1kqjBYdirJ55m")</f>
        <v>https://drive.google.com/open?id=1bHAr0CNMx4O_vKkG6Nr1kqjBYdirJ55m</v>
      </c>
      <c r="AF439" s="4"/>
      <c r="AG439" s="4"/>
      <c r="AH439" s="4"/>
      <c r="AI439" s="4"/>
      <c r="AL439" s="4" t="str">
        <f t="shared" si="1"/>
        <v>Cluster 1</v>
      </c>
      <c r="AM439" s="4" t="str">
        <f t="shared" si="2"/>
        <v>MUSA Y MAI KIFI AVENUEJABBO ROAD</v>
      </c>
    </row>
    <row r="440">
      <c r="A440" s="3">
        <f>IFERROR(__xludf.DUMMYFUNCTION("""COMPUTED_VALUE"""),45865.92233290509)</f>
        <v>45865.92233</v>
      </c>
      <c r="B440" s="4" t="str">
        <f>IFERROR(__xludf.DUMMYFUNCTION("""COMPUTED_VALUE"""),"umrdalhatu@gmail.com")</f>
        <v>umrdalhatu@gmail.com</v>
      </c>
      <c r="C440" s="4" t="str">
        <f>IFERROR(__xludf.DUMMYFUNCTION("""COMPUTED_VALUE"""),"Umar Dalhatu")</f>
        <v>Umar Dalhatu</v>
      </c>
      <c r="D440" s="4"/>
      <c r="E440" s="4"/>
      <c r="F440" s="4"/>
      <c r="G440" s="4"/>
      <c r="H440" s="4"/>
      <c r="I440" s="4"/>
      <c r="J440" s="4" t="str">
        <f>IFERROR(__xludf.DUMMYFUNCTION("""COMPUTED_VALUE"""),"Cluster 1")</f>
        <v>Cluster 1</v>
      </c>
      <c r="K440" s="4" t="str">
        <f>IFERROR(__xludf.DUMMYFUNCTION("""COMPUTED_VALUE"""),"IDRIS UMAR ROAD")</f>
        <v>IDRIS UMAR ROAD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 t="str">
        <f>IFERROR(__xludf.DUMMYFUNCTION("""COMPUTED_VALUE"""),"Point 2")</f>
        <v>Point 2</v>
      </c>
      <c r="AC440" s="4">
        <f>IFERROR(__xludf.DUMMYFUNCTION("""COMPUTED_VALUE"""),11.99123462)</f>
        <v>11.99123462</v>
      </c>
      <c r="AD440" s="4">
        <f>IFERROR(__xludf.DUMMYFUNCTION("""COMPUTED_VALUE"""),8.539406721)</f>
        <v>8.539406721</v>
      </c>
      <c r="AE440" s="5" t="str">
        <f>IFERROR(__xludf.DUMMYFUNCTION("""COMPUTED_VALUE"""),"https://drive.google.com/open?id=1Hb_egPKv7nzAx7eFb4xTdxM3eyndNnm5")</f>
        <v>https://drive.google.com/open?id=1Hb_egPKv7nzAx7eFb4xTdxM3eyndNnm5</v>
      </c>
      <c r="AF440" s="4"/>
      <c r="AG440" s="4"/>
      <c r="AH440" s="4"/>
      <c r="AI440" s="4"/>
      <c r="AL440" s="4" t="str">
        <f t="shared" si="1"/>
        <v>Cluster 1</v>
      </c>
      <c r="AM440" s="4" t="str">
        <f t="shared" si="2"/>
        <v>IDRIS UMAR ROADJABBO ROAD</v>
      </c>
    </row>
    <row r="441">
      <c r="A441" s="3">
        <f>IFERROR(__xludf.DUMMYFUNCTION("""COMPUTED_VALUE"""),45865.920678738425)</f>
        <v>45865.92068</v>
      </c>
      <c r="B441" s="4" t="str">
        <f>IFERROR(__xludf.DUMMYFUNCTION("""COMPUTED_VALUE"""),"umrdalhatu@gmail.com")</f>
        <v>umrdalhatu@gmail.com</v>
      </c>
      <c r="C441" s="4" t="str">
        <f>IFERROR(__xludf.DUMMYFUNCTION("""COMPUTED_VALUE"""),"Umar Dalhatu")</f>
        <v>Umar Dalhatu</v>
      </c>
      <c r="D441" s="4"/>
      <c r="E441" s="4"/>
      <c r="F441" s="4"/>
      <c r="G441" s="4"/>
      <c r="H441" s="4"/>
      <c r="I441" s="4"/>
      <c r="J441" s="4" t="str">
        <f>IFERROR(__xludf.DUMMYFUNCTION("""COMPUTED_VALUE"""),"Cluster 1")</f>
        <v>Cluster 1</v>
      </c>
      <c r="K441" s="4" t="str">
        <f>IFERROR(__xludf.DUMMYFUNCTION("""COMPUTED_VALUE"""),"IDRIS UMAR ROAD")</f>
        <v>IDRIS UMAR ROAD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 t="str">
        <f>IFERROR(__xludf.DUMMYFUNCTION("""COMPUTED_VALUE"""),"Point 1")</f>
        <v>Point 1</v>
      </c>
      <c r="AC441" s="4">
        <f>IFERROR(__xludf.DUMMYFUNCTION("""COMPUTED_VALUE"""),11.99211091)</f>
        <v>11.99211091</v>
      </c>
      <c r="AD441" s="4">
        <f>IFERROR(__xludf.DUMMYFUNCTION("""COMPUTED_VALUE"""),8.542411463)</f>
        <v>8.542411463</v>
      </c>
      <c r="AE441" s="5" t="str">
        <f>IFERROR(__xludf.DUMMYFUNCTION("""COMPUTED_VALUE"""),"https://drive.google.com/open?id=1dNdte3VTmh_bqMni7t0EtxXByauGIUri")</f>
        <v>https://drive.google.com/open?id=1dNdte3VTmh_bqMni7t0EtxXByauGIUri</v>
      </c>
      <c r="AF441" s="4"/>
      <c r="AG441" s="4"/>
      <c r="AH441" s="4"/>
      <c r="AI441" s="4"/>
      <c r="AL441" s="4" t="str">
        <f t="shared" si="1"/>
        <v>Cluster 1</v>
      </c>
      <c r="AM441" s="4" t="str">
        <f t="shared" si="2"/>
        <v>IDRIS UMAR ROADSARDAUNA HABIB AVENUE</v>
      </c>
    </row>
    <row r="442">
      <c r="A442" s="3">
        <f>IFERROR(__xludf.DUMMYFUNCTION("""COMPUTED_VALUE"""),45865.91880402778)</f>
        <v>45865.9188</v>
      </c>
      <c r="B442" s="4" t="str">
        <f>IFERROR(__xludf.DUMMYFUNCTION("""COMPUTED_VALUE"""),"umrdalhatu@gmail.com")</f>
        <v>umrdalhatu@gmail.com</v>
      </c>
      <c r="C442" s="4" t="str">
        <f>IFERROR(__xludf.DUMMYFUNCTION("""COMPUTED_VALUE"""),"Umar Dalhatu")</f>
        <v>Umar Dalhatu</v>
      </c>
      <c r="D442" s="4"/>
      <c r="E442" s="4"/>
      <c r="F442" s="4"/>
      <c r="G442" s="4"/>
      <c r="H442" s="4"/>
      <c r="I442" s="4"/>
      <c r="J442" s="4" t="str">
        <f>IFERROR(__xludf.DUMMYFUNCTION("""COMPUTED_VALUE"""),"Cluster 1")</f>
        <v>Cluster 1</v>
      </c>
      <c r="K442" s="4" t="str">
        <f>IFERROR(__xludf.DUMMYFUNCTION("""COMPUTED_VALUE"""),"UMAR SANUSI STREET")</f>
        <v>UMAR SANUSI STREET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 t="str">
        <f>IFERROR(__xludf.DUMMYFUNCTION("""COMPUTED_VALUE"""),"Point 2")</f>
        <v>Point 2</v>
      </c>
      <c r="AC442" s="4">
        <f>IFERROR(__xludf.DUMMYFUNCTION("""COMPUTED_VALUE"""),12.007548)</f>
        <v>12.007548</v>
      </c>
      <c r="AD442" s="4">
        <f>IFERROR(__xludf.DUMMYFUNCTION("""COMPUTED_VALUE"""),8.542428)</f>
        <v>8.542428</v>
      </c>
      <c r="AE442" s="5" t="str">
        <f>IFERROR(__xludf.DUMMYFUNCTION("""COMPUTED_VALUE"""),"https://drive.google.com/open?id=1aTWZIxPhkv5VvQNGZEmDOklFR-Nr5Uzg")</f>
        <v>https://drive.google.com/open?id=1aTWZIxPhkv5VvQNGZEmDOklFR-Nr5Uzg</v>
      </c>
      <c r="AF442" s="4"/>
      <c r="AG442" s="4"/>
      <c r="AH442" s="4"/>
      <c r="AI442" s="4"/>
      <c r="AL442" s="4" t="str">
        <f t="shared" si="1"/>
        <v>Cluster 1</v>
      </c>
      <c r="AM442" s="4" t="str">
        <f t="shared" si="2"/>
        <v>UMAR SANUSI STREETSARDAUNA HABIB AVENUE</v>
      </c>
    </row>
    <row r="443">
      <c r="A443" s="3">
        <f>IFERROR(__xludf.DUMMYFUNCTION("""COMPUTED_VALUE"""),45865.91771653935)</f>
        <v>45865.91772</v>
      </c>
      <c r="B443" s="4" t="str">
        <f>IFERROR(__xludf.DUMMYFUNCTION("""COMPUTED_VALUE"""),"umrdalhatu@gmail.com")</f>
        <v>umrdalhatu@gmail.com</v>
      </c>
      <c r="C443" s="4" t="str">
        <f>IFERROR(__xludf.DUMMYFUNCTION("""COMPUTED_VALUE"""),"Umar Dalhatu")</f>
        <v>Umar Dalhatu</v>
      </c>
      <c r="D443" s="4"/>
      <c r="E443" s="4"/>
      <c r="F443" s="4"/>
      <c r="G443" s="4"/>
      <c r="H443" s="4"/>
      <c r="I443" s="4"/>
      <c r="J443" s="4" t="str">
        <f>IFERROR(__xludf.DUMMYFUNCTION("""COMPUTED_VALUE"""),"Cluster 1")</f>
        <v>Cluster 1</v>
      </c>
      <c r="K443" s="4" t="str">
        <f>IFERROR(__xludf.DUMMYFUNCTION("""COMPUTED_VALUE"""),"UMAR SANUSI STREET")</f>
        <v>UMAR SANUSI STREET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 t="str">
        <f>IFERROR(__xludf.DUMMYFUNCTION("""COMPUTED_VALUE"""),"Point 1")</f>
        <v>Point 1</v>
      </c>
      <c r="AC443" s="4">
        <f>IFERROR(__xludf.DUMMYFUNCTION("""COMPUTED_VALUE"""),11.99629375)</f>
        <v>11.99629375</v>
      </c>
      <c r="AD443" s="4">
        <f>IFERROR(__xludf.DUMMYFUNCTION("""COMPUTED_VALUE"""),8.542561916)</f>
        <v>8.542561916</v>
      </c>
      <c r="AE443" s="5" t="str">
        <f>IFERROR(__xludf.DUMMYFUNCTION("""COMPUTED_VALUE"""),"https://drive.google.com/open?id=1H1BQz775luh1uQDnWN_qF8Pc5JW9YdVR")</f>
        <v>https://drive.google.com/open?id=1H1BQz775luh1uQDnWN_qF8Pc5JW9YdVR</v>
      </c>
      <c r="AF443" s="4"/>
      <c r="AG443" s="4"/>
      <c r="AH443" s="4"/>
      <c r="AI443" s="4"/>
      <c r="AL443" s="4" t="str">
        <f t="shared" si="1"/>
        <v>Cluster 1</v>
      </c>
      <c r="AM443" s="4" t="str">
        <f t="shared" si="2"/>
        <v>UMAR SANUSI STREETSULTAN ROAD</v>
      </c>
    </row>
    <row r="444">
      <c r="A444" s="3">
        <f>IFERROR(__xludf.DUMMYFUNCTION("""COMPUTED_VALUE"""),45865.725588009256)</f>
        <v>45865.72559</v>
      </c>
      <c r="B444" s="4" t="str">
        <f>IFERROR(__xludf.DUMMYFUNCTION("""COMPUTED_VALUE"""),"ajisadiqdala@gmail.com")</f>
        <v>ajisadiqdala@gmail.com</v>
      </c>
      <c r="C444" s="4" t="str">
        <f>IFERROR(__xludf.DUMMYFUNCTION("""COMPUTED_VALUE"""),"Sadiq Dala")</f>
        <v>Sadiq Dala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 t="str">
        <f>IFERROR(__xludf.DUMMYFUNCTION("""COMPUTED_VALUE"""),"Cluster 12")</f>
        <v>Cluster 12</v>
      </c>
      <c r="W444" s="4"/>
      <c r="X444" s="4"/>
      <c r="Y444" s="4"/>
      <c r="Z444" s="4" t="str">
        <f>IFERROR(__xludf.DUMMYFUNCTION("""COMPUTED_VALUE"""),"BABURA ROAD")</f>
        <v>BABURA ROAD</v>
      </c>
      <c r="AA444" s="4"/>
      <c r="AB444" s="4" t="str">
        <f>IFERROR(__xludf.DUMMYFUNCTION("""COMPUTED_VALUE"""),"Point 2")</f>
        <v>Point 2</v>
      </c>
      <c r="AC444" s="4">
        <f>IFERROR(__xludf.DUMMYFUNCTION("""COMPUTED_VALUE"""),11.98983086)</f>
        <v>11.98983086</v>
      </c>
      <c r="AD444" s="4">
        <f>IFERROR(__xludf.DUMMYFUNCTION("""COMPUTED_VALUE"""),8.544421984)</f>
        <v>8.544421984</v>
      </c>
      <c r="AE444" s="5" t="str">
        <f>IFERROR(__xludf.DUMMYFUNCTION("""COMPUTED_VALUE"""),"https://drive.google.com/open?id=1KOsYvSQg7llZrpZv89cQZY2QhO6eEf8e")</f>
        <v>https://drive.google.com/open?id=1KOsYvSQg7llZrpZv89cQZY2QhO6eEf8e</v>
      </c>
      <c r="AF444" s="4"/>
      <c r="AG444" s="4"/>
      <c r="AH444" s="4"/>
      <c r="AI444" s="4"/>
      <c r="AL444" s="4" t="str">
        <f t="shared" si="1"/>
        <v>Cluster 12</v>
      </c>
      <c r="AM444" s="4" t="str">
        <f t="shared" si="2"/>
        <v>BABURA ROADIBRAHIM GODI STREET</v>
      </c>
    </row>
    <row r="445">
      <c r="A445" s="3">
        <f>IFERROR(__xludf.DUMMYFUNCTION("""COMPUTED_VALUE"""),45865.72427605324)</f>
        <v>45865.72428</v>
      </c>
      <c r="B445" s="4" t="str">
        <f>IFERROR(__xludf.DUMMYFUNCTION("""COMPUTED_VALUE"""),"ajisadiqdala@gmail.com")</f>
        <v>ajisadiqdala@gmail.com</v>
      </c>
      <c r="C445" s="4" t="str">
        <f>IFERROR(__xludf.DUMMYFUNCTION("""COMPUTED_VALUE"""),"Sadiq Dala")</f>
        <v>Sadiq Dala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 t="str">
        <f>IFERROR(__xludf.DUMMYFUNCTION("""COMPUTED_VALUE"""),"Cluster 12")</f>
        <v>Cluster 12</v>
      </c>
      <c r="W445" s="4"/>
      <c r="X445" s="4"/>
      <c r="Y445" s="4"/>
      <c r="Z445" s="4" t="str">
        <f>IFERROR(__xludf.DUMMYFUNCTION("""COMPUTED_VALUE"""),"BABURA ROAD")</f>
        <v>BABURA ROAD</v>
      </c>
      <c r="AA445" s="4"/>
      <c r="AB445" s="4" t="str">
        <f>IFERROR(__xludf.DUMMYFUNCTION("""COMPUTED_VALUE"""),"Point 1")</f>
        <v>Point 1</v>
      </c>
      <c r="AC445" s="4">
        <f>IFERROR(__xludf.DUMMYFUNCTION("""COMPUTED_VALUE"""),11.99044878)</f>
        <v>11.99044878</v>
      </c>
      <c r="AD445" s="4">
        <f>IFERROR(__xludf.DUMMYFUNCTION("""COMPUTED_VALUE"""),8.541678079)</f>
        <v>8.541678079</v>
      </c>
      <c r="AE445" s="5" t="str">
        <f>IFERROR(__xludf.DUMMYFUNCTION("""COMPUTED_VALUE"""),"https://drive.google.com/open?id=1er5sNljouQo71bScvQXzOaIgnVdFSDjl")</f>
        <v>https://drive.google.com/open?id=1er5sNljouQo71bScvQXzOaIgnVdFSDjl</v>
      </c>
      <c r="AF445" s="4"/>
      <c r="AG445" s="4"/>
      <c r="AH445" s="4"/>
      <c r="AI445" s="4"/>
      <c r="AL445" s="4" t="str">
        <f t="shared" si="1"/>
        <v>Cluster 12</v>
      </c>
      <c r="AM445" s="4" t="str">
        <f t="shared" si="2"/>
        <v>BABURA ROADIBRAHIM GODI STREET</v>
      </c>
    </row>
    <row r="446">
      <c r="A446" s="3">
        <f>IFERROR(__xludf.DUMMYFUNCTION("""COMPUTED_VALUE"""),45865.71966888889)</f>
        <v>45865.71967</v>
      </c>
      <c r="B446" s="4" t="str">
        <f>IFERROR(__xludf.DUMMYFUNCTION("""COMPUTED_VALUE"""),"ajisadiqdala@gmail.com")</f>
        <v>ajisadiqdala@gmail.com</v>
      </c>
      <c r="C446" s="4" t="str">
        <f>IFERROR(__xludf.DUMMYFUNCTION("""COMPUTED_VALUE"""),"Sadiq Dala")</f>
        <v>Sadiq Dala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 t="str">
        <f>IFERROR(__xludf.DUMMYFUNCTION("""COMPUTED_VALUE"""),"Cluster 12")</f>
        <v>Cluster 12</v>
      </c>
      <c r="W446" s="4"/>
      <c r="X446" s="4"/>
      <c r="Y446" s="4"/>
      <c r="Z446" s="4" t="str">
        <f>IFERROR(__xludf.DUMMYFUNCTION("""COMPUTED_VALUE"""),"LUGARD AVENUE")</f>
        <v>LUGARD AVENUE</v>
      </c>
      <c r="AA446" s="4"/>
      <c r="AB446" s="4" t="str">
        <f>IFERROR(__xludf.DUMMYFUNCTION("""COMPUTED_VALUE"""),"Point 2")</f>
        <v>Point 2</v>
      </c>
      <c r="AC446" s="4">
        <f>IFERROR(__xludf.DUMMYFUNCTION("""COMPUTED_VALUE"""),11.98631)</f>
        <v>11.98631</v>
      </c>
      <c r="AD446" s="4">
        <f>IFERROR(__xludf.DUMMYFUNCTION("""COMPUTED_VALUE"""),8.551113)</f>
        <v>8.551113</v>
      </c>
      <c r="AE446" s="5" t="str">
        <f>IFERROR(__xludf.DUMMYFUNCTION("""COMPUTED_VALUE"""),"https://drive.google.com/open?id=1rnotVbE_r8ec8iPN6uXX_PuWw5OwFmYT")</f>
        <v>https://drive.google.com/open?id=1rnotVbE_r8ec8iPN6uXX_PuWw5OwFmYT</v>
      </c>
      <c r="AF446" s="4"/>
      <c r="AG446" s="4"/>
      <c r="AH446" s="4"/>
      <c r="AI446" s="4"/>
      <c r="AL446" s="4" t="str">
        <f t="shared" si="1"/>
        <v>Cluster 12</v>
      </c>
      <c r="AM446" s="4" t="str">
        <f t="shared" si="2"/>
        <v>LUGARD AVENUEDAUDA BIRMA STREET</v>
      </c>
    </row>
    <row r="447">
      <c r="A447" s="3">
        <f>IFERROR(__xludf.DUMMYFUNCTION("""COMPUTED_VALUE"""),45865.718445)</f>
        <v>45865.71845</v>
      </c>
      <c r="B447" s="4" t="str">
        <f>IFERROR(__xludf.DUMMYFUNCTION("""COMPUTED_VALUE"""),"ajisadiqdala@gmail.com")</f>
        <v>ajisadiqdala@gmail.com</v>
      </c>
      <c r="C447" s="4" t="str">
        <f>IFERROR(__xludf.DUMMYFUNCTION("""COMPUTED_VALUE"""),"Sadiq Dala")</f>
        <v>Sadiq Dala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 t="str">
        <f>IFERROR(__xludf.DUMMYFUNCTION("""COMPUTED_VALUE"""),"Cluster 12")</f>
        <v>Cluster 12</v>
      </c>
      <c r="W447" s="4"/>
      <c r="X447" s="4"/>
      <c r="Y447" s="4"/>
      <c r="Z447" s="4" t="str">
        <f>IFERROR(__xludf.DUMMYFUNCTION("""COMPUTED_VALUE"""),"LUGARD AVENUE")</f>
        <v>LUGARD AVENUE</v>
      </c>
      <c r="AA447" s="4"/>
      <c r="AB447" s="4" t="str">
        <f>IFERROR(__xludf.DUMMYFUNCTION("""COMPUTED_VALUE"""),"Point 1")</f>
        <v>Point 1</v>
      </c>
      <c r="AC447" s="4">
        <f>IFERROR(__xludf.DUMMYFUNCTION("""COMPUTED_VALUE"""),11.9890317)</f>
        <v>11.9890317</v>
      </c>
      <c r="AD447" s="4">
        <f>IFERROR(__xludf.DUMMYFUNCTION("""COMPUTED_VALUE"""),8.546970999)</f>
        <v>8.546970999</v>
      </c>
      <c r="AE447" s="5" t="str">
        <f>IFERROR(__xludf.DUMMYFUNCTION("""COMPUTED_VALUE"""),"https://drive.google.com/open?id=1shDrGK5eJ9l78zTUQJlK-bTJoPNhvCkd")</f>
        <v>https://drive.google.com/open?id=1shDrGK5eJ9l78zTUQJlK-bTJoPNhvCkd</v>
      </c>
      <c r="AF447" s="4"/>
      <c r="AG447" s="4"/>
      <c r="AH447" s="4"/>
      <c r="AI447" s="4"/>
      <c r="AL447" s="4" t="str">
        <f t="shared" si="1"/>
        <v>Cluster 12</v>
      </c>
      <c r="AM447" s="4" t="str">
        <f t="shared" si="2"/>
        <v>LUGARD AVENUEDAUDA BIRMA STREET</v>
      </c>
    </row>
    <row r="448">
      <c r="A448" s="3">
        <f>IFERROR(__xludf.DUMMYFUNCTION("""COMPUTED_VALUE"""),45865.716129328706)</f>
        <v>45865.71613</v>
      </c>
      <c r="B448" s="4" t="str">
        <f>IFERROR(__xludf.DUMMYFUNCTION("""COMPUTED_VALUE"""),"ajisadiqdala@gmail.com")</f>
        <v>ajisadiqdala@gmail.com</v>
      </c>
      <c r="C448" s="4" t="str">
        <f>IFERROR(__xludf.DUMMYFUNCTION("""COMPUTED_VALUE"""),"Sadiq Dala")</f>
        <v>Sadiq Dala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 t="str">
        <f>IFERROR(__xludf.DUMMYFUNCTION("""COMPUTED_VALUE"""),"Cluster 12")</f>
        <v>Cluster 12</v>
      </c>
      <c r="W448" s="4"/>
      <c r="X448" s="4"/>
      <c r="Y448" s="4"/>
      <c r="Z448" s="4" t="str">
        <f>IFERROR(__xludf.DUMMYFUNCTION("""COMPUTED_VALUE"""),"YANDUTSE ROAD")</f>
        <v>YANDUTSE ROAD</v>
      </c>
      <c r="AA448" s="4"/>
      <c r="AB448" s="4" t="str">
        <f>IFERROR(__xludf.DUMMYFUNCTION("""COMPUTED_VALUE"""),"Point 2")</f>
        <v>Point 2</v>
      </c>
      <c r="AC448" s="4">
        <f>IFERROR(__xludf.DUMMYFUNCTION("""COMPUTED_VALUE"""),11.9890317)</f>
        <v>11.9890317</v>
      </c>
      <c r="AD448" s="4">
        <f>IFERROR(__xludf.DUMMYFUNCTION("""COMPUTED_VALUE"""),8.546970999)</f>
        <v>8.546970999</v>
      </c>
      <c r="AE448" s="5" t="str">
        <f>IFERROR(__xludf.DUMMYFUNCTION("""COMPUTED_VALUE"""),"https://drive.google.com/open?id=1j2srC8LfUccLVTFScJLIThXpI05IWj6w")</f>
        <v>https://drive.google.com/open?id=1j2srC8LfUccLVTFScJLIThXpI05IWj6w</v>
      </c>
      <c r="AF448" s="4"/>
      <c r="AG448" s="4"/>
      <c r="AH448" s="4"/>
      <c r="AI448" s="4"/>
      <c r="AL448" s="4" t="str">
        <f t="shared" si="1"/>
        <v>Cluster 12</v>
      </c>
      <c r="AM448" s="4" t="str">
        <f t="shared" si="2"/>
        <v>YANDUTSE ROADMADUGU LINK</v>
      </c>
    </row>
    <row r="449">
      <c r="A449" s="3">
        <f>IFERROR(__xludf.DUMMYFUNCTION("""COMPUTED_VALUE"""),45865.71498457176)</f>
        <v>45865.71498</v>
      </c>
      <c r="B449" s="4" t="str">
        <f>IFERROR(__xludf.DUMMYFUNCTION("""COMPUTED_VALUE"""),"ajisadiqdala@gmail.com")</f>
        <v>ajisadiqdala@gmail.com</v>
      </c>
      <c r="C449" s="4" t="str">
        <f>IFERROR(__xludf.DUMMYFUNCTION("""COMPUTED_VALUE"""),"Sadiq Dala")</f>
        <v>Sadiq Dala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 t="str">
        <f>IFERROR(__xludf.DUMMYFUNCTION("""COMPUTED_VALUE"""),"Cluster 12")</f>
        <v>Cluster 12</v>
      </c>
      <c r="W449" s="4"/>
      <c r="X449" s="4"/>
      <c r="Y449" s="4"/>
      <c r="Z449" s="4" t="str">
        <f>IFERROR(__xludf.DUMMYFUNCTION("""COMPUTED_VALUE"""),"YANDUTSE ROAD")</f>
        <v>YANDUTSE ROAD</v>
      </c>
      <c r="AA449" s="4"/>
      <c r="AB449" s="4" t="str">
        <f>IFERROR(__xludf.DUMMYFUNCTION("""COMPUTED_VALUE"""),"Point 1")</f>
        <v>Point 1</v>
      </c>
      <c r="AC449" s="4">
        <f>IFERROR(__xludf.DUMMYFUNCTION("""COMPUTED_VALUE"""),11.98846925)</f>
        <v>11.98846925</v>
      </c>
      <c r="AD449" s="4">
        <f>IFERROR(__xludf.DUMMYFUNCTION("""COMPUTED_VALUE"""),8.546244344)</f>
        <v>8.546244344</v>
      </c>
      <c r="AE449" s="5" t="str">
        <f>IFERROR(__xludf.DUMMYFUNCTION("""COMPUTED_VALUE"""),"https://drive.google.com/open?id=1scQ8uW-80HKhh-jxx_jW3r_XXvs4xZfi")</f>
        <v>https://drive.google.com/open?id=1scQ8uW-80HKhh-jxx_jW3r_XXvs4xZfi</v>
      </c>
      <c r="AF449" s="4"/>
      <c r="AG449" s="4"/>
      <c r="AH449" s="4"/>
      <c r="AI449" s="4"/>
      <c r="AL449" s="4" t="str">
        <f t="shared" si="1"/>
        <v>Cluster 12</v>
      </c>
      <c r="AM449" s="4" t="str">
        <f t="shared" si="2"/>
        <v>YANDUTSE ROADLARABA ROAD</v>
      </c>
    </row>
    <row r="450">
      <c r="A450" s="3">
        <f>IFERROR(__xludf.DUMMYFUNCTION("""COMPUTED_VALUE"""),45865.70703715278)</f>
        <v>45865.70704</v>
      </c>
      <c r="B450" s="4" t="str">
        <f>IFERROR(__xludf.DUMMYFUNCTION("""COMPUTED_VALUE"""),"ajisadiqdala@gmail.com")</f>
        <v>ajisadiqdala@gmail.com</v>
      </c>
      <c r="C450" s="4" t="str">
        <f>IFERROR(__xludf.DUMMYFUNCTION("""COMPUTED_VALUE"""),"Sadiq Dala")</f>
        <v>Sadiq Dala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 t="str">
        <f>IFERROR(__xludf.DUMMYFUNCTION("""COMPUTED_VALUE"""),"Cluster 12")</f>
        <v>Cluster 12</v>
      </c>
      <c r="W450" s="4"/>
      <c r="X450" s="4"/>
      <c r="Y450" s="4"/>
      <c r="Z450" s="4" t="str">
        <f>IFERROR(__xludf.DUMMYFUNCTION("""COMPUTED_VALUE"""),"IYAKA ROAD")</f>
        <v>IYAKA ROAD</v>
      </c>
      <c r="AA450" s="4"/>
      <c r="AB450" s="4" t="str">
        <f>IFERROR(__xludf.DUMMYFUNCTION("""COMPUTED_VALUE"""),"Point 1")</f>
        <v>Point 1</v>
      </c>
      <c r="AC450" s="4">
        <f>IFERROR(__xludf.DUMMYFUNCTION("""COMPUTED_VALUE"""),11.98710793)</f>
        <v>11.98710793</v>
      </c>
      <c r="AD450" s="4">
        <f>IFERROR(__xludf.DUMMYFUNCTION("""COMPUTED_VALUE"""),8.541475141)</f>
        <v>8.541475141</v>
      </c>
      <c r="AE450" s="5" t="str">
        <f>IFERROR(__xludf.DUMMYFUNCTION("""COMPUTED_VALUE"""),"https://drive.google.com/open?id=1BKOtvBRTkQWva7CzdEOH5iy2baIcVhJx")</f>
        <v>https://drive.google.com/open?id=1BKOtvBRTkQWva7CzdEOH5iy2baIcVhJx</v>
      </c>
      <c r="AF450" s="4"/>
      <c r="AG450" s="4"/>
      <c r="AH450" s="4"/>
      <c r="AI450" s="4"/>
      <c r="AL450" s="4" t="str">
        <f t="shared" si="1"/>
        <v>Cluster 12</v>
      </c>
      <c r="AM450" s="4" t="str">
        <f t="shared" si="2"/>
        <v>IYAKA ROADLAMIDO TERRACE</v>
      </c>
    </row>
    <row r="451">
      <c r="A451" s="3">
        <f>IFERROR(__xludf.DUMMYFUNCTION("""COMPUTED_VALUE"""),45865.70481944444)</f>
        <v>45865.70482</v>
      </c>
      <c r="B451" s="4" t="str">
        <f>IFERROR(__xludf.DUMMYFUNCTION("""COMPUTED_VALUE"""),"ajisadiqdala@gmail.com")</f>
        <v>ajisadiqdala@gmail.com</v>
      </c>
      <c r="C451" s="4" t="str">
        <f>IFERROR(__xludf.DUMMYFUNCTION("""COMPUTED_VALUE"""),"Sadiq Dala")</f>
        <v>Sadiq Dala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 t="str">
        <f>IFERROR(__xludf.DUMMYFUNCTION("""COMPUTED_VALUE"""),"Cluster 12")</f>
        <v>Cluster 12</v>
      </c>
      <c r="W451" s="4"/>
      <c r="X451" s="4"/>
      <c r="Y451" s="4"/>
      <c r="Z451" s="4" t="str">
        <f>IFERROR(__xludf.DUMMYFUNCTION("""COMPUTED_VALUE"""),"BORNO AVENUE")</f>
        <v>BORNO AVENUE</v>
      </c>
      <c r="AA451" s="4"/>
      <c r="AB451" s="4" t="str">
        <f>IFERROR(__xludf.DUMMYFUNCTION("""COMPUTED_VALUE"""),"Point 2")</f>
        <v>Point 2</v>
      </c>
      <c r="AC451" s="4">
        <f>IFERROR(__xludf.DUMMYFUNCTION("""COMPUTED_VALUE"""),11.98710793)</f>
        <v>11.98710793</v>
      </c>
      <c r="AD451" s="4">
        <f>IFERROR(__xludf.DUMMYFUNCTION("""COMPUTED_VALUE"""),8.541475141)</f>
        <v>8.541475141</v>
      </c>
      <c r="AE451" s="5" t="str">
        <f>IFERROR(__xludf.DUMMYFUNCTION("""COMPUTED_VALUE"""),"https://drive.google.com/open?id=1oXiXEra_Pq3AsUbqrLduC0_jYsY3DYT4")</f>
        <v>https://drive.google.com/open?id=1oXiXEra_Pq3AsUbqrLduC0_jYsY3DYT4</v>
      </c>
      <c r="AF451" s="4"/>
      <c r="AG451" s="4"/>
      <c r="AH451" s="4"/>
      <c r="AI451" s="4"/>
      <c r="AL451" s="4" t="str">
        <f t="shared" si="1"/>
        <v>Cluster 12</v>
      </c>
      <c r="AM451" s="4" t="str">
        <f t="shared" si="2"/>
        <v>BORNO AVENUELAMIDO TERRACE</v>
      </c>
    </row>
    <row r="452">
      <c r="A452" s="3">
        <f>IFERROR(__xludf.DUMMYFUNCTION("""COMPUTED_VALUE"""),45865.70252584491)</f>
        <v>45865.70253</v>
      </c>
      <c r="B452" s="4" t="str">
        <f>IFERROR(__xludf.DUMMYFUNCTION("""COMPUTED_VALUE"""),"ajisadiqdala@gmail.com")</f>
        <v>ajisadiqdala@gmail.com</v>
      </c>
      <c r="C452" s="4" t="str">
        <f>IFERROR(__xludf.DUMMYFUNCTION("""COMPUTED_VALUE"""),"Sadiq Dala")</f>
        <v>Sadiq Dala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 t="str">
        <f>IFERROR(__xludf.DUMMYFUNCTION("""COMPUTED_VALUE"""),"Cluster 12")</f>
        <v>Cluster 12</v>
      </c>
      <c r="W452" s="4"/>
      <c r="X452" s="4"/>
      <c r="Y452" s="4"/>
      <c r="Z452" s="4" t="str">
        <f>IFERROR(__xludf.DUMMYFUNCTION("""COMPUTED_VALUE"""),"BORNO AVENUE")</f>
        <v>BORNO AVENUE</v>
      </c>
      <c r="AA452" s="4"/>
      <c r="AB452" s="4" t="str">
        <f>IFERROR(__xludf.DUMMYFUNCTION("""COMPUTED_VALUE"""),"Point 1")</f>
        <v>Point 1</v>
      </c>
      <c r="AC452" s="4">
        <f>IFERROR(__xludf.DUMMYFUNCTION("""COMPUTED_VALUE"""),11.98581181)</f>
        <v>11.98581181</v>
      </c>
      <c r="AD452" s="4">
        <f>IFERROR(__xludf.DUMMYFUNCTION("""COMPUTED_VALUE"""),8.540936673)</f>
        <v>8.540936673</v>
      </c>
      <c r="AE452" s="5" t="str">
        <f>IFERROR(__xludf.DUMMYFUNCTION("""COMPUTED_VALUE"""),"https://drive.google.com/open?id=1do36p7w3Fj9GH469WzpHyHAbT2VDJbew")</f>
        <v>https://drive.google.com/open?id=1do36p7w3Fj9GH469WzpHyHAbT2VDJbew</v>
      </c>
      <c r="AF452" s="4"/>
      <c r="AG452" s="4"/>
      <c r="AH452" s="4"/>
      <c r="AI452" s="4"/>
      <c r="AL452" s="4" t="str">
        <f t="shared" si="1"/>
        <v>Cluster 12</v>
      </c>
      <c r="AM452" s="4" t="str">
        <f t="shared" si="2"/>
        <v>BORNO AVENUESARDAUNA CRESCENT</v>
      </c>
    </row>
    <row r="453">
      <c r="A453" s="3">
        <f>IFERROR(__xludf.DUMMYFUNCTION("""COMPUTED_VALUE"""),45865.70084355324)</f>
        <v>45865.70084</v>
      </c>
      <c r="B453" s="4" t="str">
        <f>IFERROR(__xludf.DUMMYFUNCTION("""COMPUTED_VALUE"""),"ajisadiqdala@gmail.com")</f>
        <v>ajisadiqdala@gmail.com</v>
      </c>
      <c r="C453" s="4" t="str">
        <f>IFERROR(__xludf.DUMMYFUNCTION("""COMPUTED_VALUE"""),"Sadiq Dala")</f>
        <v>Sadiq Dala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 t="str">
        <f>IFERROR(__xludf.DUMMYFUNCTION("""COMPUTED_VALUE"""),"Cluster 12")</f>
        <v>Cluster 12</v>
      </c>
      <c r="W453" s="4"/>
      <c r="X453" s="4"/>
      <c r="Y453" s="4"/>
      <c r="Z453" s="4" t="str">
        <f>IFERROR(__xludf.DUMMYFUNCTION("""COMPUTED_VALUE"""),"KASHIM IBRAHIM WAY")</f>
        <v>KASHIM IBRAHIM WAY</v>
      </c>
      <c r="AA453" s="4"/>
      <c r="AB453" s="4" t="str">
        <f>IFERROR(__xludf.DUMMYFUNCTION("""COMPUTED_VALUE"""),"Point 1")</f>
        <v>Point 1</v>
      </c>
      <c r="AC453" s="4">
        <f>IFERROR(__xludf.DUMMYFUNCTION("""COMPUTED_VALUE"""),11.982097)</f>
        <v>11.982097</v>
      </c>
      <c r="AD453" s="4">
        <f>IFERROR(__xludf.DUMMYFUNCTION("""COMPUTED_VALUE"""),8.5466639)</f>
        <v>8.5466639</v>
      </c>
      <c r="AE453" s="5" t="str">
        <f>IFERROR(__xludf.DUMMYFUNCTION("""COMPUTED_VALUE"""),"https://drive.google.com/open?id=1yvSW809_8cKFjkZ4BLgjc1CNUThZq0Kl")</f>
        <v>https://drive.google.com/open?id=1yvSW809_8cKFjkZ4BLgjc1CNUThZq0Kl</v>
      </c>
      <c r="AF453" s="4"/>
      <c r="AG453" s="4"/>
      <c r="AH453" s="4"/>
      <c r="AI453" s="4"/>
      <c r="AL453" s="4" t="str">
        <f t="shared" si="1"/>
        <v>Cluster 12</v>
      </c>
      <c r="AM453" s="4" t="str">
        <f t="shared" si="2"/>
        <v>KASHIM IBRAHIM WAYSARDAUNA CRESCENT</v>
      </c>
    </row>
    <row r="454">
      <c r="A454" s="3">
        <f>IFERROR(__xludf.DUMMYFUNCTION("""COMPUTED_VALUE"""),45865.69321725694)</f>
        <v>45865.69322</v>
      </c>
      <c r="B454" s="4" t="str">
        <f>IFERROR(__xludf.DUMMYFUNCTION("""COMPUTED_VALUE"""),"ajisadiqdala@gmail.com")</f>
        <v>ajisadiqdala@gmail.com</v>
      </c>
      <c r="C454" s="4" t="str">
        <f>IFERROR(__xludf.DUMMYFUNCTION("""COMPUTED_VALUE"""),"Sadiq Dala")</f>
        <v>Sadiq Dala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 t="str">
        <f>IFERROR(__xludf.DUMMYFUNCTION("""COMPUTED_VALUE"""),"Cluster 12")</f>
        <v>Cluster 12</v>
      </c>
      <c r="W454" s="4"/>
      <c r="X454" s="4"/>
      <c r="Y454" s="4"/>
      <c r="Z454" s="4" t="str">
        <f>IFERROR(__xludf.DUMMYFUNCTION("""COMPUTED_VALUE"""),"BELLO KANO STREET")</f>
        <v>BELLO KANO STREET</v>
      </c>
      <c r="AA454" s="4"/>
      <c r="AB454" s="4" t="str">
        <f>IFERROR(__xludf.DUMMYFUNCTION("""COMPUTED_VALUE"""),"Point 2")</f>
        <v>Point 2</v>
      </c>
      <c r="AC454" s="4">
        <f>IFERROR(__xludf.DUMMYFUNCTION("""COMPUTED_VALUE"""),11.982097)</f>
        <v>11.982097</v>
      </c>
      <c r="AD454" s="4">
        <f>IFERROR(__xludf.DUMMYFUNCTION("""COMPUTED_VALUE"""),8.5466639)</f>
        <v>8.5466639</v>
      </c>
      <c r="AE454" s="5" t="str">
        <f>IFERROR(__xludf.DUMMYFUNCTION("""COMPUTED_VALUE"""),"https://drive.google.com/open?id=1MnifI03MlYiMgiNcmBEK0SnzXUxuMqqO")</f>
        <v>https://drive.google.com/open?id=1MnifI03MlYiMgiNcmBEK0SnzXUxuMqqO</v>
      </c>
      <c r="AF454" s="4"/>
      <c r="AG454" s="4"/>
      <c r="AH454" s="4"/>
      <c r="AI454" s="4"/>
      <c r="AL454" s="4" t="str">
        <f t="shared" si="1"/>
        <v>Cluster 12</v>
      </c>
      <c r="AM454" s="4" t="str">
        <f t="shared" si="2"/>
        <v>BELLO KANO STREETBELLO ADOKE CLOSE</v>
      </c>
    </row>
    <row r="455">
      <c r="A455" s="3">
        <f>IFERROR(__xludf.DUMMYFUNCTION("""COMPUTED_VALUE"""),45865.691811979166)</f>
        <v>45865.69181</v>
      </c>
      <c r="B455" s="4" t="str">
        <f>IFERROR(__xludf.DUMMYFUNCTION("""COMPUTED_VALUE"""),"ajisadiqdala@gmail.com")</f>
        <v>ajisadiqdala@gmail.com</v>
      </c>
      <c r="C455" s="4" t="str">
        <f>IFERROR(__xludf.DUMMYFUNCTION("""COMPUTED_VALUE"""),"Sadiq Dala")</f>
        <v>Sadiq Dala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 t="str">
        <f>IFERROR(__xludf.DUMMYFUNCTION("""COMPUTED_VALUE"""),"Cluster 12")</f>
        <v>Cluster 12</v>
      </c>
      <c r="W455" s="4"/>
      <c r="X455" s="4"/>
      <c r="Y455" s="4"/>
      <c r="Z455" s="4" t="str">
        <f>IFERROR(__xludf.DUMMYFUNCTION("""COMPUTED_VALUE"""),"BELLO KANO STREET")</f>
        <v>BELLO KANO STREET</v>
      </c>
      <c r="AA455" s="4"/>
      <c r="AB455" s="4" t="str">
        <f>IFERROR(__xludf.DUMMYFUNCTION("""COMPUTED_VALUE"""),"Point 1")</f>
        <v>Point 1</v>
      </c>
      <c r="AC455" s="4">
        <f>IFERROR(__xludf.DUMMYFUNCTION("""COMPUTED_VALUE"""),11.98278142)</f>
        <v>11.98278142</v>
      </c>
      <c r="AD455" s="4">
        <f>IFERROR(__xludf.DUMMYFUNCTION("""COMPUTED_VALUE"""),8.545207104)</f>
        <v>8.545207104</v>
      </c>
      <c r="AE455" s="5" t="str">
        <f>IFERROR(__xludf.DUMMYFUNCTION("""COMPUTED_VALUE"""),"https://drive.google.com/open?id=1-R1EGSQTRmb9cwNSs5iUuKM9yQ4nsl-o")</f>
        <v>https://drive.google.com/open?id=1-R1EGSQTRmb9cwNSs5iUuKM9yQ4nsl-o</v>
      </c>
      <c r="AF455" s="4"/>
      <c r="AG455" s="4"/>
      <c r="AH455" s="4"/>
      <c r="AI455" s="4"/>
      <c r="AL455" s="4" t="str">
        <f t="shared" si="1"/>
        <v>Cluster 12</v>
      </c>
      <c r="AM455" s="4" t="str">
        <f t="shared" si="2"/>
        <v>BELLO KANO STREETBELLO ADOKE CLOSE</v>
      </c>
    </row>
    <row r="456">
      <c r="A456" s="3">
        <f>IFERROR(__xludf.DUMMYFUNCTION("""COMPUTED_VALUE"""),45865.689045046296)</f>
        <v>45865.68905</v>
      </c>
      <c r="B456" s="4" t="str">
        <f>IFERROR(__xludf.DUMMYFUNCTION("""COMPUTED_VALUE"""),"ajisadiqdala@gmail.com")</f>
        <v>ajisadiqdala@gmail.com</v>
      </c>
      <c r="C456" s="4" t="str">
        <f>IFERROR(__xludf.DUMMYFUNCTION("""COMPUTED_VALUE"""),"Sadiq Dala")</f>
        <v>Sadiq Dala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 t="str">
        <f>IFERROR(__xludf.DUMMYFUNCTION("""COMPUTED_VALUE"""),"Cluster 12")</f>
        <v>Cluster 12</v>
      </c>
      <c r="W456" s="4"/>
      <c r="X456" s="4"/>
      <c r="Y456" s="4"/>
      <c r="Z456" s="4" t="str">
        <f>IFERROR(__xludf.DUMMYFUNCTION("""COMPUTED_VALUE"""),"COMMISSIONER ROAD")</f>
        <v>COMMISSIONER ROAD</v>
      </c>
      <c r="AA456" s="4"/>
      <c r="AB456" s="4" t="str">
        <f>IFERROR(__xludf.DUMMYFUNCTION("""COMPUTED_VALUE"""),"Point 2")</f>
        <v>Point 2</v>
      </c>
      <c r="AC456" s="4">
        <f>IFERROR(__xludf.DUMMYFUNCTION("""COMPUTED_VALUE"""),11.98362809)</f>
        <v>11.98362809</v>
      </c>
      <c r="AD456" s="4">
        <f>IFERROR(__xludf.DUMMYFUNCTION("""COMPUTED_VALUE"""),8.543247097)</f>
        <v>8.543247097</v>
      </c>
      <c r="AE456" s="5" t="str">
        <f>IFERROR(__xludf.DUMMYFUNCTION("""COMPUTED_VALUE"""),"https://drive.google.com/open?id=1K_MQjJPu3ghKkP47rtw641izM2rooS1Q")</f>
        <v>https://drive.google.com/open?id=1K_MQjJPu3ghKkP47rtw641izM2rooS1Q</v>
      </c>
      <c r="AF456" s="4"/>
      <c r="AG456" s="4"/>
      <c r="AH456" s="4"/>
      <c r="AI456" s="4"/>
      <c r="AL456" s="4" t="str">
        <f t="shared" si="1"/>
        <v>Cluster 12</v>
      </c>
      <c r="AM456" s="4" t="str">
        <f t="shared" si="2"/>
        <v>COMMISSIONER ROADSURAJO MARSHAL LINK</v>
      </c>
    </row>
    <row r="457">
      <c r="A457" s="3">
        <f>IFERROR(__xludf.DUMMYFUNCTION("""COMPUTED_VALUE"""),45865.68720659723)</f>
        <v>45865.68721</v>
      </c>
      <c r="B457" s="4" t="str">
        <f>IFERROR(__xludf.DUMMYFUNCTION("""COMPUTED_VALUE"""),"ajisadiqdala@gmail.com")</f>
        <v>ajisadiqdala@gmail.com</v>
      </c>
      <c r="C457" s="4" t="str">
        <f>IFERROR(__xludf.DUMMYFUNCTION("""COMPUTED_VALUE"""),"Sadiq Dala")</f>
        <v>Sadiq Dala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 t="str">
        <f>IFERROR(__xludf.DUMMYFUNCTION("""COMPUTED_VALUE"""),"Cluster 12")</f>
        <v>Cluster 12</v>
      </c>
      <c r="W457" s="4"/>
      <c r="X457" s="4"/>
      <c r="Y457" s="4"/>
      <c r="Z457" s="4" t="str">
        <f>IFERROR(__xludf.DUMMYFUNCTION("""COMPUTED_VALUE"""),"COMMISSIONER ROAD")</f>
        <v>COMMISSIONER ROAD</v>
      </c>
      <c r="AA457" s="4"/>
      <c r="AB457" s="4" t="str">
        <f>IFERROR(__xludf.DUMMYFUNCTION("""COMPUTED_VALUE"""),"Point 1")</f>
        <v>Point 1</v>
      </c>
      <c r="AC457" s="4">
        <f>IFERROR(__xludf.DUMMYFUNCTION("""COMPUTED_VALUE"""),11.985394)</f>
        <v>11.985394</v>
      </c>
      <c r="AD457" s="4">
        <f>IFERROR(__xludf.DUMMYFUNCTION("""COMPUTED_VALUE"""),8.5449694)</f>
        <v>8.5449694</v>
      </c>
      <c r="AE457" s="5" t="str">
        <f>IFERROR(__xludf.DUMMYFUNCTION("""COMPUTED_VALUE"""),"https://drive.google.com/open?id=1Ai1A3cfQBFlX9xglFZH0nJnnrZ60Jdzj")</f>
        <v>https://drive.google.com/open?id=1Ai1A3cfQBFlX9xglFZH0nJnnrZ60Jdzj</v>
      </c>
      <c r="AF457" s="4"/>
      <c r="AG457" s="4"/>
      <c r="AH457" s="4"/>
      <c r="AI457" s="4"/>
      <c r="AL457" s="4" t="str">
        <f t="shared" si="1"/>
        <v>Cluster 12</v>
      </c>
      <c r="AM457" s="4" t="str">
        <f t="shared" si="2"/>
        <v>COMMISSIONER ROADSURAJO MARSHAL LINK</v>
      </c>
    </row>
    <row r="458">
      <c r="A458" s="3">
        <f>IFERROR(__xludf.DUMMYFUNCTION("""COMPUTED_VALUE"""),45865.6857903125)</f>
        <v>45865.68579</v>
      </c>
      <c r="B458" s="4" t="str">
        <f>IFERROR(__xludf.DUMMYFUNCTION("""COMPUTED_VALUE"""),"ajisadiqdala@gmail.com")</f>
        <v>ajisadiqdala@gmail.com</v>
      </c>
      <c r="C458" s="4" t="str">
        <f>IFERROR(__xludf.DUMMYFUNCTION("""COMPUTED_VALUE"""),"Sadiq Dala")</f>
        <v>Sadiq Dala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 t="str">
        <f>IFERROR(__xludf.DUMMYFUNCTION("""COMPUTED_VALUE"""),"Cluster 12")</f>
        <v>Cluster 12</v>
      </c>
      <c r="W458" s="4"/>
      <c r="X458" s="4"/>
      <c r="Y458" s="4"/>
      <c r="Z458" s="4" t="str">
        <f>IFERROR(__xludf.DUMMYFUNCTION("""COMPUTED_VALUE"""),"DAN HAUSA ROAD")</f>
        <v>DAN HAUSA ROAD</v>
      </c>
      <c r="AA458" s="4"/>
      <c r="AB458" s="4" t="str">
        <f>IFERROR(__xludf.DUMMYFUNCTION("""COMPUTED_VALUE"""),"Point 1")</f>
        <v>Point 1</v>
      </c>
      <c r="AC458" s="4">
        <f>IFERROR(__xludf.DUMMYFUNCTION("""COMPUTED_VALUE"""),11.98653333)</f>
        <v>11.98653333</v>
      </c>
      <c r="AD458" s="4">
        <f>IFERROR(__xludf.DUMMYFUNCTION("""COMPUTED_VALUE"""),8.544566667)</f>
        <v>8.544566667</v>
      </c>
      <c r="AE458" s="5" t="str">
        <f>IFERROR(__xludf.DUMMYFUNCTION("""COMPUTED_VALUE"""),"https://drive.google.com/open?id=16wwMWuD1Z9s4kUqoSl9xWoS9Aju-RNcV")</f>
        <v>https://drive.google.com/open?id=16wwMWuD1Z9s4kUqoSl9xWoS9Aju-RNcV</v>
      </c>
      <c r="AF458" s="4"/>
      <c r="AG458" s="4"/>
      <c r="AH458" s="4"/>
      <c r="AI458" s="4"/>
      <c r="AL458" s="4" t="str">
        <f t="shared" si="1"/>
        <v>Cluster 12</v>
      </c>
      <c r="AM458" s="4" t="str">
        <f t="shared" si="2"/>
        <v>DAN HAUSA ROADSALIHU ZAWA'I UBA AVENUE</v>
      </c>
    </row>
    <row r="459">
      <c r="A459" s="3">
        <f>IFERROR(__xludf.DUMMYFUNCTION("""COMPUTED_VALUE"""),45865.68383609953)</f>
        <v>45865.68384</v>
      </c>
      <c r="B459" s="4" t="str">
        <f>IFERROR(__xludf.DUMMYFUNCTION("""COMPUTED_VALUE"""),"ajisadiqdala@gmail.com")</f>
        <v>ajisadiqdala@gmail.com</v>
      </c>
      <c r="C459" s="4" t="str">
        <f>IFERROR(__xludf.DUMMYFUNCTION("""COMPUTED_VALUE"""),"Sadiq Dala")</f>
        <v>Sadiq Dala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 t="str">
        <f>IFERROR(__xludf.DUMMYFUNCTION("""COMPUTED_VALUE"""),"Cluster 12")</f>
        <v>Cluster 12</v>
      </c>
      <c r="W459" s="4"/>
      <c r="X459" s="4"/>
      <c r="Y459" s="4"/>
      <c r="Z459" s="4" t="str">
        <f>IFERROR(__xludf.DUMMYFUNCTION("""COMPUTED_VALUE"""),"DR BALA MUHAMMAD ROAD")</f>
        <v>DR BALA MUHAMMAD ROAD</v>
      </c>
      <c r="AA459" s="4"/>
      <c r="AB459" s="4" t="str">
        <f>IFERROR(__xludf.DUMMYFUNCTION("""COMPUTED_VALUE"""),"Point 2")</f>
        <v>Point 2</v>
      </c>
      <c r="AC459" s="4">
        <f>IFERROR(__xludf.DUMMYFUNCTION("""COMPUTED_VALUE"""),11.98653333)</f>
        <v>11.98653333</v>
      </c>
      <c r="AD459" s="4">
        <f>IFERROR(__xludf.DUMMYFUNCTION("""COMPUTED_VALUE"""),8.544566667)</f>
        <v>8.544566667</v>
      </c>
      <c r="AE459" s="5" t="str">
        <f>IFERROR(__xludf.DUMMYFUNCTION("""COMPUTED_VALUE"""),"https://drive.google.com/open?id=14moS-ODnMbwnEjokk2C-p_XQPrACm6gV")</f>
        <v>https://drive.google.com/open?id=14moS-ODnMbwnEjokk2C-p_XQPrACm6gV</v>
      </c>
      <c r="AF459" s="4"/>
      <c r="AG459" s="4"/>
      <c r="AH459" s="4"/>
      <c r="AI459" s="4"/>
      <c r="AL459" s="4" t="str">
        <f t="shared" si="1"/>
        <v>Cluster 12</v>
      </c>
      <c r="AM459" s="4" t="str">
        <f t="shared" si="2"/>
        <v>DR BALA MUHAMMAD ROADSURAJO MARSHAL LINK</v>
      </c>
    </row>
    <row r="460">
      <c r="A460" s="3">
        <f>IFERROR(__xludf.DUMMYFUNCTION("""COMPUTED_VALUE"""),45865.682549502315)</f>
        <v>45865.68255</v>
      </c>
      <c r="B460" s="4" t="str">
        <f>IFERROR(__xludf.DUMMYFUNCTION("""COMPUTED_VALUE"""),"ajisadiqdala@gmail.com")</f>
        <v>ajisadiqdala@gmail.com</v>
      </c>
      <c r="C460" s="4" t="str">
        <f>IFERROR(__xludf.DUMMYFUNCTION("""COMPUTED_VALUE"""),"Sadiq Dala")</f>
        <v>Sadiq Dala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 t="str">
        <f>IFERROR(__xludf.DUMMYFUNCTION("""COMPUTED_VALUE"""),"Cluster 12")</f>
        <v>Cluster 12</v>
      </c>
      <c r="W460" s="4"/>
      <c r="X460" s="4"/>
      <c r="Y460" s="4"/>
      <c r="Z460" s="4" t="str">
        <f>IFERROR(__xludf.DUMMYFUNCTION("""COMPUTED_VALUE"""),"DR BALA MUHAMMAD ROAD")</f>
        <v>DR BALA MUHAMMAD ROAD</v>
      </c>
      <c r="AA460" s="4"/>
      <c r="AB460" s="4" t="str">
        <f>IFERROR(__xludf.DUMMYFUNCTION("""COMPUTED_VALUE"""),"Point 1")</f>
        <v>Point 1</v>
      </c>
      <c r="AC460" s="4">
        <f>IFERROR(__xludf.DUMMYFUNCTION("""COMPUTED_VALUE"""),11.98646667)</f>
        <v>11.98646667</v>
      </c>
      <c r="AD460" s="4">
        <f>IFERROR(__xludf.DUMMYFUNCTION("""COMPUTED_VALUE"""),8.543333333)</f>
        <v>8.543333333</v>
      </c>
      <c r="AE460" s="5" t="str">
        <f>IFERROR(__xludf.DUMMYFUNCTION("""COMPUTED_VALUE"""),"https://drive.google.com/open?id=1kQIxVrSzs3pzCK4q1x-Aim1_ziGYDUhB")</f>
        <v>https://drive.google.com/open?id=1kQIxVrSzs3pzCK4q1x-Aim1_ziGYDUhB</v>
      </c>
      <c r="AF460" s="4"/>
      <c r="AG460" s="4"/>
      <c r="AH460" s="4"/>
      <c r="AI460" s="4"/>
      <c r="AL460" s="4" t="str">
        <f t="shared" si="1"/>
        <v>Cluster 12</v>
      </c>
      <c r="AM460" s="4" t="str">
        <f t="shared" si="2"/>
        <v>DR BALA MUHAMMAD ROAD</v>
      </c>
    </row>
    <row r="461">
      <c r="A461" s="3">
        <f>IFERROR(__xludf.DUMMYFUNCTION("""COMPUTED_VALUE"""),45865.63110782407)</f>
        <v>45865.63111</v>
      </c>
      <c r="B461" s="4" t="str">
        <f>IFERROR(__xludf.DUMMYFUNCTION("""COMPUTED_VALUE"""),"ajisadiqdala@gmail.com")</f>
        <v>ajisadiqdala@gmail.com</v>
      </c>
      <c r="C461" s="4" t="str">
        <f>IFERROR(__xludf.DUMMYFUNCTION("""COMPUTED_VALUE"""),"Sadiq Dala")</f>
        <v>Sadiq Dala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 t="str">
        <f>IFERROR(__xludf.DUMMYFUNCTION("""COMPUTED_VALUE"""),"Cluster 19")</f>
        <v>Cluster 19</v>
      </c>
      <c r="W461" s="4"/>
      <c r="X461" s="4"/>
      <c r="Y461" s="4"/>
      <c r="Z461" s="4"/>
      <c r="AA461" s="4" t="str">
        <f>IFERROR(__xludf.DUMMYFUNCTION("""COMPUTED_VALUE"""),"ADAMU JOJI ROAD")</f>
        <v>ADAMU JOJI ROAD</v>
      </c>
      <c r="AB461" s="4" t="str">
        <f>IFERROR(__xludf.DUMMYFUNCTION("""COMPUTED_VALUE"""),"Point 2")</f>
        <v>Point 2</v>
      </c>
      <c r="AC461" s="4">
        <f>IFERROR(__xludf.DUMMYFUNCTION("""COMPUTED_VALUE"""),11.98758884)</f>
        <v>11.98758884</v>
      </c>
      <c r="AD461" s="4">
        <f>IFERROR(__xludf.DUMMYFUNCTION("""COMPUTED_VALUE"""),8.568566542)</f>
        <v>8.568566542</v>
      </c>
      <c r="AE461" s="5" t="str">
        <f>IFERROR(__xludf.DUMMYFUNCTION("""COMPUTED_VALUE"""),"https://drive.google.com/open?id=1-qoTnKCV8kEkpW3HQNQe1oHVOSuzyTyq")</f>
        <v>https://drive.google.com/open?id=1-qoTnKCV8kEkpW3HQNQe1oHVOSuzyTyq</v>
      </c>
      <c r="AF461" s="4"/>
      <c r="AG461" s="4"/>
      <c r="AH461" s="4"/>
      <c r="AI461" s="4"/>
      <c r="AL461" s="4" t="str">
        <f t="shared" si="1"/>
        <v>Cluster 19</v>
      </c>
      <c r="AM461" s="4" t="str">
        <f t="shared" si="2"/>
        <v>ADAMU JOJI ROAD</v>
      </c>
    </row>
    <row r="462">
      <c r="A462" s="3">
        <f>IFERROR(__xludf.DUMMYFUNCTION("""COMPUTED_VALUE"""),45865.629986643515)</f>
        <v>45865.62999</v>
      </c>
      <c r="B462" s="4" t="str">
        <f>IFERROR(__xludf.DUMMYFUNCTION("""COMPUTED_VALUE"""),"ajisadiqdala@gmail.com")</f>
        <v>ajisadiqdala@gmail.com</v>
      </c>
      <c r="C462" s="4" t="str">
        <f>IFERROR(__xludf.DUMMYFUNCTION("""COMPUTED_VALUE"""),"Sadiq Dala")</f>
        <v>Sadiq Dala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 t="str">
        <f>IFERROR(__xludf.DUMMYFUNCTION("""COMPUTED_VALUE"""),"Cluster 19")</f>
        <v>Cluster 19</v>
      </c>
      <c r="W462" s="4"/>
      <c r="X462" s="4"/>
      <c r="Y462" s="4"/>
      <c r="Z462" s="4"/>
      <c r="AA462" s="4" t="str">
        <f>IFERROR(__xludf.DUMMYFUNCTION("""COMPUTED_VALUE"""),"ADAMU JOJI ROAD")</f>
        <v>ADAMU JOJI ROAD</v>
      </c>
      <c r="AB462" s="4" t="str">
        <f>IFERROR(__xludf.DUMMYFUNCTION("""COMPUTED_VALUE"""),"Point 1")</f>
        <v>Point 1</v>
      </c>
      <c r="AC462" s="4">
        <f>IFERROR(__xludf.DUMMYFUNCTION("""COMPUTED_VALUE"""),11.98857)</f>
        <v>11.98857</v>
      </c>
      <c r="AD462" s="4">
        <f>IFERROR(__xludf.DUMMYFUNCTION("""COMPUTED_VALUE"""),8.568718)</f>
        <v>8.568718</v>
      </c>
      <c r="AE462" s="5" t="str">
        <f>IFERROR(__xludf.DUMMYFUNCTION("""COMPUTED_VALUE"""),"https://drive.google.com/open?id=19m7_AgqO_mL9yfDac-KBolMYF6OmqRLa")</f>
        <v>https://drive.google.com/open?id=19m7_AgqO_mL9yfDac-KBolMYF6OmqRLa</v>
      </c>
      <c r="AF462" s="4"/>
      <c r="AG462" s="4"/>
      <c r="AH462" s="4"/>
      <c r="AI462" s="4"/>
      <c r="AL462" s="4" t="str">
        <f t="shared" si="1"/>
        <v>Cluster 19</v>
      </c>
      <c r="AM462" s="4" t="str">
        <f t="shared" si="2"/>
        <v>ADAMU JOJI ROAD</v>
      </c>
    </row>
    <row r="463">
      <c r="A463" s="3">
        <f>IFERROR(__xludf.DUMMYFUNCTION("""COMPUTED_VALUE"""),45865.62754545139)</f>
        <v>45865.62755</v>
      </c>
      <c r="B463" s="4" t="str">
        <f>IFERROR(__xludf.DUMMYFUNCTION("""COMPUTED_VALUE"""),"ajisadiqdala@gmail.com")</f>
        <v>ajisadiqdala@gmail.com</v>
      </c>
      <c r="C463" s="4" t="str">
        <f>IFERROR(__xludf.DUMMYFUNCTION("""COMPUTED_VALUE"""),"Sadiq Dala")</f>
        <v>Sadiq Dala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 t="str">
        <f>IFERROR(__xludf.DUMMYFUNCTION("""COMPUTED_VALUE"""),"Cluster 19")</f>
        <v>Cluster 19</v>
      </c>
      <c r="W463" s="4"/>
      <c r="X463" s="4"/>
      <c r="Y463" s="4"/>
      <c r="Z463" s="4"/>
      <c r="AA463" s="4" t="str">
        <f>IFERROR(__xludf.DUMMYFUNCTION("""COMPUTED_VALUE"""),"JABBO ROAD")</f>
        <v>JABBO ROAD</v>
      </c>
      <c r="AB463" s="4" t="str">
        <f>IFERROR(__xludf.DUMMYFUNCTION("""COMPUTED_VALUE"""),"Point 2")</f>
        <v>Point 2</v>
      </c>
      <c r="AC463" s="4">
        <f>IFERROR(__xludf.DUMMYFUNCTION("""COMPUTED_VALUE"""),11.99424093)</f>
        <v>11.99424093</v>
      </c>
      <c r="AD463" s="4">
        <f>IFERROR(__xludf.DUMMYFUNCTION("""COMPUTED_VALUE"""),8.560425784)</f>
        <v>8.560425784</v>
      </c>
      <c r="AE463" s="5" t="str">
        <f>IFERROR(__xludf.DUMMYFUNCTION("""COMPUTED_VALUE"""),"https://drive.google.com/open?id=1wEcpfbOe199ThdIAj4kFRD-2A2iRXK0D")</f>
        <v>https://drive.google.com/open?id=1wEcpfbOe199ThdIAj4kFRD-2A2iRXK0D</v>
      </c>
      <c r="AF463" s="4"/>
      <c r="AG463" s="4"/>
      <c r="AH463" s="4"/>
      <c r="AI463" s="4"/>
      <c r="AL463" s="4" t="str">
        <f t="shared" si="1"/>
        <v>Cluster 19</v>
      </c>
      <c r="AM463" s="4" t="str">
        <f t="shared" si="2"/>
        <v>JABBO ROAD</v>
      </c>
    </row>
    <row r="464">
      <c r="A464" s="3">
        <f>IFERROR(__xludf.DUMMYFUNCTION("""COMPUTED_VALUE"""),45865.62585453704)</f>
        <v>45865.62585</v>
      </c>
      <c r="B464" s="4" t="str">
        <f>IFERROR(__xludf.DUMMYFUNCTION("""COMPUTED_VALUE"""),"ajisadiqdala@gmail.com")</f>
        <v>ajisadiqdala@gmail.com</v>
      </c>
      <c r="C464" s="4" t="str">
        <f>IFERROR(__xludf.DUMMYFUNCTION("""COMPUTED_VALUE"""),"Sadiq Dala")</f>
        <v>Sadiq Dala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 t="str">
        <f>IFERROR(__xludf.DUMMYFUNCTION("""COMPUTED_VALUE"""),"Cluster 19")</f>
        <v>Cluster 19</v>
      </c>
      <c r="W464" s="4"/>
      <c r="X464" s="4"/>
      <c r="Y464" s="4"/>
      <c r="Z464" s="4"/>
      <c r="AA464" s="4" t="str">
        <f>IFERROR(__xludf.DUMMYFUNCTION("""COMPUTED_VALUE"""),"JABBO ROAD")</f>
        <v>JABBO ROAD</v>
      </c>
      <c r="AB464" s="4" t="str">
        <f>IFERROR(__xludf.DUMMYFUNCTION("""COMPUTED_VALUE"""),"Point 1")</f>
        <v>Point 1</v>
      </c>
      <c r="AC464" s="4">
        <f>IFERROR(__xludf.DUMMYFUNCTION("""COMPUTED_VALUE"""),11.99752651)</f>
        <v>11.99752651</v>
      </c>
      <c r="AD464" s="4">
        <f>IFERROR(__xludf.DUMMYFUNCTION("""COMPUTED_VALUE"""),8.562120974)</f>
        <v>8.562120974</v>
      </c>
      <c r="AE464" s="5" t="str">
        <f>IFERROR(__xludf.DUMMYFUNCTION("""COMPUTED_VALUE"""),"https://drive.google.com/open?id=15w6Yb1eW89ObUHfbMyuT4KXl_Od6Wnk0")</f>
        <v>https://drive.google.com/open?id=15w6Yb1eW89ObUHfbMyuT4KXl_Od6Wnk0</v>
      </c>
      <c r="AF464" s="4"/>
      <c r="AG464" s="4"/>
      <c r="AH464" s="4"/>
      <c r="AI464" s="4"/>
      <c r="AL464" s="4" t="str">
        <f t="shared" si="1"/>
        <v>Cluster 19</v>
      </c>
      <c r="AM464" s="4" t="str">
        <f t="shared" si="2"/>
        <v>JABBO ROAD</v>
      </c>
    </row>
    <row r="465">
      <c r="A465" s="3">
        <f>IFERROR(__xludf.DUMMYFUNCTION("""COMPUTED_VALUE"""),45865.6239403588)</f>
        <v>45865.62394</v>
      </c>
      <c r="B465" s="4" t="str">
        <f>IFERROR(__xludf.DUMMYFUNCTION("""COMPUTED_VALUE"""),"ajisadiqdala@gmail.com")</f>
        <v>ajisadiqdala@gmail.com</v>
      </c>
      <c r="C465" s="4" t="str">
        <f>IFERROR(__xludf.DUMMYFUNCTION("""COMPUTED_VALUE"""),"Sadiq Dala")</f>
        <v>Sadiq Dala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 t="str">
        <f>IFERROR(__xludf.DUMMYFUNCTION("""COMPUTED_VALUE"""),"Cluster 19")</f>
        <v>Cluster 19</v>
      </c>
      <c r="W465" s="4"/>
      <c r="X465" s="4"/>
      <c r="Y465" s="4"/>
      <c r="Z465" s="4"/>
      <c r="AA465" s="4" t="str">
        <f>IFERROR(__xludf.DUMMYFUNCTION("""COMPUTED_VALUE"""),"SARDAUNA HABIB AVENUE")</f>
        <v>SARDAUNA HABIB AVENUE</v>
      </c>
      <c r="AB465" s="4" t="str">
        <f>IFERROR(__xludf.DUMMYFUNCTION("""COMPUTED_VALUE"""),"Point 2")</f>
        <v>Point 2</v>
      </c>
      <c r="AC465" s="4">
        <f>IFERROR(__xludf.DUMMYFUNCTION("""COMPUTED_VALUE"""),11.98568576)</f>
        <v>11.98568576</v>
      </c>
      <c r="AD465" s="4">
        <f>IFERROR(__xludf.DUMMYFUNCTION("""COMPUTED_VALUE"""),8.560242925)</f>
        <v>8.560242925</v>
      </c>
      <c r="AE465" s="5" t="str">
        <f>IFERROR(__xludf.DUMMYFUNCTION("""COMPUTED_VALUE"""),"https://drive.google.com/open?id=1mp9__-glfMUrv41YKiEUy2dduff-QFDr")</f>
        <v>https://drive.google.com/open?id=1mp9__-glfMUrv41YKiEUy2dduff-QFDr</v>
      </c>
      <c r="AF465" s="4"/>
      <c r="AG465" s="4"/>
      <c r="AH465" s="4"/>
      <c r="AI465" s="4"/>
      <c r="AL465" s="4" t="str">
        <f t="shared" si="1"/>
        <v>Cluster 19</v>
      </c>
      <c r="AM465" s="4" t="str">
        <f t="shared" si="2"/>
        <v>SARDAUNA HABIB AVENUE</v>
      </c>
    </row>
    <row r="466">
      <c r="A466" s="3">
        <f>IFERROR(__xludf.DUMMYFUNCTION("""COMPUTED_VALUE"""),45865.622677453706)</f>
        <v>45865.62268</v>
      </c>
      <c r="B466" s="4" t="str">
        <f>IFERROR(__xludf.DUMMYFUNCTION("""COMPUTED_VALUE"""),"ajisadiqdala@gmail.com")</f>
        <v>ajisadiqdala@gmail.com</v>
      </c>
      <c r="C466" s="4" t="str">
        <f>IFERROR(__xludf.DUMMYFUNCTION("""COMPUTED_VALUE"""),"Sadiq Dala")</f>
        <v>Sadiq Dala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 t="str">
        <f>IFERROR(__xludf.DUMMYFUNCTION("""COMPUTED_VALUE"""),"Cluster 19")</f>
        <v>Cluster 19</v>
      </c>
      <c r="W466" s="4"/>
      <c r="X466" s="4"/>
      <c r="Y466" s="4"/>
      <c r="Z466" s="4"/>
      <c r="AA466" s="4" t="str">
        <f>IFERROR(__xludf.DUMMYFUNCTION("""COMPUTED_VALUE"""),"SARDAUNA HABIB AVENUE")</f>
        <v>SARDAUNA HABIB AVENUE</v>
      </c>
      <c r="AB466" s="4" t="str">
        <f>IFERROR(__xludf.DUMMYFUNCTION("""COMPUTED_VALUE"""),"Point 1")</f>
        <v>Point 1</v>
      </c>
      <c r="AC466" s="4">
        <f>IFERROR(__xludf.DUMMYFUNCTION("""COMPUTED_VALUE"""),11.99424093)</f>
        <v>11.99424093</v>
      </c>
      <c r="AD466" s="4">
        <f>IFERROR(__xludf.DUMMYFUNCTION("""COMPUTED_VALUE"""),8.560425784)</f>
        <v>8.560425784</v>
      </c>
      <c r="AE466" s="5" t="str">
        <f>IFERROR(__xludf.DUMMYFUNCTION("""COMPUTED_VALUE"""),"https://drive.google.com/open?id=1JpiidJWmn5J2Crdw86fK5xD8Ls7kHCxt")</f>
        <v>https://drive.google.com/open?id=1JpiidJWmn5J2Crdw86fK5xD8Ls7kHCxt</v>
      </c>
      <c r="AF466" s="4"/>
      <c r="AG466" s="4"/>
      <c r="AH466" s="4"/>
      <c r="AI466" s="4"/>
      <c r="AL466" s="4" t="str">
        <f t="shared" si="1"/>
        <v>Cluster 19</v>
      </c>
      <c r="AM466" s="4" t="str">
        <f t="shared" si="2"/>
        <v>SARDAUNA HABIB AVENUE</v>
      </c>
    </row>
    <row r="467">
      <c r="A467" s="3">
        <f>IFERROR(__xludf.DUMMYFUNCTION("""COMPUTED_VALUE"""),45865.62113428241)</f>
        <v>45865.62113</v>
      </c>
      <c r="B467" s="4" t="str">
        <f>IFERROR(__xludf.DUMMYFUNCTION("""COMPUTED_VALUE"""),"ajisadiqdala@gmail.com")</f>
        <v>ajisadiqdala@gmail.com</v>
      </c>
      <c r="C467" s="4" t="str">
        <f>IFERROR(__xludf.DUMMYFUNCTION("""COMPUTED_VALUE"""),"Sadiq Dala")</f>
        <v>Sadiq Dala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 t="str">
        <f>IFERROR(__xludf.DUMMYFUNCTION("""COMPUTED_VALUE"""),"Cluster 19")</f>
        <v>Cluster 19</v>
      </c>
      <c r="W467" s="4"/>
      <c r="X467" s="4"/>
      <c r="Y467" s="4"/>
      <c r="Z467" s="4"/>
      <c r="AA467" s="4" t="str">
        <f>IFERROR(__xludf.DUMMYFUNCTION("""COMPUTED_VALUE"""),"SULTAN ROAD")</f>
        <v>SULTAN ROAD</v>
      </c>
      <c r="AB467" s="4" t="str">
        <f>IFERROR(__xludf.DUMMYFUNCTION("""COMPUTED_VALUE"""),"Point 1")</f>
        <v>Point 1</v>
      </c>
      <c r="AC467" s="4">
        <f>IFERROR(__xludf.DUMMYFUNCTION("""COMPUTED_VALUE"""),11.98935616)</f>
        <v>11.98935616</v>
      </c>
      <c r="AD467" s="4">
        <f>IFERROR(__xludf.DUMMYFUNCTION("""COMPUTED_VALUE"""),8.561689638)</f>
        <v>8.561689638</v>
      </c>
      <c r="AE467" s="5" t="str">
        <f>IFERROR(__xludf.DUMMYFUNCTION("""COMPUTED_VALUE"""),"https://drive.google.com/open?id=1_uFnooShNgJKy19-rfg-ur94WQijzbaV")</f>
        <v>https://drive.google.com/open?id=1_uFnooShNgJKy19-rfg-ur94WQijzbaV</v>
      </c>
      <c r="AF467" s="4"/>
      <c r="AG467" s="4"/>
      <c r="AH467" s="4"/>
      <c r="AI467" s="4"/>
      <c r="AL467" s="4" t="str">
        <f t="shared" si="1"/>
        <v>Cluster 19</v>
      </c>
      <c r="AM467" s="4" t="str">
        <f t="shared" si="2"/>
        <v>SULTAN ROAD</v>
      </c>
    </row>
    <row r="468">
      <c r="A468" s="3">
        <f>IFERROR(__xludf.DUMMYFUNCTION("""COMPUTED_VALUE"""),45865.61767006945)</f>
        <v>45865.61767</v>
      </c>
      <c r="B468" s="4" t="str">
        <f>IFERROR(__xludf.DUMMYFUNCTION("""COMPUTED_VALUE"""),"ajisadiqdala@gmail.com")</f>
        <v>ajisadiqdala@gmail.com</v>
      </c>
      <c r="C468" s="4" t="str">
        <f>IFERROR(__xludf.DUMMYFUNCTION("""COMPUTED_VALUE"""),"Sadiq Dala")</f>
        <v>Sadiq Dala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 t="str">
        <f>IFERROR(__xludf.DUMMYFUNCTION("""COMPUTED_VALUE"""),"Cluster 19")</f>
        <v>Cluster 19</v>
      </c>
      <c r="W468" s="4"/>
      <c r="X468" s="4"/>
      <c r="Y468" s="4"/>
      <c r="Z468" s="4"/>
      <c r="AA468" s="4" t="str">
        <f>IFERROR(__xludf.DUMMYFUNCTION("""COMPUTED_VALUE"""),"IBRAHIM GODI STREET")</f>
        <v>IBRAHIM GODI STREET</v>
      </c>
      <c r="AB468" s="4" t="str">
        <f>IFERROR(__xludf.DUMMYFUNCTION("""COMPUTED_VALUE"""),"Point 2")</f>
        <v>Point 2</v>
      </c>
      <c r="AC468" s="4">
        <f>IFERROR(__xludf.DUMMYFUNCTION("""COMPUTED_VALUE"""),11.98591722)</f>
        <v>11.98591722</v>
      </c>
      <c r="AD468" s="4">
        <f>IFERROR(__xludf.DUMMYFUNCTION("""COMPUTED_VALUE"""),8.568032292)</f>
        <v>8.568032292</v>
      </c>
      <c r="AE468" s="5" t="str">
        <f>IFERROR(__xludf.DUMMYFUNCTION("""COMPUTED_VALUE"""),"https://drive.google.com/open?id=1D64pNL3vqNnGJeoZC1ZpQNVXzcFXV3-U")</f>
        <v>https://drive.google.com/open?id=1D64pNL3vqNnGJeoZC1ZpQNVXzcFXV3-U</v>
      </c>
      <c r="AF468" s="4"/>
      <c r="AG468" s="4"/>
      <c r="AH468" s="4"/>
      <c r="AI468" s="4"/>
      <c r="AL468" s="4" t="str">
        <f t="shared" si="1"/>
        <v>Cluster 19</v>
      </c>
      <c r="AM468" s="4" t="str">
        <f t="shared" si="2"/>
        <v>IBRAHIM GODI STREET</v>
      </c>
    </row>
    <row r="469">
      <c r="A469" s="3">
        <f>IFERROR(__xludf.DUMMYFUNCTION("""COMPUTED_VALUE"""),45865.61578553241)</f>
        <v>45865.61579</v>
      </c>
      <c r="B469" s="4" t="str">
        <f>IFERROR(__xludf.DUMMYFUNCTION("""COMPUTED_VALUE"""),"ajisadiqdala@gmail.com")</f>
        <v>ajisadiqdala@gmail.com</v>
      </c>
      <c r="C469" s="4" t="str">
        <f>IFERROR(__xludf.DUMMYFUNCTION("""COMPUTED_VALUE"""),"Sadiq Dala")</f>
        <v>Sadiq Dala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 t="str">
        <f>IFERROR(__xludf.DUMMYFUNCTION("""COMPUTED_VALUE"""),"Cluster 19")</f>
        <v>Cluster 19</v>
      </c>
      <c r="W469" s="4"/>
      <c r="X469" s="4"/>
      <c r="Y469" s="4"/>
      <c r="Z469" s="4"/>
      <c r="AA469" s="4" t="str">
        <f>IFERROR(__xludf.DUMMYFUNCTION("""COMPUTED_VALUE"""),"IBRAHIM GODI STREET")</f>
        <v>IBRAHIM GODI STREET</v>
      </c>
      <c r="AB469" s="4" t="str">
        <f>IFERROR(__xludf.DUMMYFUNCTION("""COMPUTED_VALUE"""),"Point 1")</f>
        <v>Point 1</v>
      </c>
      <c r="AC469" s="4">
        <f>IFERROR(__xludf.DUMMYFUNCTION("""COMPUTED_VALUE"""),11.98758884)</f>
        <v>11.98758884</v>
      </c>
      <c r="AD469" s="4">
        <f>IFERROR(__xludf.DUMMYFUNCTION("""COMPUTED_VALUE"""),8.568566542)</f>
        <v>8.568566542</v>
      </c>
      <c r="AE469" s="5" t="str">
        <f>IFERROR(__xludf.DUMMYFUNCTION("""COMPUTED_VALUE"""),"https://drive.google.com/open?id=1NVketHPSmDqe9XA15uxPfTt7mrdMd-CQ")</f>
        <v>https://drive.google.com/open?id=1NVketHPSmDqe9XA15uxPfTt7mrdMd-CQ</v>
      </c>
      <c r="AF469" s="4"/>
      <c r="AG469" s="4"/>
      <c r="AH469" s="4"/>
      <c r="AI469" s="4"/>
      <c r="AL469" s="4" t="str">
        <f t="shared" si="1"/>
        <v>Cluster 19</v>
      </c>
      <c r="AM469" s="4" t="str">
        <f t="shared" si="2"/>
        <v>IBRAHIM GODI STREET</v>
      </c>
    </row>
    <row r="470">
      <c r="A470" s="3">
        <f>IFERROR(__xludf.DUMMYFUNCTION("""COMPUTED_VALUE"""),45865.61429570602)</f>
        <v>45865.6143</v>
      </c>
      <c r="B470" s="4" t="str">
        <f>IFERROR(__xludf.DUMMYFUNCTION("""COMPUTED_VALUE"""),"ajisadiqdala@gmail.com")</f>
        <v>ajisadiqdala@gmail.com</v>
      </c>
      <c r="C470" s="4" t="str">
        <f>IFERROR(__xludf.DUMMYFUNCTION("""COMPUTED_VALUE"""),"Sadiq Dala")</f>
        <v>Sadiq Dala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 t="str">
        <f>IFERROR(__xludf.DUMMYFUNCTION("""COMPUTED_VALUE"""),"Cluster 19")</f>
        <v>Cluster 19</v>
      </c>
      <c r="W470" s="4"/>
      <c r="X470" s="4"/>
      <c r="Y470" s="4"/>
      <c r="Z470" s="4"/>
      <c r="AA470" s="4" t="str">
        <f>IFERROR(__xludf.DUMMYFUNCTION("""COMPUTED_VALUE"""),"DAUDA BIRMA STREET")</f>
        <v>DAUDA BIRMA STREET</v>
      </c>
      <c r="AB470" s="4" t="str">
        <f>IFERROR(__xludf.DUMMYFUNCTION("""COMPUTED_VALUE"""),"Point 2")</f>
        <v>Point 2</v>
      </c>
      <c r="AC470" s="4">
        <f>IFERROR(__xludf.DUMMYFUNCTION("""COMPUTED_VALUE"""),11.98857)</f>
        <v>11.98857</v>
      </c>
      <c r="AD470" s="4">
        <f>IFERROR(__xludf.DUMMYFUNCTION("""COMPUTED_VALUE"""),8.568718)</f>
        <v>8.568718</v>
      </c>
      <c r="AE470" s="5" t="str">
        <f>IFERROR(__xludf.DUMMYFUNCTION("""COMPUTED_VALUE"""),"https://drive.google.com/open?id=1I8KlNjAGpc64o0qhRppi5QIvPkWQeJMV")</f>
        <v>https://drive.google.com/open?id=1I8KlNjAGpc64o0qhRppi5QIvPkWQeJMV</v>
      </c>
      <c r="AF470" s="4"/>
      <c r="AG470" s="4"/>
      <c r="AH470" s="4"/>
      <c r="AI470" s="4"/>
      <c r="AL470" s="4" t="str">
        <f t="shared" si="1"/>
        <v>Cluster 19</v>
      </c>
      <c r="AM470" s="4" t="str">
        <f t="shared" si="2"/>
        <v>DAUDA BIRMA STREET</v>
      </c>
    </row>
    <row r="471">
      <c r="A471" s="3">
        <f>IFERROR(__xludf.DUMMYFUNCTION("""COMPUTED_VALUE"""),45865.6121816088)</f>
        <v>45865.61218</v>
      </c>
      <c r="B471" s="4" t="str">
        <f>IFERROR(__xludf.DUMMYFUNCTION("""COMPUTED_VALUE"""),"ajisadiqdala@gmail.com")</f>
        <v>ajisadiqdala@gmail.com</v>
      </c>
      <c r="C471" s="4" t="str">
        <f>IFERROR(__xludf.DUMMYFUNCTION("""COMPUTED_VALUE"""),"Sadiq Dala")</f>
        <v>Sadiq Dala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 t="str">
        <f>IFERROR(__xludf.DUMMYFUNCTION("""COMPUTED_VALUE"""),"Cluster 19")</f>
        <v>Cluster 19</v>
      </c>
      <c r="W471" s="4"/>
      <c r="X471" s="4"/>
      <c r="Y471" s="4"/>
      <c r="Z471" s="4"/>
      <c r="AA471" s="4" t="str">
        <f>IFERROR(__xludf.DUMMYFUNCTION("""COMPUTED_VALUE"""),"DAUDA BIRMA STREET")</f>
        <v>DAUDA BIRMA STREET</v>
      </c>
      <c r="AB471" s="4" t="str">
        <f>IFERROR(__xludf.DUMMYFUNCTION("""COMPUTED_VALUE"""),"Point 1")</f>
        <v>Point 1</v>
      </c>
      <c r="AC471" s="4">
        <f>IFERROR(__xludf.DUMMYFUNCTION("""COMPUTED_VALUE"""),11.98856802)</f>
        <v>11.98856802</v>
      </c>
      <c r="AD471" s="4">
        <f>IFERROR(__xludf.DUMMYFUNCTION("""COMPUTED_VALUE"""),8.567681443)</f>
        <v>8.567681443</v>
      </c>
      <c r="AE471" s="5" t="str">
        <f>IFERROR(__xludf.DUMMYFUNCTION("""COMPUTED_VALUE"""),"https://drive.google.com/open?id=1cWj8q_iGsGiTf-QtOEMhhe6cpaOOAEkL")</f>
        <v>https://drive.google.com/open?id=1cWj8q_iGsGiTf-QtOEMhhe6cpaOOAEkL</v>
      </c>
      <c r="AF471" s="4"/>
      <c r="AG471" s="4"/>
      <c r="AH471" s="4"/>
      <c r="AI471" s="4"/>
      <c r="AL471" s="4" t="str">
        <f t="shared" si="1"/>
        <v>Cluster 19</v>
      </c>
      <c r="AM471" s="4" t="str">
        <f t="shared" si="2"/>
        <v>DAUDA BIRMA STREET</v>
      </c>
    </row>
    <row r="472">
      <c r="A472" s="3">
        <f>IFERROR(__xludf.DUMMYFUNCTION("""COMPUTED_VALUE"""),45865.60974619213)</f>
        <v>45865.60975</v>
      </c>
      <c r="B472" s="4" t="str">
        <f>IFERROR(__xludf.DUMMYFUNCTION("""COMPUTED_VALUE"""),"ajisadiqdala@gmail.com")</f>
        <v>ajisadiqdala@gmail.com</v>
      </c>
      <c r="C472" s="4" t="str">
        <f>IFERROR(__xludf.DUMMYFUNCTION("""COMPUTED_VALUE"""),"Sadiq Dala")</f>
        <v>Sadiq Dala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 t="str">
        <f>IFERROR(__xludf.DUMMYFUNCTION("""COMPUTED_VALUE"""),"Cluster 19")</f>
        <v>Cluster 19</v>
      </c>
      <c r="W472" s="4"/>
      <c r="X472" s="4"/>
      <c r="Y472" s="4"/>
      <c r="Z472" s="4"/>
      <c r="AA472" s="4" t="str">
        <f>IFERROR(__xludf.DUMMYFUNCTION("""COMPUTED_VALUE"""),"MADUGU LINK")</f>
        <v>MADUGU LINK</v>
      </c>
      <c r="AB472" s="4" t="str">
        <f>IFERROR(__xludf.DUMMYFUNCTION("""COMPUTED_VALUE"""),"Point 1")</f>
        <v>Point 1</v>
      </c>
      <c r="AC472" s="4">
        <f>IFERROR(__xludf.DUMMYFUNCTION("""COMPUTED_VALUE"""),11.99355853)</f>
        <v>11.99355853</v>
      </c>
      <c r="AD472" s="4">
        <f>IFERROR(__xludf.DUMMYFUNCTION("""COMPUTED_VALUE"""),8.568775281)</f>
        <v>8.568775281</v>
      </c>
      <c r="AE472" s="5" t="str">
        <f>IFERROR(__xludf.DUMMYFUNCTION("""COMPUTED_VALUE"""),"https://drive.google.com/open?id=16Q_2vVFDuSJPQThZ_aWiYbCnZY_73R_i")</f>
        <v>https://drive.google.com/open?id=16Q_2vVFDuSJPQThZ_aWiYbCnZY_73R_i</v>
      </c>
      <c r="AF472" s="4"/>
      <c r="AG472" s="4"/>
      <c r="AH472" s="4"/>
      <c r="AI472" s="4"/>
      <c r="AL472" s="4" t="str">
        <f t="shared" si="1"/>
        <v>Cluster 19</v>
      </c>
      <c r="AM472" s="4" t="str">
        <f t="shared" si="2"/>
        <v>MADUGU LINK</v>
      </c>
    </row>
    <row r="473">
      <c r="A473" s="3">
        <f>IFERROR(__xludf.DUMMYFUNCTION("""COMPUTED_VALUE"""),45865.55231789352)</f>
        <v>45865.55232</v>
      </c>
      <c r="B473" s="4" t="str">
        <f>IFERROR(__xludf.DUMMYFUNCTION("""COMPUTED_VALUE"""),"ajisadiqdala@gmail.com")</f>
        <v>ajisadiqdala@gmail.com</v>
      </c>
      <c r="C473" s="4" t="str">
        <f>IFERROR(__xludf.DUMMYFUNCTION("""COMPUTED_VALUE"""),"Sadiq Dala")</f>
        <v>Sadiq Dala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 t="str">
        <f>IFERROR(__xludf.DUMMYFUNCTION("""COMPUTED_VALUE"""),"Cluster 19")</f>
        <v>Cluster 19</v>
      </c>
      <c r="W473" s="4"/>
      <c r="X473" s="4"/>
      <c r="Y473" s="4"/>
      <c r="Z473" s="4"/>
      <c r="AA473" s="4" t="str">
        <f>IFERROR(__xludf.DUMMYFUNCTION("""COMPUTED_VALUE"""),"LARABA ROAD")</f>
        <v>LARABA ROAD</v>
      </c>
      <c r="AB473" s="4" t="str">
        <f>IFERROR(__xludf.DUMMYFUNCTION("""COMPUTED_VALUE"""),"Point 1")</f>
        <v>Point 1</v>
      </c>
      <c r="AC473" s="4">
        <f>IFERROR(__xludf.DUMMYFUNCTION("""COMPUTED_VALUE"""),11.99190469)</f>
        <v>11.99190469</v>
      </c>
      <c r="AD473" s="4">
        <f>IFERROR(__xludf.DUMMYFUNCTION("""COMPUTED_VALUE"""),8.563286803)</f>
        <v>8.563286803</v>
      </c>
      <c r="AE473" s="5" t="str">
        <f>IFERROR(__xludf.DUMMYFUNCTION("""COMPUTED_VALUE"""),"https://drive.google.com/open?id=198DQVgBh797dNSKevQUXCZEwqr-MDTIq")</f>
        <v>https://drive.google.com/open?id=198DQVgBh797dNSKevQUXCZEwqr-MDTIq</v>
      </c>
      <c r="AF473" s="4"/>
      <c r="AG473" s="4"/>
      <c r="AH473" s="4"/>
      <c r="AI473" s="4"/>
      <c r="AL473" s="4" t="str">
        <f t="shared" si="1"/>
        <v>Cluster 19</v>
      </c>
      <c r="AM473" s="4" t="str">
        <f t="shared" si="2"/>
        <v>LARABA ROAD</v>
      </c>
    </row>
    <row r="474">
      <c r="A474" s="3">
        <f>IFERROR(__xludf.DUMMYFUNCTION("""COMPUTED_VALUE"""),45865.54713170139)</f>
        <v>45865.54713</v>
      </c>
      <c r="B474" s="4" t="str">
        <f>IFERROR(__xludf.DUMMYFUNCTION("""COMPUTED_VALUE"""),"ajisadiqdala@gmail.com")</f>
        <v>ajisadiqdala@gmail.com</v>
      </c>
      <c r="C474" s="4" t="str">
        <f>IFERROR(__xludf.DUMMYFUNCTION("""COMPUTED_VALUE"""),"Sadiq Dala")</f>
        <v>Sadiq Dala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 t="str">
        <f>IFERROR(__xludf.DUMMYFUNCTION("""COMPUTED_VALUE"""),"Cluster 19")</f>
        <v>Cluster 19</v>
      </c>
      <c r="W474" s="4"/>
      <c r="X474" s="4"/>
      <c r="Y474" s="4"/>
      <c r="Z474" s="4"/>
      <c r="AA474" s="4" t="str">
        <f>IFERROR(__xludf.DUMMYFUNCTION("""COMPUTED_VALUE"""),"LAMIDO TERRACE")</f>
        <v>LAMIDO TERRACE</v>
      </c>
      <c r="AB474" s="4" t="str">
        <f>IFERROR(__xludf.DUMMYFUNCTION("""COMPUTED_VALUE"""),"Point 2")</f>
        <v>Point 2</v>
      </c>
      <c r="AC474" s="4">
        <f>IFERROR(__xludf.DUMMYFUNCTION("""COMPUTED_VALUE"""),11.98732404)</f>
        <v>11.98732404</v>
      </c>
      <c r="AD474" s="4">
        <f>IFERROR(__xludf.DUMMYFUNCTION("""COMPUTED_VALUE"""),8.56646193)</f>
        <v>8.56646193</v>
      </c>
      <c r="AE474" s="5" t="str">
        <f>IFERROR(__xludf.DUMMYFUNCTION("""COMPUTED_VALUE"""),"https://drive.google.com/open?id=16OuXU33l4Y-PIcNTQ-UFiUhx5TZZ9yb6")</f>
        <v>https://drive.google.com/open?id=16OuXU33l4Y-PIcNTQ-UFiUhx5TZZ9yb6</v>
      </c>
      <c r="AF474" s="4"/>
      <c r="AG474" s="4"/>
      <c r="AH474" s="4"/>
      <c r="AI474" s="4"/>
      <c r="AL474" s="4" t="str">
        <f t="shared" si="1"/>
        <v>Cluster 19</v>
      </c>
      <c r="AM474" s="4" t="str">
        <f t="shared" si="2"/>
        <v>LAMIDO TERRACE</v>
      </c>
    </row>
    <row r="475">
      <c r="A475" s="3">
        <f>IFERROR(__xludf.DUMMYFUNCTION("""COMPUTED_VALUE"""),45865.54569800926)</f>
        <v>45865.5457</v>
      </c>
      <c r="B475" s="4" t="str">
        <f>IFERROR(__xludf.DUMMYFUNCTION("""COMPUTED_VALUE"""),"ajisadiqdala@gmail.com")</f>
        <v>ajisadiqdala@gmail.com</v>
      </c>
      <c r="C475" s="4" t="str">
        <f>IFERROR(__xludf.DUMMYFUNCTION("""COMPUTED_VALUE"""),"Sadiq Dala")</f>
        <v>Sadiq Dala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 t="str">
        <f>IFERROR(__xludf.DUMMYFUNCTION("""COMPUTED_VALUE"""),"Cluster 19")</f>
        <v>Cluster 19</v>
      </c>
      <c r="W475" s="4"/>
      <c r="X475" s="4"/>
      <c r="Y475" s="4"/>
      <c r="Z475" s="4"/>
      <c r="AA475" s="4" t="str">
        <f>IFERROR(__xludf.DUMMYFUNCTION("""COMPUTED_VALUE"""),"LAMIDO TERRACE")</f>
        <v>LAMIDO TERRACE</v>
      </c>
      <c r="AB475" s="4" t="str">
        <f>IFERROR(__xludf.DUMMYFUNCTION("""COMPUTED_VALUE"""),"Point 1")</f>
        <v>Point 1</v>
      </c>
      <c r="AC475" s="4">
        <f>IFERROR(__xludf.DUMMYFUNCTION("""COMPUTED_VALUE"""),11.98685559)</f>
        <v>11.98685559</v>
      </c>
      <c r="AD475" s="4">
        <f>IFERROR(__xludf.DUMMYFUNCTION("""COMPUTED_VALUE"""),8.564043913)</f>
        <v>8.564043913</v>
      </c>
      <c r="AE475" s="5" t="str">
        <f>IFERROR(__xludf.DUMMYFUNCTION("""COMPUTED_VALUE"""),"https://drive.google.com/open?id=1lP57YkKPNlGRCEFEfxdAWlbCQFb5qHcN")</f>
        <v>https://drive.google.com/open?id=1lP57YkKPNlGRCEFEfxdAWlbCQFb5qHcN</v>
      </c>
      <c r="AF475" s="4"/>
      <c r="AG475" s="4"/>
      <c r="AH475" s="4"/>
      <c r="AI475" s="4"/>
      <c r="AL475" s="4" t="str">
        <f t="shared" si="1"/>
        <v>Cluster 19</v>
      </c>
      <c r="AM475" s="4" t="str">
        <f t="shared" si="2"/>
        <v>LAMIDO TERRACE</v>
      </c>
    </row>
    <row r="476">
      <c r="A476" s="3">
        <f>IFERROR(__xludf.DUMMYFUNCTION("""COMPUTED_VALUE"""),45865.5436337963)</f>
        <v>45865.54363</v>
      </c>
      <c r="B476" s="4" t="str">
        <f>IFERROR(__xludf.DUMMYFUNCTION("""COMPUTED_VALUE"""),"ajisadiqdala@gmail.com")</f>
        <v>ajisadiqdala@gmail.com</v>
      </c>
      <c r="C476" s="4" t="str">
        <f>IFERROR(__xludf.DUMMYFUNCTION("""COMPUTED_VALUE"""),"Sadiq Dala")</f>
        <v>Sadiq Dala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 t="str">
        <f>IFERROR(__xludf.DUMMYFUNCTION("""COMPUTED_VALUE"""),"Cluster 19")</f>
        <v>Cluster 19</v>
      </c>
      <c r="W476" s="4"/>
      <c r="X476" s="4"/>
      <c r="Y476" s="4"/>
      <c r="Z476" s="4"/>
      <c r="AA476" s="4" t="str">
        <f>IFERROR(__xludf.DUMMYFUNCTION("""COMPUTED_VALUE"""),"SARDAUNA CRESCENT")</f>
        <v>SARDAUNA CRESCENT</v>
      </c>
      <c r="AB476" s="4" t="str">
        <f>IFERROR(__xludf.DUMMYFUNCTION("""COMPUTED_VALUE"""),"Point 2")</f>
        <v>Point 2</v>
      </c>
      <c r="AC476" s="4">
        <f>IFERROR(__xludf.DUMMYFUNCTION("""COMPUTED_VALUE"""),8.563286803)</f>
        <v>8.563286803</v>
      </c>
      <c r="AD476" s="4">
        <f>IFERROR(__xludf.DUMMYFUNCTION("""COMPUTED_VALUE"""),8.563286803)</f>
        <v>8.563286803</v>
      </c>
      <c r="AE476" s="5" t="str">
        <f>IFERROR(__xludf.DUMMYFUNCTION("""COMPUTED_VALUE"""),"https://drive.google.com/open?id=1p_NlO_MmXgAFoJCl0bzxqJoVxnQqKg0d")</f>
        <v>https://drive.google.com/open?id=1p_NlO_MmXgAFoJCl0bzxqJoVxnQqKg0d</v>
      </c>
      <c r="AF476" s="4"/>
      <c r="AG476" s="4"/>
      <c r="AH476" s="4"/>
      <c r="AI476" s="4"/>
      <c r="AL476" s="4" t="str">
        <f t="shared" si="1"/>
        <v>Cluster 19</v>
      </c>
      <c r="AM476" s="4" t="str">
        <f t="shared" si="2"/>
        <v>SARDAUNA CRESCENT</v>
      </c>
    </row>
    <row r="477">
      <c r="A477" s="3">
        <f>IFERROR(__xludf.DUMMYFUNCTION("""COMPUTED_VALUE"""),45865.54221908565)</f>
        <v>45865.54222</v>
      </c>
      <c r="B477" s="4" t="str">
        <f>IFERROR(__xludf.DUMMYFUNCTION("""COMPUTED_VALUE"""),"ajisadiqdala@gmail.com")</f>
        <v>ajisadiqdala@gmail.com</v>
      </c>
      <c r="C477" s="4" t="str">
        <f>IFERROR(__xludf.DUMMYFUNCTION("""COMPUTED_VALUE"""),"Sadiq Dala")</f>
        <v>Sadiq Dala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 t="str">
        <f>IFERROR(__xludf.DUMMYFUNCTION("""COMPUTED_VALUE"""),"Cluster 19")</f>
        <v>Cluster 19</v>
      </c>
      <c r="W477" s="4"/>
      <c r="X477" s="4"/>
      <c r="Y477" s="4"/>
      <c r="Z477" s="4"/>
      <c r="AA477" s="4" t="str">
        <f>IFERROR(__xludf.DUMMYFUNCTION("""COMPUTED_VALUE"""),"SARDAUNA CRESCENT")</f>
        <v>SARDAUNA CRESCENT</v>
      </c>
      <c r="AB477" s="4" t="str">
        <f>IFERROR(__xludf.DUMMYFUNCTION("""COMPUTED_VALUE"""),"Point 1")</f>
        <v>Point 1</v>
      </c>
      <c r="AC477" s="4">
        <f>IFERROR(__xludf.DUMMYFUNCTION("""COMPUTED_VALUE"""),8.564407534)</f>
        <v>8.564407534</v>
      </c>
      <c r="AD477" s="4">
        <f>IFERROR(__xludf.DUMMYFUNCTION("""COMPUTED_VALUE"""),8.564407534)</f>
        <v>8.564407534</v>
      </c>
      <c r="AE477" s="5" t="str">
        <f>IFERROR(__xludf.DUMMYFUNCTION("""COMPUTED_VALUE"""),"https://drive.google.com/open?id=1cDwsUwMVEJlfImaQ-hsjHWxkHzh5e9ac")</f>
        <v>https://drive.google.com/open?id=1cDwsUwMVEJlfImaQ-hsjHWxkHzh5e9ac</v>
      </c>
      <c r="AF477" s="4"/>
      <c r="AG477" s="4"/>
      <c r="AH477" s="4"/>
      <c r="AI477" s="4"/>
      <c r="AL477" s="4" t="str">
        <f t="shared" si="1"/>
        <v>Cluster 19</v>
      </c>
      <c r="AM477" s="4" t="str">
        <f t="shared" si="2"/>
        <v>SARDAUNA CRESCENT</v>
      </c>
    </row>
    <row r="478">
      <c r="A478" s="3">
        <f>IFERROR(__xludf.DUMMYFUNCTION("""COMPUTED_VALUE"""),45865.54098440972)</f>
        <v>45865.54098</v>
      </c>
      <c r="B478" s="4" t="str">
        <f>IFERROR(__xludf.DUMMYFUNCTION("""COMPUTED_VALUE"""),"ajisadiqdala@gmail.com")</f>
        <v>ajisadiqdala@gmail.com</v>
      </c>
      <c r="C478" s="4" t="str">
        <f>IFERROR(__xludf.DUMMYFUNCTION("""COMPUTED_VALUE"""),"Sadiq Dala")</f>
        <v>Sadiq Dala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 t="str">
        <f>IFERROR(__xludf.DUMMYFUNCTION("""COMPUTED_VALUE"""),"Cluster 19")</f>
        <v>Cluster 19</v>
      </c>
      <c r="W478" s="4"/>
      <c r="X478" s="4"/>
      <c r="Y478" s="4"/>
      <c r="Z478" s="4"/>
      <c r="AA478" s="4" t="str">
        <f>IFERROR(__xludf.DUMMYFUNCTION("""COMPUTED_VALUE"""),"BELLO ADOKE CLOSE")</f>
        <v>BELLO ADOKE CLOSE</v>
      </c>
      <c r="AB478" s="4" t="str">
        <f>IFERROR(__xludf.DUMMYFUNCTION("""COMPUTED_VALUE"""),"Point 2")</f>
        <v>Point 2</v>
      </c>
      <c r="AC478" s="4">
        <f>IFERROR(__xludf.DUMMYFUNCTION("""COMPUTED_VALUE"""),11.99363863)</f>
        <v>11.99363863</v>
      </c>
      <c r="AD478" s="4">
        <f>IFERROR(__xludf.DUMMYFUNCTION("""COMPUTED_VALUE"""),8.565262614)</f>
        <v>8.565262614</v>
      </c>
      <c r="AE478" s="5" t="str">
        <f>IFERROR(__xludf.DUMMYFUNCTION("""COMPUTED_VALUE"""),"https://drive.google.com/open?id=121UMmHJdUrg5rbJtEmR_2GSAbBSev4uE")</f>
        <v>https://drive.google.com/open?id=121UMmHJdUrg5rbJtEmR_2GSAbBSev4uE</v>
      </c>
      <c r="AF478" s="4"/>
      <c r="AG478" s="4"/>
      <c r="AH478" s="4"/>
      <c r="AI478" s="4"/>
      <c r="AL478" s="4" t="str">
        <f t="shared" si="1"/>
        <v>Cluster 19</v>
      </c>
      <c r="AM478" s="4" t="str">
        <f t="shared" si="2"/>
        <v>BELLO ADOKE CLOSE</v>
      </c>
    </row>
    <row r="479">
      <c r="A479" s="3">
        <f>IFERROR(__xludf.DUMMYFUNCTION("""COMPUTED_VALUE"""),45865.53977693287)</f>
        <v>45865.53978</v>
      </c>
      <c r="B479" s="4" t="str">
        <f>IFERROR(__xludf.DUMMYFUNCTION("""COMPUTED_VALUE"""),"ajisadiqdala@gmail.com")</f>
        <v>ajisadiqdala@gmail.com</v>
      </c>
      <c r="C479" s="4" t="str">
        <f>IFERROR(__xludf.DUMMYFUNCTION("""COMPUTED_VALUE"""),"Sadiq Dala")</f>
        <v>Sadiq Dala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 t="str">
        <f>IFERROR(__xludf.DUMMYFUNCTION("""COMPUTED_VALUE"""),"Cluster 19")</f>
        <v>Cluster 19</v>
      </c>
      <c r="W479" s="4"/>
      <c r="X479" s="4"/>
      <c r="Y479" s="4"/>
      <c r="Z479" s="4"/>
      <c r="AA479" s="4" t="str">
        <f>IFERROR(__xludf.DUMMYFUNCTION("""COMPUTED_VALUE"""),"BELLO ADOKE CLOSE")</f>
        <v>BELLO ADOKE CLOSE</v>
      </c>
      <c r="AB479" s="4" t="str">
        <f>IFERROR(__xludf.DUMMYFUNCTION("""COMPUTED_VALUE"""),"Point 1")</f>
        <v>Point 1</v>
      </c>
      <c r="AC479" s="4">
        <f>IFERROR(__xludf.DUMMYFUNCTION("""COMPUTED_VALUE"""),11.9936451)</f>
        <v>11.9936451</v>
      </c>
      <c r="AD479" s="4">
        <f>IFERROR(__xludf.DUMMYFUNCTION("""COMPUTED_VALUE"""),8.566124656)</f>
        <v>8.566124656</v>
      </c>
      <c r="AE479" s="5" t="str">
        <f>IFERROR(__xludf.DUMMYFUNCTION("""COMPUTED_VALUE"""),"https://drive.google.com/open?id=1Jsh995DeeF-8q8aoI6tTbqiw7u6Pd21L")</f>
        <v>https://drive.google.com/open?id=1Jsh995DeeF-8q8aoI6tTbqiw7u6Pd21L</v>
      </c>
      <c r="AF479" s="4"/>
      <c r="AG479" s="4"/>
      <c r="AH479" s="4"/>
      <c r="AI479" s="4"/>
      <c r="AL479" s="4" t="str">
        <f t="shared" si="1"/>
        <v>Cluster 19</v>
      </c>
      <c r="AM479" s="4" t="str">
        <f t="shared" si="2"/>
        <v>BELLO ADOKE CLOSE</v>
      </c>
    </row>
    <row r="480">
      <c r="A480" s="3">
        <f>IFERROR(__xludf.DUMMYFUNCTION("""COMPUTED_VALUE"""),45865.53842136574)</f>
        <v>45865.53842</v>
      </c>
      <c r="B480" s="4" t="str">
        <f>IFERROR(__xludf.DUMMYFUNCTION("""COMPUTED_VALUE"""),"ajisadiqdala@gmail.com")</f>
        <v>ajisadiqdala@gmail.com</v>
      </c>
      <c r="C480" s="4" t="str">
        <f>IFERROR(__xludf.DUMMYFUNCTION("""COMPUTED_VALUE"""),"Sadiq Dala")</f>
        <v>Sadiq Dala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 t="str">
        <f>IFERROR(__xludf.DUMMYFUNCTION("""COMPUTED_VALUE"""),"Cluster 19")</f>
        <v>Cluster 19</v>
      </c>
      <c r="W480" s="4"/>
      <c r="X480" s="4"/>
      <c r="Y480" s="4"/>
      <c r="Z480" s="4"/>
      <c r="AA480" s="4" t="str">
        <f>IFERROR(__xludf.DUMMYFUNCTION("""COMPUTED_VALUE"""),"SURAJO MARSHAL LINK")</f>
        <v>SURAJO MARSHAL LINK</v>
      </c>
      <c r="AB480" s="4" t="str">
        <f>IFERROR(__xludf.DUMMYFUNCTION("""COMPUTED_VALUE"""),"Point 2")</f>
        <v>Point 2</v>
      </c>
      <c r="AC480" s="4">
        <f>IFERROR(__xludf.DUMMYFUNCTION("""COMPUTED_VALUE"""),11.9936451)</f>
        <v>11.9936451</v>
      </c>
      <c r="AD480" s="4">
        <f>IFERROR(__xludf.DUMMYFUNCTION("""COMPUTED_VALUE"""),8.566124656)</f>
        <v>8.566124656</v>
      </c>
      <c r="AE480" s="5" t="str">
        <f>IFERROR(__xludf.DUMMYFUNCTION("""COMPUTED_VALUE"""),"https://drive.google.com/open?id=11MPCDHIrZQkYY2sLSIWIh2w_dt90rWNo")</f>
        <v>https://drive.google.com/open?id=11MPCDHIrZQkYY2sLSIWIh2w_dt90rWNo</v>
      </c>
      <c r="AF480" s="4"/>
      <c r="AG480" s="4"/>
      <c r="AH480" s="4"/>
      <c r="AI480" s="4"/>
      <c r="AL480" s="4" t="str">
        <f t="shared" si="1"/>
        <v>Cluster 19</v>
      </c>
      <c r="AM480" s="4" t="str">
        <f t="shared" si="2"/>
        <v>SURAJO MARSHAL LINK</v>
      </c>
    </row>
    <row r="481">
      <c r="A481" s="3">
        <f>IFERROR(__xludf.DUMMYFUNCTION("""COMPUTED_VALUE"""),45865.53731983797)</f>
        <v>45865.53732</v>
      </c>
      <c r="B481" s="4" t="str">
        <f>IFERROR(__xludf.DUMMYFUNCTION("""COMPUTED_VALUE"""),"ajisadiqdala@gmail.com")</f>
        <v>ajisadiqdala@gmail.com</v>
      </c>
      <c r="C481" s="4" t="str">
        <f>IFERROR(__xludf.DUMMYFUNCTION("""COMPUTED_VALUE"""),"Sadiq Dala")</f>
        <v>Sadiq Dala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 t="str">
        <f>IFERROR(__xludf.DUMMYFUNCTION("""COMPUTED_VALUE"""),"Cluster 19")</f>
        <v>Cluster 19</v>
      </c>
      <c r="W481" s="4"/>
      <c r="X481" s="4"/>
      <c r="Y481" s="4"/>
      <c r="Z481" s="4"/>
      <c r="AA481" s="4" t="str">
        <f>IFERROR(__xludf.DUMMYFUNCTION("""COMPUTED_VALUE"""),"SURAJO MARSHAL LINK")</f>
        <v>SURAJO MARSHAL LINK</v>
      </c>
      <c r="AB481" s="4" t="str">
        <f>IFERROR(__xludf.DUMMYFUNCTION("""COMPUTED_VALUE"""),"Point 1")</f>
        <v>Point 1</v>
      </c>
      <c r="AC481" s="4">
        <f>IFERROR(__xludf.DUMMYFUNCTION("""COMPUTED_VALUE"""),8.566843705)</f>
        <v>8.566843705</v>
      </c>
      <c r="AD481" s="4">
        <f>IFERROR(__xludf.DUMMYFUNCTION("""COMPUTED_VALUE"""),8.566843705)</f>
        <v>8.566843705</v>
      </c>
      <c r="AE481" s="5" t="str">
        <f>IFERROR(__xludf.DUMMYFUNCTION("""COMPUTED_VALUE"""),"https://drive.google.com/open?id=14ktj-oeGtxb6Y7jXnV8brjkvaubXNtRX")</f>
        <v>https://drive.google.com/open?id=14ktj-oeGtxb6Y7jXnV8brjkvaubXNtRX</v>
      </c>
      <c r="AF481" s="4"/>
      <c r="AG481" s="4"/>
      <c r="AH481" s="4"/>
      <c r="AI481" s="4"/>
      <c r="AL481" s="4" t="str">
        <f t="shared" si="1"/>
        <v>Cluster 19</v>
      </c>
      <c r="AM481" s="4" t="str">
        <f t="shared" si="2"/>
        <v>SURAJO MARSHAL LINK</v>
      </c>
    </row>
    <row r="482">
      <c r="A482" s="3">
        <f>IFERROR(__xludf.DUMMYFUNCTION("""COMPUTED_VALUE"""),45865.535603599536)</f>
        <v>45865.5356</v>
      </c>
      <c r="B482" s="4" t="str">
        <f>IFERROR(__xludf.DUMMYFUNCTION("""COMPUTED_VALUE"""),"ajisadiqdala@gmail.com")</f>
        <v>ajisadiqdala@gmail.com</v>
      </c>
      <c r="C482" s="4" t="str">
        <f>IFERROR(__xludf.DUMMYFUNCTION("""COMPUTED_VALUE"""),"Sadiq Dala")</f>
        <v>Sadiq Dala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 t="str">
        <f>IFERROR(__xludf.DUMMYFUNCTION("""COMPUTED_VALUE"""),"Cluster 19")</f>
        <v>Cluster 19</v>
      </c>
      <c r="W482" s="4"/>
      <c r="X482" s="4"/>
      <c r="Y482" s="4"/>
      <c r="Z482" s="4"/>
      <c r="AA482" s="4" t="str">
        <f>IFERROR(__xludf.DUMMYFUNCTION("""COMPUTED_VALUE"""),"SALIHU ZAWA'I UBA AVENUE")</f>
        <v>SALIHU ZAWA'I UBA AVENUE</v>
      </c>
      <c r="AB482" s="4" t="str">
        <f>IFERROR(__xludf.DUMMYFUNCTION("""COMPUTED_VALUE"""),"Point 2")</f>
        <v>Point 2</v>
      </c>
      <c r="AC482" s="4">
        <f>IFERROR(__xludf.DUMMYFUNCTION("""COMPUTED_VALUE"""),11.99617532)</f>
        <v>11.99617532</v>
      </c>
      <c r="AD482" s="4">
        <f>IFERROR(__xludf.DUMMYFUNCTION("""COMPUTED_VALUE"""),8.568498658)</f>
        <v>8.568498658</v>
      </c>
      <c r="AE482" s="5" t="str">
        <f>IFERROR(__xludf.DUMMYFUNCTION("""COMPUTED_VALUE"""),"https://drive.google.com/open?id=1DVl0yDfKMITXrwiyIa0Nr-fhpWj8oCjh")</f>
        <v>https://drive.google.com/open?id=1DVl0yDfKMITXrwiyIa0Nr-fhpWj8oCjh</v>
      </c>
      <c r="AF482" s="4"/>
      <c r="AG482" s="4"/>
      <c r="AH482" s="4"/>
      <c r="AI482" s="4"/>
      <c r="AL482" s="4" t="str">
        <f t="shared" si="1"/>
        <v>Cluster 19</v>
      </c>
      <c r="AM482" s="4" t="str">
        <f t="shared" si="2"/>
        <v>SALIHU ZAWA'I UBA AVENUE</v>
      </c>
    </row>
    <row r="483">
      <c r="A483" s="3">
        <f>IFERROR(__xludf.DUMMYFUNCTION("""COMPUTED_VALUE"""),45865.53429221065)</f>
        <v>45865.53429</v>
      </c>
      <c r="B483" s="4" t="str">
        <f>IFERROR(__xludf.DUMMYFUNCTION("""COMPUTED_VALUE"""),"ajisadiqdala@gmail.com")</f>
        <v>ajisadiqdala@gmail.com</v>
      </c>
      <c r="C483" s="4" t="str">
        <f>IFERROR(__xludf.DUMMYFUNCTION("""COMPUTED_VALUE"""),"Sadiq Dala")</f>
        <v>Sadiq Dala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 t="str">
        <f>IFERROR(__xludf.DUMMYFUNCTION("""COMPUTED_VALUE"""),"Cluster 19")</f>
        <v>Cluster 19</v>
      </c>
      <c r="W483" s="4"/>
      <c r="X483" s="4"/>
      <c r="Y483" s="4"/>
      <c r="Z483" s="4"/>
      <c r="AA483" s="4" t="str">
        <f>IFERROR(__xludf.DUMMYFUNCTION("""COMPUTED_VALUE"""),"SURAJO MARSHAL LINK")</f>
        <v>SURAJO MARSHAL LINK</v>
      </c>
      <c r="AB483" s="4" t="str">
        <f>IFERROR(__xludf.DUMMYFUNCTION("""COMPUTED_VALUE"""),"Point 1")</f>
        <v>Point 1</v>
      </c>
      <c r="AC483" s="4">
        <f>IFERROR(__xludf.DUMMYFUNCTION("""COMPUTED_VALUE"""),11.99489747)</f>
        <v>11.99489747</v>
      </c>
      <c r="AD483" s="4">
        <f>IFERROR(__xludf.DUMMYFUNCTION("""COMPUTED_VALUE"""),8.568508218)</f>
        <v>8.568508218</v>
      </c>
      <c r="AE483" s="5" t="str">
        <f>IFERROR(__xludf.DUMMYFUNCTION("""COMPUTED_VALUE"""),"https://drive.google.com/open?id=185NY-2nw3dvpdn6i2CUboRcIeuzoIp4n")</f>
        <v>https://drive.google.com/open?id=185NY-2nw3dvpdn6i2CUboRcIeuzoIp4n</v>
      </c>
      <c r="AF483" s="4"/>
      <c r="AG483" s="4"/>
      <c r="AH483" s="4"/>
      <c r="AI483" s="4"/>
      <c r="AL483" s="4" t="str">
        <f t="shared" si="1"/>
        <v>Cluster 19</v>
      </c>
      <c r="AM483" s="4" t="str">
        <f t="shared" si="2"/>
        <v>SURAJO MARSHAL LINK</v>
      </c>
    </row>
    <row r="484">
      <c r="A484" s="3">
        <f>IFERROR(__xludf.DUMMYFUNCTION("""COMPUTED_VALUE"""),45865.52284600695)</f>
        <v>45865.52285</v>
      </c>
      <c r="B484" s="4" t="str">
        <f>IFERROR(__xludf.DUMMYFUNCTION("""COMPUTED_VALUE"""),"ajisadiqdala@gmail.com")</f>
        <v>ajisadiqdala@gmail.com</v>
      </c>
      <c r="C484" s="4" t="str">
        <f>IFERROR(__xludf.DUMMYFUNCTION("""COMPUTED_VALUE"""),"Sadiq Dala")</f>
        <v>Sadiq Dala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 t="str">
        <f>IFERROR(__xludf.DUMMYFUNCTION("""COMPUTED_VALUE"""),"Cluster 5")</f>
        <v>Cluster 5</v>
      </c>
      <c r="W484" s="4" t="str">
        <f>IFERROR(__xludf.DUMMYFUNCTION("""COMPUTED_VALUE"""),"ALI UNGUWAR GANO STREET")</f>
        <v>ALI UNGUWAR GANO STREET</v>
      </c>
      <c r="X484" s="4"/>
      <c r="Y484" s="4"/>
      <c r="Z484" s="4"/>
      <c r="AA484" s="4"/>
      <c r="AB484" s="4" t="str">
        <f>IFERROR(__xludf.DUMMYFUNCTION("""COMPUTED_VALUE"""),"Point 2")</f>
        <v>Point 2</v>
      </c>
      <c r="AC484" s="4">
        <f>IFERROR(__xludf.DUMMYFUNCTION("""COMPUTED_VALUE"""),11.94477125)</f>
        <v>11.94477125</v>
      </c>
      <c r="AD484" s="4">
        <f>IFERROR(__xludf.DUMMYFUNCTION("""COMPUTED_VALUE"""),8.552792516)</f>
        <v>8.552792516</v>
      </c>
      <c r="AE484" s="5" t="str">
        <f>IFERROR(__xludf.DUMMYFUNCTION("""COMPUTED_VALUE"""),"https://drive.google.com/open?id=1JaSgEWmm3KnlL9GQWI0F_eBcurhTmNer")</f>
        <v>https://drive.google.com/open?id=1JaSgEWmm3KnlL9GQWI0F_eBcurhTmNer</v>
      </c>
      <c r="AF484" s="4"/>
      <c r="AG484" s="4"/>
      <c r="AH484" s="4"/>
      <c r="AI484" s="4"/>
      <c r="AL484" s="4" t="str">
        <f t="shared" si="1"/>
        <v>Cluster 5</v>
      </c>
      <c r="AM484" s="4" t="str">
        <f t="shared" si="2"/>
        <v>ALI UNGUWAR GANO STREET</v>
      </c>
    </row>
    <row r="485">
      <c r="A485" s="3">
        <f>IFERROR(__xludf.DUMMYFUNCTION("""COMPUTED_VALUE"""),45865.52109230324)</f>
        <v>45865.52109</v>
      </c>
      <c r="B485" s="4" t="str">
        <f>IFERROR(__xludf.DUMMYFUNCTION("""COMPUTED_VALUE"""),"ajisadiqdala@gmail.com")</f>
        <v>ajisadiqdala@gmail.com</v>
      </c>
      <c r="C485" s="4" t="str">
        <f>IFERROR(__xludf.DUMMYFUNCTION("""COMPUTED_VALUE"""),"Sadiq Dala")</f>
        <v>Sadiq Dala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 t="str">
        <f>IFERROR(__xludf.DUMMYFUNCTION("""COMPUTED_VALUE"""),"Cluster 5")</f>
        <v>Cluster 5</v>
      </c>
      <c r="W485" s="4" t="str">
        <f>IFERROR(__xludf.DUMMYFUNCTION("""COMPUTED_VALUE"""),"ALI UNGUWAR GANO STREET")</f>
        <v>ALI UNGUWAR GANO STREET</v>
      </c>
      <c r="X485" s="4"/>
      <c r="Y485" s="4"/>
      <c r="Z485" s="4"/>
      <c r="AA485" s="4"/>
      <c r="AB485" s="4" t="str">
        <f>IFERROR(__xludf.DUMMYFUNCTION("""COMPUTED_VALUE"""),"Point 1")</f>
        <v>Point 1</v>
      </c>
      <c r="AC485" s="4">
        <f>IFERROR(__xludf.DUMMYFUNCTION("""COMPUTED_VALUE"""),11.94328946)</f>
        <v>11.94328946</v>
      </c>
      <c r="AD485" s="4">
        <f>IFERROR(__xludf.DUMMYFUNCTION("""COMPUTED_VALUE"""),8.55359462)</f>
        <v>8.55359462</v>
      </c>
      <c r="AE485" s="5" t="str">
        <f>IFERROR(__xludf.DUMMYFUNCTION("""COMPUTED_VALUE"""),"https://drive.google.com/open?id=19vijYFCfae0ibKEMck43gGxe0oRKG_3E")</f>
        <v>https://drive.google.com/open?id=19vijYFCfae0ibKEMck43gGxe0oRKG_3E</v>
      </c>
      <c r="AF485" s="4"/>
      <c r="AG485" s="4"/>
      <c r="AH485" s="4"/>
      <c r="AI485" s="4"/>
      <c r="AL485" s="4" t="str">
        <f t="shared" si="1"/>
        <v>Cluster 5</v>
      </c>
      <c r="AM485" s="4" t="str">
        <f t="shared" si="2"/>
        <v>ALI UNGUWAR GANO STREET</v>
      </c>
    </row>
    <row r="486">
      <c r="A486" s="3">
        <f>IFERROR(__xludf.DUMMYFUNCTION("""COMPUTED_VALUE"""),45865.519262685186)</f>
        <v>45865.51926</v>
      </c>
      <c r="B486" s="4" t="str">
        <f>IFERROR(__xludf.DUMMYFUNCTION("""COMPUTED_VALUE"""),"ajisadiqdala@gmail.com")</f>
        <v>ajisadiqdala@gmail.com</v>
      </c>
      <c r="C486" s="4" t="str">
        <f>IFERROR(__xludf.DUMMYFUNCTION("""COMPUTED_VALUE"""),"Sadiq Dala")</f>
        <v>Sadiq Dala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 t="str">
        <f>IFERROR(__xludf.DUMMYFUNCTION("""COMPUTED_VALUE"""),"Cluster 5")</f>
        <v>Cluster 5</v>
      </c>
      <c r="W486" s="4" t="str">
        <f>IFERROR(__xludf.DUMMYFUNCTION("""COMPUTED_VALUE"""),"ALMAGHILI STREET")</f>
        <v>ALMAGHILI STREET</v>
      </c>
      <c r="X486" s="4"/>
      <c r="Y486" s="4"/>
      <c r="Z486" s="4"/>
      <c r="AA486" s="4"/>
      <c r="AB486" s="4" t="str">
        <f>IFERROR(__xludf.DUMMYFUNCTION("""COMPUTED_VALUE"""),"Point 2")</f>
        <v>Point 2</v>
      </c>
      <c r="AC486" s="4">
        <f>IFERROR(__xludf.DUMMYFUNCTION("""COMPUTED_VALUE"""),11.93855679)</f>
        <v>11.93855679</v>
      </c>
      <c r="AD486" s="4">
        <f>IFERROR(__xludf.DUMMYFUNCTION("""COMPUTED_VALUE"""),8.555333744)</f>
        <v>8.555333744</v>
      </c>
      <c r="AE486" s="5" t="str">
        <f>IFERROR(__xludf.DUMMYFUNCTION("""COMPUTED_VALUE"""),"https://drive.google.com/open?id=1V65nc0eMjp-wbITbCv7fcOGieAhT2JQo")</f>
        <v>https://drive.google.com/open?id=1V65nc0eMjp-wbITbCv7fcOGieAhT2JQo</v>
      </c>
      <c r="AF486" s="4"/>
      <c r="AG486" s="4"/>
      <c r="AH486" s="4"/>
      <c r="AI486" s="4"/>
      <c r="AL486" s="4" t="str">
        <f t="shared" si="1"/>
        <v>Cluster 5</v>
      </c>
      <c r="AM486" s="4" t="str">
        <f t="shared" si="2"/>
        <v>ALMAGHILI STREET</v>
      </c>
    </row>
    <row r="487">
      <c r="A487" s="3">
        <f>IFERROR(__xludf.DUMMYFUNCTION("""COMPUTED_VALUE"""),45865.517592592594)</f>
        <v>45865.51759</v>
      </c>
      <c r="B487" s="4" t="str">
        <f>IFERROR(__xludf.DUMMYFUNCTION("""COMPUTED_VALUE"""),"ajisadiqdala@gmail.com")</f>
        <v>ajisadiqdala@gmail.com</v>
      </c>
      <c r="C487" s="4" t="str">
        <f>IFERROR(__xludf.DUMMYFUNCTION("""COMPUTED_VALUE"""),"Sadiq Dala")</f>
        <v>Sadiq Dala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 t="str">
        <f>IFERROR(__xludf.DUMMYFUNCTION("""COMPUTED_VALUE"""),"Cluster 5")</f>
        <v>Cluster 5</v>
      </c>
      <c r="W487" s="4" t="str">
        <f>IFERROR(__xludf.DUMMYFUNCTION("""COMPUTED_VALUE"""),"ALMAGHILI STREET")</f>
        <v>ALMAGHILI STREET</v>
      </c>
      <c r="X487" s="4"/>
      <c r="Y487" s="4"/>
      <c r="Z487" s="4"/>
      <c r="AA487" s="4"/>
      <c r="AB487" s="4" t="str">
        <f>IFERROR(__xludf.DUMMYFUNCTION("""COMPUTED_VALUE"""),"Point 1")</f>
        <v>Point 1</v>
      </c>
      <c r="AC487" s="4">
        <f>IFERROR(__xludf.DUMMYFUNCTION("""COMPUTED_VALUE"""),11.93817239)</f>
        <v>11.93817239</v>
      </c>
      <c r="AD487" s="4">
        <f>IFERROR(__xludf.DUMMYFUNCTION("""COMPUTED_VALUE"""),8.55577063)</f>
        <v>8.55577063</v>
      </c>
      <c r="AE487" s="5" t="str">
        <f>IFERROR(__xludf.DUMMYFUNCTION("""COMPUTED_VALUE"""),"https://drive.google.com/open?id=1KhUSmP1TQL3ruQHOEb-rFeIFrdDryKtr")</f>
        <v>https://drive.google.com/open?id=1KhUSmP1TQL3ruQHOEb-rFeIFrdDryKtr</v>
      </c>
      <c r="AF487" s="4"/>
      <c r="AG487" s="4"/>
      <c r="AH487" s="4"/>
      <c r="AI487" s="4"/>
      <c r="AL487" s="4" t="str">
        <f t="shared" si="1"/>
        <v>Cluster 5</v>
      </c>
      <c r="AM487" s="4" t="str">
        <f t="shared" si="2"/>
        <v>ALMAGHILI STREET</v>
      </c>
    </row>
    <row r="488">
      <c r="A488" s="3">
        <f>IFERROR(__xludf.DUMMYFUNCTION("""COMPUTED_VALUE"""),45865.511306932865)</f>
        <v>45865.51131</v>
      </c>
      <c r="B488" s="4" t="str">
        <f>IFERROR(__xludf.DUMMYFUNCTION("""COMPUTED_VALUE"""),"ajisadiqdala@gmail.com")</f>
        <v>ajisadiqdala@gmail.com</v>
      </c>
      <c r="C488" s="4" t="str">
        <f>IFERROR(__xludf.DUMMYFUNCTION("""COMPUTED_VALUE"""),"Sadiq Dala")</f>
        <v>Sadiq Dala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 t="str">
        <f>IFERROR(__xludf.DUMMYFUNCTION("""COMPUTED_VALUE"""),"Cluster 5")</f>
        <v>Cluster 5</v>
      </c>
      <c r="W488" s="4" t="str">
        <f>IFERROR(__xludf.DUMMYFUNCTION("""COMPUTED_VALUE"""),"R KABIRU STREET")</f>
        <v>R KABIRU STREET</v>
      </c>
      <c r="X488" s="4"/>
      <c r="Y488" s="4"/>
      <c r="Z488" s="4"/>
      <c r="AA488" s="4"/>
      <c r="AB488" s="4" t="str">
        <f>IFERROR(__xludf.DUMMYFUNCTION("""COMPUTED_VALUE"""),"Point 2")</f>
        <v>Point 2</v>
      </c>
      <c r="AC488" s="4">
        <f>IFERROR(__xludf.DUMMYFUNCTION("""COMPUTED_VALUE"""),11.93667304)</f>
        <v>11.93667304</v>
      </c>
      <c r="AD488" s="4">
        <f>IFERROR(__xludf.DUMMYFUNCTION("""COMPUTED_VALUE"""),8.55996523)</f>
        <v>8.55996523</v>
      </c>
      <c r="AE488" s="5" t="str">
        <f>IFERROR(__xludf.DUMMYFUNCTION("""COMPUTED_VALUE"""),"https://drive.google.com/open?id=1D7PjqxlKtG7uMhZNNV2fiWKtlVsmvUW5")</f>
        <v>https://drive.google.com/open?id=1D7PjqxlKtG7uMhZNNV2fiWKtlVsmvUW5</v>
      </c>
      <c r="AF488" s="4"/>
      <c r="AG488" s="4"/>
      <c r="AH488" s="4"/>
      <c r="AI488" s="4"/>
      <c r="AL488" s="4" t="str">
        <f t="shared" si="1"/>
        <v>Cluster 5</v>
      </c>
      <c r="AM488" s="4" t="str">
        <f t="shared" si="2"/>
        <v>R KABIRU STREET</v>
      </c>
    </row>
    <row r="489">
      <c r="A489" s="3">
        <f>IFERROR(__xludf.DUMMYFUNCTION("""COMPUTED_VALUE"""),45865.50952315972)</f>
        <v>45865.50952</v>
      </c>
      <c r="B489" s="4" t="str">
        <f>IFERROR(__xludf.DUMMYFUNCTION("""COMPUTED_VALUE"""),"ajisadiqdala@gmail.com")</f>
        <v>ajisadiqdala@gmail.com</v>
      </c>
      <c r="C489" s="4" t="str">
        <f>IFERROR(__xludf.DUMMYFUNCTION("""COMPUTED_VALUE"""),"Sadiq Dala")</f>
        <v>Sadiq Dala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 t="str">
        <f>IFERROR(__xludf.DUMMYFUNCTION("""COMPUTED_VALUE"""),"Cluster 5")</f>
        <v>Cluster 5</v>
      </c>
      <c r="W489" s="4" t="str">
        <f>IFERROR(__xludf.DUMMYFUNCTION("""COMPUTED_VALUE"""),"R KABIRU STREET")</f>
        <v>R KABIRU STREET</v>
      </c>
      <c r="X489" s="4"/>
      <c r="Y489" s="4"/>
      <c r="Z489" s="4"/>
      <c r="AA489" s="4"/>
      <c r="AB489" s="4" t="str">
        <f>IFERROR(__xludf.DUMMYFUNCTION("""COMPUTED_VALUE"""),"Point 1")</f>
        <v>Point 1</v>
      </c>
      <c r="AC489" s="4">
        <f>IFERROR(__xludf.DUMMYFUNCTION("""COMPUTED_VALUE"""),11.94069059)</f>
        <v>11.94069059</v>
      </c>
      <c r="AD489" s="4">
        <f>IFERROR(__xludf.DUMMYFUNCTION("""COMPUTED_VALUE"""),8.561554052)</f>
        <v>8.561554052</v>
      </c>
      <c r="AE489" s="5" t="str">
        <f>IFERROR(__xludf.DUMMYFUNCTION("""COMPUTED_VALUE"""),"https://drive.google.com/open?id=10PzVBvKXGMe77xmdGGAa7NofqBKqYKmG")</f>
        <v>https://drive.google.com/open?id=10PzVBvKXGMe77xmdGGAa7NofqBKqYKmG</v>
      </c>
      <c r="AF489" s="4"/>
      <c r="AG489" s="4"/>
      <c r="AH489" s="4"/>
      <c r="AI489" s="4"/>
      <c r="AL489" s="4" t="str">
        <f t="shared" si="1"/>
        <v>Cluster 5</v>
      </c>
      <c r="AM489" s="4" t="str">
        <f t="shared" si="2"/>
        <v>R KABIRU STREET</v>
      </c>
    </row>
    <row r="490">
      <c r="A490" s="3">
        <f>IFERROR(__xludf.DUMMYFUNCTION("""COMPUTED_VALUE"""),45864.905760821755)</f>
        <v>45864.90576</v>
      </c>
      <c r="B490" s="4" t="str">
        <f>IFERROR(__xludf.DUMMYFUNCTION("""COMPUTED_VALUE"""),"iahmadzakari@gmail.com")</f>
        <v>iahmadzakari@gmail.com</v>
      </c>
      <c r="C490" s="4" t="str">
        <f>IFERROR(__xludf.DUMMYFUNCTION("""COMPUTED_VALUE"""),"Sadiq Ilu")</f>
        <v>Sadiq Ilu</v>
      </c>
      <c r="D490" s="4" t="str">
        <f>IFERROR(__xludf.DUMMYFUNCTION("""COMPUTED_VALUE"""),"Cluster 4")</f>
        <v>Cluster 4</v>
      </c>
      <c r="E490" s="4"/>
      <c r="F490" s="4" t="str">
        <f>IFERROR(__xludf.DUMMYFUNCTION("""COMPUTED_VALUE"""),"SANIN GIWA STREET")</f>
        <v>SANIN GIWA STREET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 t="str">
        <f>IFERROR(__xludf.DUMMYFUNCTION("""COMPUTED_VALUE"""),"Point 2")</f>
        <v>Point 2</v>
      </c>
      <c r="AC490" s="4">
        <f>IFERROR(__xludf.DUMMYFUNCTION("""COMPUTED_VALUE"""),12.018433)</f>
        <v>12.018433</v>
      </c>
      <c r="AD490" s="4">
        <f>IFERROR(__xludf.DUMMYFUNCTION("""COMPUTED_VALUE"""),8.530953)</f>
        <v>8.530953</v>
      </c>
      <c r="AE490" s="5" t="str">
        <f>IFERROR(__xludf.DUMMYFUNCTION("""COMPUTED_VALUE"""),"https://drive.google.com/open?id=18hGzfji3r6RfpbAP_gI-XKTpHeovXPwJ")</f>
        <v>https://drive.google.com/open?id=18hGzfji3r6RfpbAP_gI-XKTpHeovXPwJ</v>
      </c>
      <c r="AF490" s="4"/>
      <c r="AG490" s="4"/>
      <c r="AH490" s="4"/>
      <c r="AI490" s="4"/>
      <c r="AL490" s="4" t="str">
        <f t="shared" si="1"/>
        <v>Cluster 4</v>
      </c>
      <c r="AM490" s="4" t="str">
        <f t="shared" si="2"/>
        <v>SANIN GIWA STREET</v>
      </c>
    </row>
    <row r="491">
      <c r="A491" s="3">
        <f>IFERROR(__xludf.DUMMYFUNCTION("""COMPUTED_VALUE"""),45864.90448405093)</f>
        <v>45864.90448</v>
      </c>
      <c r="B491" s="4" t="str">
        <f>IFERROR(__xludf.DUMMYFUNCTION("""COMPUTED_VALUE"""),"iahmadzakari@gmail.com")</f>
        <v>iahmadzakari@gmail.com</v>
      </c>
      <c r="C491" s="4" t="str">
        <f>IFERROR(__xludf.DUMMYFUNCTION("""COMPUTED_VALUE"""),"Sadiq Ilu")</f>
        <v>Sadiq Ilu</v>
      </c>
      <c r="D491" s="4" t="str">
        <f>IFERROR(__xludf.DUMMYFUNCTION("""COMPUTED_VALUE"""),"Cluster 4")</f>
        <v>Cluster 4</v>
      </c>
      <c r="E491" s="4"/>
      <c r="F491" s="4" t="str">
        <f>IFERROR(__xludf.DUMMYFUNCTION("""COMPUTED_VALUE"""),"SANIN GIWA STREET")</f>
        <v>SANIN GIWA STREET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 t="str">
        <f>IFERROR(__xludf.DUMMYFUNCTION("""COMPUTED_VALUE"""),"Point 1")</f>
        <v>Point 1</v>
      </c>
      <c r="AC491" s="4">
        <f>IFERROR(__xludf.DUMMYFUNCTION("""COMPUTED_VALUE"""),12.014454)</f>
        <v>12.014454</v>
      </c>
      <c r="AD491" s="4">
        <f>IFERROR(__xludf.DUMMYFUNCTION("""COMPUTED_VALUE"""),8.531028)</f>
        <v>8.531028</v>
      </c>
      <c r="AE491" s="5" t="str">
        <f>IFERROR(__xludf.DUMMYFUNCTION("""COMPUTED_VALUE"""),"https://drive.google.com/open?id=11pcVMp1bx--siT6Hw1xeTQQ0ZReaWh2F")</f>
        <v>https://drive.google.com/open?id=11pcVMp1bx--siT6Hw1xeTQQ0ZReaWh2F</v>
      </c>
      <c r="AF491" s="4"/>
      <c r="AG491" s="4"/>
      <c r="AH491" s="4"/>
      <c r="AI491" s="4"/>
      <c r="AL491" s="4" t="str">
        <f t="shared" si="1"/>
        <v>Cluster 4</v>
      </c>
      <c r="AM491" s="4" t="str">
        <f t="shared" si="2"/>
        <v>SANIN GIWA STREET</v>
      </c>
    </row>
    <row r="492">
      <c r="A492" s="3">
        <f>IFERROR(__xludf.DUMMYFUNCTION("""COMPUTED_VALUE"""),45864.90296841435)</f>
        <v>45864.90297</v>
      </c>
      <c r="B492" s="4" t="str">
        <f>IFERROR(__xludf.DUMMYFUNCTION("""COMPUTED_VALUE"""),"iahmadzakari@gmail.com")</f>
        <v>iahmadzakari@gmail.com</v>
      </c>
      <c r="C492" s="4" t="str">
        <f>IFERROR(__xludf.DUMMYFUNCTION("""COMPUTED_VALUE"""),"Sadiq Ilu")</f>
        <v>Sadiq Ilu</v>
      </c>
      <c r="D492" s="4" t="str">
        <f>IFERROR(__xludf.DUMMYFUNCTION("""COMPUTED_VALUE"""),"Cluster 8")</f>
        <v>Cluster 8</v>
      </c>
      <c r="E492" s="4"/>
      <c r="F492" s="4"/>
      <c r="G492" s="4" t="str">
        <f>IFERROR(__xludf.DUMMYFUNCTION("""COMPUTED_VALUE"""),"FESTING ROAD")</f>
        <v>FESTING ROAD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 t="str">
        <f>IFERROR(__xludf.DUMMYFUNCTION("""COMPUTED_VALUE"""),"Point 2")</f>
        <v>Point 2</v>
      </c>
      <c r="AC492" s="4">
        <f>IFERROR(__xludf.DUMMYFUNCTION("""COMPUTED_VALUE"""),12.018404)</f>
        <v>12.018404</v>
      </c>
      <c r="AD492" s="4">
        <f>IFERROR(__xludf.DUMMYFUNCTION("""COMPUTED_VALUE"""),8.529424)</f>
        <v>8.529424</v>
      </c>
      <c r="AE492" s="5" t="str">
        <f>IFERROR(__xludf.DUMMYFUNCTION("""COMPUTED_VALUE"""),"https://drive.google.com/open?id=1gltSndOtV0pBsvH8bhb1HhVo0G4YhTg8")</f>
        <v>https://drive.google.com/open?id=1gltSndOtV0pBsvH8bhb1HhVo0G4YhTg8</v>
      </c>
      <c r="AF492" s="4"/>
      <c r="AG492" s="4"/>
      <c r="AH492" s="4"/>
      <c r="AI492" s="4"/>
      <c r="AL492" s="4" t="str">
        <f t="shared" si="1"/>
        <v>Cluster 8</v>
      </c>
      <c r="AM492" s="4" t="str">
        <f t="shared" si="2"/>
        <v>FESTING ROAD</v>
      </c>
    </row>
    <row r="493">
      <c r="A493" s="3">
        <f>IFERROR(__xludf.DUMMYFUNCTION("""COMPUTED_VALUE"""),45864.90192185185)</f>
        <v>45864.90192</v>
      </c>
      <c r="B493" s="4" t="str">
        <f>IFERROR(__xludf.DUMMYFUNCTION("""COMPUTED_VALUE"""),"iahmadzakari@gmail.com")</f>
        <v>iahmadzakari@gmail.com</v>
      </c>
      <c r="C493" s="4" t="str">
        <f>IFERROR(__xludf.DUMMYFUNCTION("""COMPUTED_VALUE"""),"Sadiq Ilu")</f>
        <v>Sadiq Ilu</v>
      </c>
      <c r="D493" s="4" t="str">
        <f>IFERROR(__xludf.DUMMYFUNCTION("""COMPUTED_VALUE"""),"Cluster 8")</f>
        <v>Cluster 8</v>
      </c>
      <c r="E493" s="4"/>
      <c r="F493" s="4"/>
      <c r="G493" s="4" t="str">
        <f>IFERROR(__xludf.DUMMYFUNCTION("""COMPUTED_VALUE"""),"FESTING ROAD")</f>
        <v>FESTING ROAD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 t="str">
        <f>IFERROR(__xludf.DUMMYFUNCTION("""COMPUTED_VALUE"""),"Point 1")</f>
        <v>Point 1</v>
      </c>
      <c r="AC493" s="4">
        <f>IFERROR(__xludf.DUMMYFUNCTION("""COMPUTED_VALUE"""),12.014464)</f>
        <v>12.014464</v>
      </c>
      <c r="AD493" s="4">
        <f>IFERROR(__xludf.DUMMYFUNCTION("""COMPUTED_VALUE"""),8.529448)</f>
        <v>8.529448</v>
      </c>
      <c r="AE493" s="5" t="str">
        <f>IFERROR(__xludf.DUMMYFUNCTION("""COMPUTED_VALUE"""),"https://drive.google.com/open?id=1Du8VcrrSFRx6zAXrGhBomBQ7q5_3Zqaq")</f>
        <v>https://drive.google.com/open?id=1Du8VcrrSFRx6zAXrGhBomBQ7q5_3Zqaq</v>
      </c>
      <c r="AF493" s="4"/>
      <c r="AG493" s="4"/>
      <c r="AH493" s="4"/>
      <c r="AI493" s="4"/>
      <c r="AL493" s="4" t="str">
        <f t="shared" si="1"/>
        <v>Cluster 8</v>
      </c>
      <c r="AM493" s="4" t="str">
        <f t="shared" si="2"/>
        <v>FESTING ROAD</v>
      </c>
    </row>
    <row r="494">
      <c r="A494" s="3">
        <f>IFERROR(__xludf.DUMMYFUNCTION("""COMPUTED_VALUE"""),45864.90027899305)</f>
        <v>45864.90028</v>
      </c>
      <c r="B494" s="4" t="str">
        <f>IFERROR(__xludf.DUMMYFUNCTION("""COMPUTED_VALUE"""),"iahmadzakari@gmail.com")</f>
        <v>iahmadzakari@gmail.com</v>
      </c>
      <c r="C494" s="4" t="str">
        <f>IFERROR(__xludf.DUMMYFUNCTION("""COMPUTED_VALUE"""),"Sadiq Ilu")</f>
        <v>Sadiq Ilu</v>
      </c>
      <c r="D494" s="4" t="str">
        <f>IFERROR(__xludf.DUMMYFUNCTION("""COMPUTED_VALUE"""),"Cluster 4")</f>
        <v>Cluster 4</v>
      </c>
      <c r="E494" s="4"/>
      <c r="F494" s="4" t="str">
        <f>IFERROR(__xludf.DUMMYFUNCTION("""COMPUTED_VALUE"""),"KABBA STREET")</f>
        <v>KABBA STREET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 t="str">
        <f>IFERROR(__xludf.DUMMYFUNCTION("""COMPUTED_VALUE"""),"Point 2")</f>
        <v>Point 2</v>
      </c>
      <c r="AC494" s="4">
        <f>IFERROR(__xludf.DUMMYFUNCTION("""COMPUTED_VALUE"""),12.031109)</f>
        <v>12.031109</v>
      </c>
      <c r="AD494" s="4">
        <f>IFERROR(__xludf.DUMMYFUNCTION("""COMPUTED_VALUE"""),8.535521)</f>
        <v>8.535521</v>
      </c>
      <c r="AE494" s="5" t="str">
        <f>IFERROR(__xludf.DUMMYFUNCTION("""COMPUTED_VALUE"""),"https://drive.google.com/open?id=18-Z32UBEY7m7bRjSglxUm0rGLye5kOo2")</f>
        <v>https://drive.google.com/open?id=18-Z32UBEY7m7bRjSglxUm0rGLye5kOo2</v>
      </c>
      <c r="AF494" s="4"/>
      <c r="AG494" s="4"/>
      <c r="AH494" s="4"/>
      <c r="AI494" s="4"/>
      <c r="AL494" s="4" t="str">
        <f t="shared" si="1"/>
        <v>Cluster 4</v>
      </c>
      <c r="AM494" s="4" t="str">
        <f t="shared" si="2"/>
        <v>KABBA STREET</v>
      </c>
    </row>
    <row r="495">
      <c r="A495" s="3">
        <f>IFERROR(__xludf.DUMMYFUNCTION("""COMPUTED_VALUE"""),45864.8990234838)</f>
        <v>45864.89902</v>
      </c>
      <c r="B495" s="4" t="str">
        <f>IFERROR(__xludf.DUMMYFUNCTION("""COMPUTED_VALUE"""),"iahmadzakari@gmail.com")</f>
        <v>iahmadzakari@gmail.com</v>
      </c>
      <c r="C495" s="4" t="str">
        <f>IFERROR(__xludf.DUMMYFUNCTION("""COMPUTED_VALUE"""),"Sadiq Ilu")</f>
        <v>Sadiq Ilu</v>
      </c>
      <c r="D495" s="4" t="str">
        <f>IFERROR(__xludf.DUMMYFUNCTION("""COMPUTED_VALUE"""),"Cluster 4")</f>
        <v>Cluster 4</v>
      </c>
      <c r="E495" s="4"/>
      <c r="F495" s="4" t="str">
        <f>IFERROR(__xludf.DUMMYFUNCTION("""COMPUTED_VALUE"""),"KABBA STREET")</f>
        <v>KABBA STREET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 t="str">
        <f>IFERROR(__xludf.DUMMYFUNCTION("""COMPUTED_VALUE"""),"Point 1")</f>
        <v>Point 1</v>
      </c>
      <c r="AC495" s="4">
        <f>IFERROR(__xludf.DUMMYFUNCTION("""COMPUTED_VALUE"""),12.030112)</f>
        <v>12.030112</v>
      </c>
      <c r="AD495" s="4">
        <f>IFERROR(__xludf.DUMMYFUNCTION("""COMPUTED_VALUE"""),8.53601)</f>
        <v>8.53601</v>
      </c>
      <c r="AE495" s="5" t="str">
        <f>IFERROR(__xludf.DUMMYFUNCTION("""COMPUTED_VALUE"""),"https://drive.google.com/open?id=1hc-o4vLzhQu-q14GxxDEcZDeaVSyd0qy")</f>
        <v>https://drive.google.com/open?id=1hc-o4vLzhQu-q14GxxDEcZDeaVSyd0qy</v>
      </c>
      <c r="AF495" s="4"/>
      <c r="AG495" s="4"/>
      <c r="AH495" s="4"/>
      <c r="AI495" s="4"/>
      <c r="AL495" s="4" t="str">
        <f t="shared" si="1"/>
        <v>Cluster 4</v>
      </c>
      <c r="AM495" s="4" t="str">
        <f t="shared" si="2"/>
        <v>KABBA STREET</v>
      </c>
    </row>
    <row r="496">
      <c r="A496" s="3">
        <f>IFERROR(__xludf.DUMMYFUNCTION("""COMPUTED_VALUE"""),45864.89773318287)</f>
        <v>45864.89773</v>
      </c>
      <c r="B496" s="4" t="str">
        <f>IFERROR(__xludf.DUMMYFUNCTION("""COMPUTED_VALUE"""),"iahmadzakari@gmail.com")</f>
        <v>iahmadzakari@gmail.com</v>
      </c>
      <c r="C496" s="4" t="str">
        <f>IFERROR(__xludf.DUMMYFUNCTION("""COMPUTED_VALUE"""),"Sadiq Ilu")</f>
        <v>Sadiq Ilu</v>
      </c>
      <c r="D496" s="4" t="str">
        <f>IFERROR(__xludf.DUMMYFUNCTION("""COMPUTED_VALUE"""),"Cluster 11")</f>
        <v>Cluster 11</v>
      </c>
      <c r="E496" s="4"/>
      <c r="F496" s="4"/>
      <c r="G496" s="4"/>
      <c r="H496" s="4" t="str">
        <f>IFERROR(__xludf.DUMMYFUNCTION("""COMPUTED_VALUE"""),"YOLAWA ROAD")</f>
        <v>YOLAWA ROAD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 t="str">
        <f>IFERROR(__xludf.DUMMYFUNCTION("""COMPUTED_VALUE"""),"Point 2")</f>
        <v>Point 2</v>
      </c>
      <c r="AC496" s="4">
        <f>IFERROR(__xludf.DUMMYFUNCTION("""COMPUTED_VALUE"""),12.006378)</f>
        <v>12.006378</v>
      </c>
      <c r="AD496" s="4">
        <f>IFERROR(__xludf.DUMMYFUNCTION("""COMPUTED_VALUE"""),8.53875)</f>
        <v>8.53875</v>
      </c>
      <c r="AE496" s="5" t="str">
        <f>IFERROR(__xludf.DUMMYFUNCTION("""COMPUTED_VALUE"""),"https://drive.google.com/open?id=1nLatTrmDgwTWiB77wknG_gVwz6UaADwH")</f>
        <v>https://drive.google.com/open?id=1nLatTrmDgwTWiB77wknG_gVwz6UaADwH</v>
      </c>
      <c r="AF496" s="4"/>
      <c r="AG496" s="4"/>
      <c r="AH496" s="4"/>
      <c r="AI496" s="4"/>
      <c r="AL496" s="4" t="str">
        <f t="shared" si="1"/>
        <v>Cluster 11</v>
      </c>
      <c r="AM496" s="4" t="str">
        <f t="shared" si="2"/>
        <v>YOLAWA ROAD</v>
      </c>
    </row>
    <row r="497">
      <c r="A497" s="3">
        <f>IFERROR(__xludf.DUMMYFUNCTION("""COMPUTED_VALUE"""),45864.89511435185)</f>
        <v>45864.89511</v>
      </c>
      <c r="B497" s="4" t="str">
        <f>IFERROR(__xludf.DUMMYFUNCTION("""COMPUTED_VALUE"""),"iahmadzakari@gmail.com")</f>
        <v>iahmadzakari@gmail.com</v>
      </c>
      <c r="C497" s="4" t="str">
        <f>IFERROR(__xludf.DUMMYFUNCTION("""COMPUTED_VALUE"""),"Sadiq Ilu")</f>
        <v>Sadiq Ilu</v>
      </c>
      <c r="D497" s="4" t="str">
        <f>IFERROR(__xludf.DUMMYFUNCTION("""COMPUTED_VALUE"""),"Cluster 8")</f>
        <v>Cluster 8</v>
      </c>
      <c r="E497" s="4"/>
      <c r="F497" s="4"/>
      <c r="G497" s="4" t="str">
        <f>IFERROR(__xludf.DUMMYFUNCTION("""COMPUTED_VALUE"""),"MURTALA MUHAMMED WAY")</f>
        <v>MURTALA MUHAMMED WAY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 t="str">
        <f>IFERROR(__xludf.DUMMYFUNCTION("""COMPUTED_VALUE"""),"Point 2")</f>
        <v>Point 2</v>
      </c>
      <c r="AC497" s="4">
        <f>IFERROR(__xludf.DUMMYFUNCTION("""COMPUTED_VALUE"""),12.012336)</f>
        <v>12.012336</v>
      </c>
      <c r="AD497" s="4">
        <f>IFERROR(__xludf.DUMMYFUNCTION("""COMPUTED_VALUE"""),8.526393)</f>
        <v>8.526393</v>
      </c>
      <c r="AE497" s="5" t="str">
        <f>IFERROR(__xludf.DUMMYFUNCTION("""COMPUTED_VALUE"""),"https://drive.google.com/open?id=1F3qeCJ2P53S7Aa3K2c6JOI8GOOKEttsz")</f>
        <v>https://drive.google.com/open?id=1F3qeCJ2P53S7Aa3K2c6JOI8GOOKEttsz</v>
      </c>
      <c r="AF497" s="4"/>
      <c r="AG497" s="4"/>
      <c r="AH497" s="4"/>
      <c r="AI497" s="4"/>
      <c r="AL497" s="4" t="str">
        <f t="shared" si="1"/>
        <v>Cluster 8</v>
      </c>
      <c r="AM497" s="4" t="str">
        <f t="shared" si="2"/>
        <v>MURTALA MUHAMMED WAY</v>
      </c>
    </row>
    <row r="498">
      <c r="A498" s="3">
        <f>IFERROR(__xludf.DUMMYFUNCTION("""COMPUTED_VALUE"""),45864.89415810185)</f>
        <v>45864.89416</v>
      </c>
      <c r="B498" s="4" t="str">
        <f>IFERROR(__xludf.DUMMYFUNCTION("""COMPUTED_VALUE"""),"iahmadzakari@gmail.com")</f>
        <v>iahmadzakari@gmail.com</v>
      </c>
      <c r="C498" s="4" t="str">
        <f>IFERROR(__xludf.DUMMYFUNCTION("""COMPUTED_VALUE"""),"Sadiq Ilu")</f>
        <v>Sadiq Ilu</v>
      </c>
      <c r="D498" s="4" t="str">
        <f>IFERROR(__xludf.DUMMYFUNCTION("""COMPUTED_VALUE"""),"Cluster 8")</f>
        <v>Cluster 8</v>
      </c>
      <c r="E498" s="4"/>
      <c r="F498" s="4"/>
      <c r="G498" s="4" t="str">
        <f>IFERROR(__xludf.DUMMYFUNCTION("""COMPUTED_VALUE"""),"MURTALA MUHAMMED WAY")</f>
        <v>MURTALA MUHAMMED WAY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 t="str">
        <f>IFERROR(__xludf.DUMMYFUNCTION("""COMPUTED_VALUE"""),"Point 1")</f>
        <v>Point 1</v>
      </c>
      <c r="AC498" s="4">
        <f>IFERROR(__xludf.DUMMYFUNCTION("""COMPUTED_VALUE"""),12.006149)</f>
        <v>12.006149</v>
      </c>
      <c r="AD498" s="4">
        <f>IFERROR(__xludf.DUMMYFUNCTION("""COMPUTED_VALUE"""),8.561283)</f>
        <v>8.561283</v>
      </c>
      <c r="AE498" s="5" t="str">
        <f>IFERROR(__xludf.DUMMYFUNCTION("""COMPUTED_VALUE"""),"https://drive.google.com/open?id=1z-IySrb65D7VZKiS09qJPo5qg3jXUA-Z")</f>
        <v>https://drive.google.com/open?id=1z-IySrb65D7VZKiS09qJPo5qg3jXUA-Z</v>
      </c>
      <c r="AF498" s="4"/>
      <c r="AG498" s="4"/>
      <c r="AH498" s="4"/>
      <c r="AI498" s="4"/>
      <c r="AL498" s="4" t="str">
        <f t="shared" si="1"/>
        <v>Cluster 8</v>
      </c>
      <c r="AM498" s="4" t="str">
        <f t="shared" si="2"/>
        <v>MURTALA MUHAMMED WAY</v>
      </c>
    </row>
    <row r="499">
      <c r="A499" s="3">
        <f>IFERROR(__xludf.DUMMYFUNCTION("""COMPUTED_VALUE"""),45864.89323230324)</f>
        <v>45864.89323</v>
      </c>
      <c r="B499" s="4" t="str">
        <f>IFERROR(__xludf.DUMMYFUNCTION("""COMPUTED_VALUE"""),"iahmadzakari@gmail.com")</f>
        <v>iahmadzakari@gmail.com</v>
      </c>
      <c r="C499" s="4" t="str">
        <f>IFERROR(__xludf.DUMMYFUNCTION("""COMPUTED_VALUE"""),"Sadiq Ilu")</f>
        <v>Sadiq Ilu</v>
      </c>
      <c r="D499" s="4" t="str">
        <f>IFERROR(__xludf.DUMMYFUNCTION("""COMPUTED_VALUE"""),"Cluster 4")</f>
        <v>Cluster 4</v>
      </c>
      <c r="E499" s="4"/>
      <c r="F499" s="4" t="str">
        <f>IFERROR(__xludf.DUMMYFUNCTION("""COMPUTED_VALUE"""),"BROTHER STREET")</f>
        <v>BROTHER STREET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 t="str">
        <f>IFERROR(__xludf.DUMMYFUNCTION("""COMPUTED_VALUE"""),"Point 2")</f>
        <v>Point 2</v>
      </c>
      <c r="AC499" s="4">
        <f>IFERROR(__xludf.DUMMYFUNCTION("""COMPUTED_VALUE"""),12.023994)</f>
        <v>12.023994</v>
      </c>
      <c r="AD499" s="4">
        <f>IFERROR(__xludf.DUMMYFUNCTION("""COMPUTED_VALUE"""),8.547382)</f>
        <v>8.547382</v>
      </c>
      <c r="AE499" s="5" t="str">
        <f>IFERROR(__xludf.DUMMYFUNCTION("""COMPUTED_VALUE"""),"https://drive.google.com/open?id=1oJirngd1j7FGIZp-egPtnAIXUr6wvzNd")</f>
        <v>https://drive.google.com/open?id=1oJirngd1j7FGIZp-egPtnAIXUr6wvzNd</v>
      </c>
      <c r="AF499" s="4"/>
      <c r="AG499" s="4"/>
      <c r="AH499" s="4"/>
      <c r="AI499" s="4"/>
      <c r="AL499" s="4" t="str">
        <f t="shared" si="1"/>
        <v>Cluster 4</v>
      </c>
      <c r="AM499" s="4" t="str">
        <f t="shared" si="2"/>
        <v>BROTHER STREET</v>
      </c>
    </row>
    <row r="500">
      <c r="A500" s="3">
        <f>IFERROR(__xludf.DUMMYFUNCTION("""COMPUTED_VALUE"""),45864.89221329861)</f>
        <v>45864.89221</v>
      </c>
      <c r="B500" s="4" t="str">
        <f>IFERROR(__xludf.DUMMYFUNCTION("""COMPUTED_VALUE"""),"iahmadzakari@gmail.com")</f>
        <v>iahmadzakari@gmail.com</v>
      </c>
      <c r="C500" s="4" t="str">
        <f>IFERROR(__xludf.DUMMYFUNCTION("""COMPUTED_VALUE"""),"Sadiq Ilu")</f>
        <v>Sadiq Ilu</v>
      </c>
      <c r="D500" s="4" t="str">
        <f>IFERROR(__xludf.DUMMYFUNCTION("""COMPUTED_VALUE"""),"Cluster 4")</f>
        <v>Cluster 4</v>
      </c>
      <c r="E500" s="4"/>
      <c r="F500" s="4" t="str">
        <f>IFERROR(__xludf.DUMMYFUNCTION("""COMPUTED_VALUE"""),"BROTHER STREET")</f>
        <v>BROTHER STREET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 t="str">
        <f>IFERROR(__xludf.DUMMYFUNCTION("""COMPUTED_VALUE"""),"Point 1")</f>
        <v>Point 1</v>
      </c>
      <c r="AC500" s="4">
        <f>IFERROR(__xludf.DUMMYFUNCTION("""COMPUTED_VALUE"""),12.023358)</f>
        <v>12.023358</v>
      </c>
      <c r="AD500" s="4">
        <f>IFERROR(__xludf.DUMMYFUNCTION("""COMPUTED_VALUE"""),8.544063)</f>
        <v>8.544063</v>
      </c>
      <c r="AE500" s="5" t="str">
        <f>IFERROR(__xludf.DUMMYFUNCTION("""COMPUTED_VALUE"""),"https://drive.google.com/open?id=1140SGyQJxuhwLboLAoNZWNUGwQS2jYKG")</f>
        <v>https://drive.google.com/open?id=1140SGyQJxuhwLboLAoNZWNUGwQS2jYKG</v>
      </c>
      <c r="AF500" s="4"/>
      <c r="AG500" s="4"/>
      <c r="AH500" s="4"/>
      <c r="AI500" s="4"/>
      <c r="AL500" s="4" t="str">
        <f t="shared" si="1"/>
        <v>Cluster 4</v>
      </c>
      <c r="AM500" s="4" t="str">
        <f t="shared" si="2"/>
        <v>BROTHER STREET</v>
      </c>
    </row>
    <row r="501">
      <c r="A501" s="3">
        <f>IFERROR(__xludf.DUMMYFUNCTION("""COMPUTED_VALUE"""),45864.88643409722)</f>
        <v>45864.88643</v>
      </c>
      <c r="B501" s="4" t="str">
        <f>IFERROR(__xludf.DUMMYFUNCTION("""COMPUTED_VALUE"""),"iahmadzakari@gmail.com")</f>
        <v>iahmadzakari@gmail.com</v>
      </c>
      <c r="C501" s="4" t="str">
        <f>IFERROR(__xludf.DUMMYFUNCTION("""COMPUTED_VALUE"""),"Sadiq Ilu")</f>
        <v>Sadiq Ilu</v>
      </c>
      <c r="D501" s="4" t="str">
        <f>IFERROR(__xludf.DUMMYFUNCTION("""COMPUTED_VALUE"""),"Cluster 8")</f>
        <v>Cluster 8</v>
      </c>
      <c r="E501" s="4"/>
      <c r="F501" s="4"/>
      <c r="G501" s="4" t="str">
        <f>IFERROR(__xludf.DUMMYFUNCTION("""COMPUTED_VALUE"""),"ADUA ROAD")</f>
        <v>ADUA ROAD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 t="str">
        <f>IFERROR(__xludf.DUMMYFUNCTION("""COMPUTED_VALUE"""),"Point 1")</f>
        <v>Point 1</v>
      </c>
      <c r="AC501" s="4">
        <f>IFERROR(__xludf.DUMMYFUNCTION("""COMPUTED_VALUE"""),12.019698)</f>
        <v>12.019698</v>
      </c>
      <c r="AD501" s="4">
        <f>IFERROR(__xludf.DUMMYFUNCTION("""COMPUTED_VALUE"""),8.543858)</f>
        <v>8.543858</v>
      </c>
      <c r="AE501" s="5" t="str">
        <f>IFERROR(__xludf.DUMMYFUNCTION("""COMPUTED_VALUE"""),"https://drive.google.com/open?id=1_jnf8S4nZC9e2ES9tG7BMBV0oRZfrkI_")</f>
        <v>https://drive.google.com/open?id=1_jnf8S4nZC9e2ES9tG7BMBV0oRZfrkI_</v>
      </c>
      <c r="AF501" s="4"/>
      <c r="AG501" s="4"/>
      <c r="AH501" s="4"/>
      <c r="AI501" s="4"/>
      <c r="AL501" s="4" t="str">
        <f t="shared" si="1"/>
        <v>Cluster 8</v>
      </c>
      <c r="AM501" s="4" t="str">
        <f t="shared" si="2"/>
        <v>ADUA ROAD</v>
      </c>
    </row>
    <row r="502">
      <c r="A502" s="3">
        <f>IFERROR(__xludf.DUMMYFUNCTION("""COMPUTED_VALUE"""),45864.88407789352)</f>
        <v>45864.88408</v>
      </c>
      <c r="B502" s="4" t="str">
        <f>IFERROR(__xludf.DUMMYFUNCTION("""COMPUTED_VALUE"""),"iahmadzakari@gmail.com")</f>
        <v>iahmadzakari@gmail.com</v>
      </c>
      <c r="C502" s="4" t="str">
        <f>IFERROR(__xludf.DUMMYFUNCTION("""COMPUTED_VALUE"""),"Sadiq Ilu")</f>
        <v>Sadiq Ilu</v>
      </c>
      <c r="D502" s="4" t="str">
        <f>IFERROR(__xludf.DUMMYFUNCTION("""COMPUTED_VALUE"""),"Cluster 8")</f>
        <v>Cluster 8</v>
      </c>
      <c r="E502" s="4"/>
      <c r="F502" s="4"/>
      <c r="G502" s="4" t="str">
        <f>IFERROR(__xludf.DUMMYFUNCTION("""COMPUTED_VALUE"""),"GASHASH ROAD")</f>
        <v>GASHASH ROAD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 t="str">
        <f>IFERROR(__xludf.DUMMYFUNCTION("""COMPUTED_VALUE"""),"Point 1")</f>
        <v>Point 1</v>
      </c>
      <c r="AC502" s="4">
        <f>IFERROR(__xludf.DUMMYFUNCTION("""COMPUTED_VALUE"""),12.005047)</f>
        <v>12.005047</v>
      </c>
      <c r="AD502" s="4">
        <f>IFERROR(__xludf.DUMMYFUNCTION("""COMPUTED_VALUE"""),8.55506)</f>
        <v>8.55506</v>
      </c>
      <c r="AE502" s="5" t="str">
        <f>IFERROR(__xludf.DUMMYFUNCTION("""COMPUTED_VALUE"""),"https://drive.google.com/open?id=17s3hnEOhsu82mioDkq8gDwekcPw2CS2t")</f>
        <v>https://drive.google.com/open?id=17s3hnEOhsu82mioDkq8gDwekcPw2CS2t</v>
      </c>
      <c r="AF502" s="4"/>
      <c r="AG502" s="4"/>
      <c r="AH502" s="4"/>
      <c r="AI502" s="4"/>
      <c r="AL502" s="4" t="str">
        <f t="shared" si="1"/>
        <v>Cluster 8</v>
      </c>
      <c r="AM502" s="4" t="str">
        <f t="shared" si="2"/>
        <v>GASHASH ROAD</v>
      </c>
    </row>
    <row r="503">
      <c r="A503" s="3">
        <f>IFERROR(__xludf.DUMMYFUNCTION("""COMPUTED_VALUE"""),45864.045619571756)</f>
        <v>45864.04562</v>
      </c>
      <c r="B503" s="4" t="str">
        <f>IFERROR(__xludf.DUMMYFUNCTION("""COMPUTED_VALUE"""),"iahmadzakari@gmail.com")</f>
        <v>iahmadzakari@gmail.com</v>
      </c>
      <c r="C503" s="4" t="str">
        <f>IFERROR(__xludf.DUMMYFUNCTION("""COMPUTED_VALUE"""),"Sadiq Ilu")</f>
        <v>Sadiq Ilu</v>
      </c>
      <c r="D503" s="4" t="str">
        <f>IFERROR(__xludf.DUMMYFUNCTION("""COMPUTED_VALUE"""),"Cluster 8")</f>
        <v>Cluster 8</v>
      </c>
      <c r="E503" s="4"/>
      <c r="F503" s="4"/>
      <c r="G503" s="4" t="str">
        <f>IFERROR(__xludf.DUMMYFUNCTION("""COMPUTED_VALUE"""),"BOMPAI ROAD")</f>
        <v>BOMPAI ROAD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 t="str">
        <f>IFERROR(__xludf.DUMMYFUNCTION("""COMPUTED_VALUE"""),"Point 2")</f>
        <v>Point 2</v>
      </c>
      <c r="AC503" s="4">
        <f>IFERROR(__xludf.DUMMYFUNCTION("""COMPUTED_VALUE"""),12.00792)</f>
        <v>12.00792</v>
      </c>
      <c r="AD503" s="4">
        <f>IFERROR(__xludf.DUMMYFUNCTION("""COMPUTED_VALUE"""),8.549334)</f>
        <v>8.549334</v>
      </c>
      <c r="AE503" s="5" t="str">
        <f>IFERROR(__xludf.DUMMYFUNCTION("""COMPUTED_VALUE"""),"https://drive.google.com/open?id=1xjSQbF18ANnG_3bd9EKRLW31ZxHUAOb-")</f>
        <v>https://drive.google.com/open?id=1xjSQbF18ANnG_3bd9EKRLW31ZxHUAOb-</v>
      </c>
      <c r="AF503" s="4"/>
      <c r="AG503" s="4"/>
      <c r="AH503" s="4"/>
      <c r="AI503" s="4"/>
      <c r="AL503" s="4" t="str">
        <f t="shared" si="1"/>
        <v>Cluster 8</v>
      </c>
      <c r="AM503" s="4" t="str">
        <f t="shared" si="2"/>
        <v>BOMPAI ROAD</v>
      </c>
    </row>
    <row r="504">
      <c r="A504" s="3">
        <f>IFERROR(__xludf.DUMMYFUNCTION("""COMPUTED_VALUE"""),45864.044708506946)</f>
        <v>45864.04471</v>
      </c>
      <c r="B504" s="4" t="str">
        <f>IFERROR(__xludf.DUMMYFUNCTION("""COMPUTED_VALUE"""),"iahmadzakari@gmail.com")</f>
        <v>iahmadzakari@gmail.com</v>
      </c>
      <c r="C504" s="4" t="str">
        <f>IFERROR(__xludf.DUMMYFUNCTION("""COMPUTED_VALUE"""),"Sadiq Ilu")</f>
        <v>Sadiq Ilu</v>
      </c>
      <c r="D504" s="4" t="str">
        <f>IFERROR(__xludf.DUMMYFUNCTION("""COMPUTED_VALUE"""),"Cluster 8")</f>
        <v>Cluster 8</v>
      </c>
      <c r="E504" s="4"/>
      <c r="F504" s="4"/>
      <c r="G504" s="4" t="str">
        <f>IFERROR(__xludf.DUMMYFUNCTION("""COMPUTED_VALUE"""),"BOMPAI ROAD")</f>
        <v>BOMPAI ROAD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 t="str">
        <f>IFERROR(__xludf.DUMMYFUNCTION("""COMPUTED_VALUE"""),"Point 1")</f>
        <v>Point 1</v>
      </c>
      <c r="AC504" s="4">
        <f>IFERROR(__xludf.DUMMYFUNCTION("""COMPUTED_VALUE"""),12.004162)</f>
        <v>12.004162</v>
      </c>
      <c r="AD504" s="4">
        <f>IFERROR(__xludf.DUMMYFUNCTION("""COMPUTED_VALUE"""),8.543529)</f>
        <v>8.543529</v>
      </c>
      <c r="AE504" s="5" t="str">
        <f>IFERROR(__xludf.DUMMYFUNCTION("""COMPUTED_VALUE"""),"https://drive.google.com/open?id=1fm_OS9oNHS_LYXw2AlgMsAsdHmm56uh8")</f>
        <v>https://drive.google.com/open?id=1fm_OS9oNHS_LYXw2AlgMsAsdHmm56uh8</v>
      </c>
      <c r="AF504" s="4"/>
      <c r="AG504" s="4"/>
      <c r="AH504" s="4"/>
      <c r="AI504" s="4"/>
      <c r="AL504" s="4" t="str">
        <f t="shared" si="1"/>
        <v>Cluster 8</v>
      </c>
      <c r="AM504" s="4" t="str">
        <f t="shared" si="2"/>
        <v>BOMPAI ROAD</v>
      </c>
    </row>
    <row r="505">
      <c r="A505" s="3">
        <f>IFERROR(__xludf.DUMMYFUNCTION("""COMPUTED_VALUE"""),45864.04278978009)</f>
        <v>45864.04279</v>
      </c>
      <c r="B505" s="4" t="str">
        <f>IFERROR(__xludf.DUMMYFUNCTION("""COMPUTED_VALUE"""),"iahmadzakari@gmail.com")</f>
        <v>iahmadzakari@gmail.com</v>
      </c>
      <c r="C505" s="4" t="str">
        <f>IFERROR(__xludf.DUMMYFUNCTION("""COMPUTED_VALUE"""),"Sadiq Ilu")</f>
        <v>Sadiq Ilu</v>
      </c>
      <c r="D505" s="4" t="str">
        <f>IFERROR(__xludf.DUMMYFUNCTION("""COMPUTED_VALUE"""),"Cluster 17")</f>
        <v>Cluster 17</v>
      </c>
      <c r="E505" s="4"/>
      <c r="F505" s="4"/>
      <c r="G505" s="4"/>
      <c r="H505" s="4"/>
      <c r="I505" s="4" t="str">
        <f>IFERROR(__xludf.DUMMYFUNCTION("""COMPUTED_VALUE"""),"KAZAURE ROAD")</f>
        <v>KAZAURE ROAD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 t="str">
        <f>IFERROR(__xludf.DUMMYFUNCTION("""COMPUTED_VALUE"""),"Point 2")</f>
        <v>Point 2</v>
      </c>
      <c r="AC505" s="4">
        <f>IFERROR(__xludf.DUMMYFUNCTION("""COMPUTED_VALUE"""),12.008886)</f>
        <v>12.008886</v>
      </c>
      <c r="AD505" s="4">
        <f>IFERROR(__xludf.DUMMYFUNCTION("""COMPUTED_VALUE"""),8.553269)</f>
        <v>8.553269</v>
      </c>
      <c r="AE505" s="5" t="str">
        <f>IFERROR(__xludf.DUMMYFUNCTION("""COMPUTED_VALUE"""),"https://drive.google.com/open?id=1iqg2ztGFiFMJnrWXTlbb6pOsrOTh5w10")</f>
        <v>https://drive.google.com/open?id=1iqg2ztGFiFMJnrWXTlbb6pOsrOTh5w10</v>
      </c>
      <c r="AF505" s="4"/>
      <c r="AG505" s="4"/>
      <c r="AH505" s="4"/>
      <c r="AI505" s="4"/>
      <c r="AL505" s="4" t="str">
        <f t="shared" si="1"/>
        <v>Cluster 17</v>
      </c>
      <c r="AM505" s="4" t="str">
        <f t="shared" si="2"/>
        <v>KAZAURE ROAD</v>
      </c>
    </row>
    <row r="506">
      <c r="A506" s="3">
        <f>IFERROR(__xludf.DUMMYFUNCTION("""COMPUTED_VALUE"""),45864.041963599535)</f>
        <v>45864.04196</v>
      </c>
      <c r="B506" s="4" t="str">
        <f>IFERROR(__xludf.DUMMYFUNCTION("""COMPUTED_VALUE"""),"iahmadzakari@gmail.com")</f>
        <v>iahmadzakari@gmail.com</v>
      </c>
      <c r="C506" s="4" t="str">
        <f>IFERROR(__xludf.DUMMYFUNCTION("""COMPUTED_VALUE"""),"Sadiq Ilu")</f>
        <v>Sadiq Ilu</v>
      </c>
      <c r="D506" s="4" t="str">
        <f>IFERROR(__xludf.DUMMYFUNCTION("""COMPUTED_VALUE"""),"Cluster 17")</f>
        <v>Cluster 17</v>
      </c>
      <c r="E506" s="4"/>
      <c r="F506" s="4"/>
      <c r="G506" s="4"/>
      <c r="H506" s="4"/>
      <c r="I506" s="4" t="str">
        <f>IFERROR(__xludf.DUMMYFUNCTION("""COMPUTED_VALUE"""),"KAZAURE ROAD")</f>
        <v>KAZAURE ROAD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 t="str">
        <f>IFERROR(__xludf.DUMMYFUNCTION("""COMPUTED_VALUE"""),"Point 1")</f>
        <v>Point 1</v>
      </c>
      <c r="AC506" s="4">
        <f>IFERROR(__xludf.DUMMYFUNCTION("""COMPUTED_VALUE"""),12.009968)</f>
        <v>12.009968</v>
      </c>
      <c r="AD506" s="4">
        <f>IFERROR(__xludf.DUMMYFUNCTION("""COMPUTED_VALUE"""),8.55643)</f>
        <v>8.55643</v>
      </c>
      <c r="AE506" s="5" t="str">
        <f>IFERROR(__xludf.DUMMYFUNCTION("""COMPUTED_VALUE"""),"https://drive.google.com/open?id=1mL7mX-JbozdAliZ05jM8yXhARYg9LJLs")</f>
        <v>https://drive.google.com/open?id=1mL7mX-JbozdAliZ05jM8yXhARYg9LJLs</v>
      </c>
      <c r="AF506" s="4"/>
      <c r="AG506" s="4"/>
      <c r="AH506" s="4"/>
      <c r="AI506" s="4"/>
      <c r="AL506" s="4" t="str">
        <f t="shared" si="1"/>
        <v>Cluster 17</v>
      </c>
      <c r="AM506" s="4" t="str">
        <f t="shared" si="2"/>
        <v>KAZAURE ROAD</v>
      </c>
    </row>
    <row r="507">
      <c r="A507" s="3">
        <f>IFERROR(__xludf.DUMMYFUNCTION("""COMPUTED_VALUE"""),45864.04022028935)</f>
        <v>45864.04022</v>
      </c>
      <c r="B507" s="4" t="str">
        <f>IFERROR(__xludf.DUMMYFUNCTION("""COMPUTED_VALUE"""),"iahmadzakari@gmail.com")</f>
        <v>iahmadzakari@gmail.com</v>
      </c>
      <c r="C507" s="4" t="str">
        <f>IFERROR(__xludf.DUMMYFUNCTION("""COMPUTED_VALUE"""),"Sadiq Ilu")</f>
        <v>Sadiq Ilu</v>
      </c>
      <c r="D507" s="4" t="str">
        <f>IFERROR(__xludf.DUMMYFUNCTION("""COMPUTED_VALUE"""),"Cluster 11")</f>
        <v>Cluster 11</v>
      </c>
      <c r="E507" s="4"/>
      <c r="F507" s="4"/>
      <c r="G507" s="4"/>
      <c r="H507" s="4" t="str">
        <f>IFERROR(__xludf.DUMMYFUNCTION("""COMPUTED_VALUE"""),"NIGER STREET")</f>
        <v>NIGER STREET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 t="str">
        <f>IFERROR(__xludf.DUMMYFUNCTION("""COMPUTED_VALUE"""),"Point 2")</f>
        <v>Point 2</v>
      </c>
      <c r="AC507" s="4">
        <f>IFERROR(__xludf.DUMMYFUNCTION("""COMPUTED_VALUE"""),12.009424)</f>
        <v>12.009424</v>
      </c>
      <c r="AD507" s="4">
        <f>IFERROR(__xludf.DUMMYFUNCTION("""COMPUTED_VALUE"""),8.541584)</f>
        <v>8.541584</v>
      </c>
      <c r="AE507" s="5" t="str">
        <f>IFERROR(__xludf.DUMMYFUNCTION("""COMPUTED_VALUE"""),"https://drive.google.com/open?id=1d04ZxYjHIF_VDNzmNpy1qttTmTLcNz9w")</f>
        <v>https://drive.google.com/open?id=1d04ZxYjHIF_VDNzmNpy1qttTmTLcNz9w</v>
      </c>
      <c r="AF507" s="4"/>
      <c r="AG507" s="4"/>
      <c r="AH507" s="4"/>
      <c r="AI507" s="4"/>
      <c r="AL507" s="4" t="str">
        <f t="shared" si="1"/>
        <v>Cluster 11</v>
      </c>
      <c r="AM507" s="4" t="str">
        <f t="shared" si="2"/>
        <v>NIGER STREET</v>
      </c>
    </row>
    <row r="508">
      <c r="A508" s="3">
        <f>IFERROR(__xludf.DUMMYFUNCTION("""COMPUTED_VALUE"""),45864.03942972222)</f>
        <v>45864.03943</v>
      </c>
      <c r="B508" s="4" t="str">
        <f>IFERROR(__xludf.DUMMYFUNCTION("""COMPUTED_VALUE"""),"iahmadzakari@gmail.com")</f>
        <v>iahmadzakari@gmail.com</v>
      </c>
      <c r="C508" s="4" t="str">
        <f>IFERROR(__xludf.DUMMYFUNCTION("""COMPUTED_VALUE"""),"Sadiq Ilu")</f>
        <v>Sadiq Ilu</v>
      </c>
      <c r="D508" s="4" t="str">
        <f>IFERROR(__xludf.DUMMYFUNCTION("""COMPUTED_VALUE"""),"Cluster 11")</f>
        <v>Cluster 11</v>
      </c>
      <c r="E508" s="4"/>
      <c r="F508" s="4"/>
      <c r="G508" s="4"/>
      <c r="H508" s="4" t="str">
        <f>IFERROR(__xludf.DUMMYFUNCTION("""COMPUTED_VALUE"""),"NIGER STREET")</f>
        <v>NIGER STREET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 t="str">
        <f>IFERROR(__xludf.DUMMYFUNCTION("""COMPUTED_VALUE"""),"Point 1")</f>
        <v>Point 1</v>
      </c>
      <c r="AC508" s="4">
        <f>IFERROR(__xludf.DUMMYFUNCTION("""COMPUTED_VALUE"""),12.003768)</f>
        <v>12.003768</v>
      </c>
      <c r="AD508" s="4">
        <f>IFERROR(__xludf.DUMMYFUNCTION("""COMPUTED_VALUE"""),8.536218)</f>
        <v>8.536218</v>
      </c>
      <c r="AE508" s="5" t="str">
        <f>IFERROR(__xludf.DUMMYFUNCTION("""COMPUTED_VALUE"""),"https://drive.google.com/open?id=1xJboA8O7fZ-kt-FaNCQHM7882Q8g95Z8")</f>
        <v>https://drive.google.com/open?id=1xJboA8O7fZ-kt-FaNCQHM7882Q8g95Z8</v>
      </c>
      <c r="AF508" s="4"/>
      <c r="AG508" s="4"/>
      <c r="AH508" s="4"/>
      <c r="AI508" s="4"/>
      <c r="AL508" s="4" t="str">
        <f t="shared" si="1"/>
        <v>Cluster 11</v>
      </c>
      <c r="AM508" s="4" t="str">
        <f t="shared" si="2"/>
        <v>NIGER STREET</v>
      </c>
    </row>
    <row r="509">
      <c r="A509" s="3">
        <f>IFERROR(__xludf.DUMMYFUNCTION("""COMPUTED_VALUE"""),45864.03830746528)</f>
        <v>45864.03831</v>
      </c>
      <c r="B509" s="4" t="str">
        <f>IFERROR(__xludf.DUMMYFUNCTION("""COMPUTED_VALUE"""),"iahmadzakari@gmail.com")</f>
        <v>iahmadzakari@gmail.com</v>
      </c>
      <c r="C509" s="4" t="str">
        <f>IFERROR(__xludf.DUMMYFUNCTION("""COMPUTED_VALUE"""),"Sadiq Ilu")</f>
        <v>Sadiq Ilu</v>
      </c>
      <c r="D509" s="4" t="str">
        <f>IFERROR(__xludf.DUMMYFUNCTION("""COMPUTED_VALUE"""),"Cluster 11")</f>
        <v>Cluster 11</v>
      </c>
      <c r="E509" s="4"/>
      <c r="F509" s="4"/>
      <c r="G509" s="4"/>
      <c r="H509" s="4" t="str">
        <f>IFERROR(__xludf.DUMMYFUNCTION("""COMPUTED_VALUE"""),"BELLO ROAD")</f>
        <v>BELLO ROAD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 t="str">
        <f>IFERROR(__xludf.DUMMYFUNCTION("""COMPUTED_VALUE"""),"Point 2")</f>
        <v>Point 2</v>
      </c>
      <c r="AC509" s="4">
        <f>IFERROR(__xludf.DUMMYFUNCTION("""COMPUTED_VALUE"""),12.010179)</f>
        <v>12.010179</v>
      </c>
      <c r="AD509" s="4">
        <f>IFERROR(__xludf.DUMMYFUNCTION("""COMPUTED_VALUE"""),8.538681)</f>
        <v>8.538681</v>
      </c>
      <c r="AE509" s="5" t="str">
        <f>IFERROR(__xludf.DUMMYFUNCTION("""COMPUTED_VALUE"""),"https://drive.google.com/open?id=1z7OYjZ-FPhxclSg9XlnYQbEo6nQPgFZG")</f>
        <v>https://drive.google.com/open?id=1z7OYjZ-FPhxclSg9XlnYQbEo6nQPgFZG</v>
      </c>
      <c r="AF509" s="4"/>
      <c r="AG509" s="4"/>
      <c r="AH509" s="4"/>
      <c r="AI509" s="4"/>
      <c r="AL509" s="4" t="str">
        <f t="shared" si="1"/>
        <v>Cluster 11</v>
      </c>
      <c r="AM509" s="4" t="str">
        <f t="shared" si="2"/>
        <v>BELLO ROAD</v>
      </c>
    </row>
    <row r="510">
      <c r="A510" s="3">
        <f>IFERROR(__xludf.DUMMYFUNCTION("""COMPUTED_VALUE"""),45864.03746096065)</f>
        <v>45864.03746</v>
      </c>
      <c r="B510" s="4" t="str">
        <f>IFERROR(__xludf.DUMMYFUNCTION("""COMPUTED_VALUE"""),"iahmadzakari@gmail.com")</f>
        <v>iahmadzakari@gmail.com</v>
      </c>
      <c r="C510" s="4" t="str">
        <f>IFERROR(__xludf.DUMMYFUNCTION("""COMPUTED_VALUE"""),"Sadiq Ilu")</f>
        <v>Sadiq Ilu</v>
      </c>
      <c r="D510" s="4" t="str">
        <f>IFERROR(__xludf.DUMMYFUNCTION("""COMPUTED_VALUE"""),"Cluster 11")</f>
        <v>Cluster 11</v>
      </c>
      <c r="E510" s="4"/>
      <c r="F510" s="4"/>
      <c r="G510" s="4"/>
      <c r="H510" s="4" t="str">
        <f>IFERROR(__xludf.DUMMYFUNCTION("""COMPUTED_VALUE"""),"IGBO ROAD")</f>
        <v>IGBO ROAD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 t="str">
        <f>IFERROR(__xludf.DUMMYFUNCTION("""COMPUTED_VALUE"""),"Point 2")</f>
        <v>Point 2</v>
      </c>
      <c r="AC510" s="4">
        <f>IFERROR(__xludf.DUMMYFUNCTION("""COMPUTED_VALUE"""),12.010155)</f>
        <v>12.010155</v>
      </c>
      <c r="AD510" s="4">
        <f>IFERROR(__xludf.DUMMYFUNCTION("""COMPUTED_VALUE"""),8.539821)</f>
        <v>8.539821</v>
      </c>
      <c r="AE510" s="5" t="str">
        <f>IFERROR(__xludf.DUMMYFUNCTION("""COMPUTED_VALUE"""),"https://drive.google.com/open?id=1O5TnTmsb_rQHSvGB-e-_TtLhgHYbFagP")</f>
        <v>https://drive.google.com/open?id=1O5TnTmsb_rQHSvGB-e-_TtLhgHYbFagP</v>
      </c>
      <c r="AF510" s="4"/>
      <c r="AG510" s="4"/>
      <c r="AH510" s="4"/>
      <c r="AI510" s="4"/>
      <c r="AL510" s="4" t="str">
        <f t="shared" si="1"/>
        <v>Cluster 11</v>
      </c>
      <c r="AM510" s="4" t="str">
        <f t="shared" si="2"/>
        <v>IGBO ROAD</v>
      </c>
    </row>
    <row r="511">
      <c r="A511" s="3">
        <f>IFERROR(__xludf.DUMMYFUNCTION("""COMPUTED_VALUE"""),45864.036273101854)</f>
        <v>45864.03627</v>
      </c>
      <c r="B511" s="4" t="str">
        <f>IFERROR(__xludf.DUMMYFUNCTION("""COMPUTED_VALUE"""),"iahmadzakari@gmail.com")</f>
        <v>iahmadzakari@gmail.com</v>
      </c>
      <c r="C511" s="4" t="str">
        <f>IFERROR(__xludf.DUMMYFUNCTION("""COMPUTED_VALUE"""),"Sadiq Ilu")</f>
        <v>Sadiq Ilu</v>
      </c>
      <c r="D511" s="4" t="str">
        <f>IFERROR(__xludf.DUMMYFUNCTION("""COMPUTED_VALUE"""),"Cluster 11")</f>
        <v>Cluster 11</v>
      </c>
      <c r="E511" s="4"/>
      <c r="F511" s="4"/>
      <c r="G511" s="4"/>
      <c r="H511" s="4" t="str">
        <f>IFERROR(__xludf.DUMMYFUNCTION("""COMPUTED_VALUE"""),"YORUBA ROAD")</f>
        <v>YORUBA ROAD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 t="str">
        <f>IFERROR(__xludf.DUMMYFUNCTION("""COMPUTED_VALUE"""),"Point 2")</f>
        <v>Point 2</v>
      </c>
      <c r="AC511" s="4">
        <f>IFERROR(__xludf.DUMMYFUNCTION("""COMPUTED_VALUE"""),12.016679)</f>
        <v>12.016679</v>
      </c>
      <c r="AD511" s="4">
        <f>IFERROR(__xludf.DUMMYFUNCTION("""COMPUTED_VALUE"""),8.532632)</f>
        <v>8.532632</v>
      </c>
      <c r="AE511" s="5" t="str">
        <f>IFERROR(__xludf.DUMMYFUNCTION("""COMPUTED_VALUE"""),"https://drive.google.com/open?id=1wlMQa052uQPhyb_Kv6N4EEEQSWa4Qnn4")</f>
        <v>https://drive.google.com/open?id=1wlMQa052uQPhyb_Kv6N4EEEQSWa4Qnn4</v>
      </c>
      <c r="AF511" s="4"/>
      <c r="AG511" s="4"/>
      <c r="AH511" s="4"/>
      <c r="AI511" s="4"/>
      <c r="AL511" s="4" t="str">
        <f t="shared" si="1"/>
        <v>Cluster 11</v>
      </c>
      <c r="AM511" s="4" t="str">
        <f t="shared" si="2"/>
        <v>YORUBA ROAD</v>
      </c>
    </row>
    <row r="512">
      <c r="A512" s="3">
        <f>IFERROR(__xludf.DUMMYFUNCTION("""COMPUTED_VALUE"""),45864.03550922454)</f>
        <v>45864.03551</v>
      </c>
      <c r="B512" s="4" t="str">
        <f>IFERROR(__xludf.DUMMYFUNCTION("""COMPUTED_VALUE"""),"iahmadzakari@gmail.com")</f>
        <v>iahmadzakari@gmail.com</v>
      </c>
      <c r="C512" s="4" t="str">
        <f>IFERROR(__xludf.DUMMYFUNCTION("""COMPUTED_VALUE"""),"Sadiq Ilu")</f>
        <v>Sadiq Ilu</v>
      </c>
      <c r="D512" s="4" t="str">
        <f>IFERROR(__xludf.DUMMYFUNCTION("""COMPUTED_VALUE"""),"Cluster 4")</f>
        <v>Cluster 4</v>
      </c>
      <c r="E512" s="4"/>
      <c r="F512" s="4" t="str">
        <f>IFERROR(__xludf.DUMMYFUNCTION("""COMPUTED_VALUE"""),"AITKEN ROAD")</f>
        <v>AITKEN ROAD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 t="str">
        <f>IFERROR(__xludf.DUMMYFUNCTION("""COMPUTED_VALUE"""),"Point 2")</f>
        <v>Point 2</v>
      </c>
      <c r="AC512" s="4">
        <f>IFERROR(__xludf.DUMMYFUNCTION("""COMPUTED_VALUE"""),12.020508)</f>
        <v>12.020508</v>
      </c>
      <c r="AD512" s="4">
        <f>IFERROR(__xludf.DUMMYFUNCTION("""COMPUTED_VALUE"""),8.532648)</f>
        <v>8.532648</v>
      </c>
      <c r="AE512" s="5" t="str">
        <f>IFERROR(__xludf.DUMMYFUNCTION("""COMPUTED_VALUE"""),"https://drive.google.com/open?id=1ZFL3Gi3z_wV4NbfWLNZlHZscN1TokWhT")</f>
        <v>https://drive.google.com/open?id=1ZFL3Gi3z_wV4NbfWLNZlHZscN1TokWhT</v>
      </c>
      <c r="AF512" s="4"/>
      <c r="AG512" s="4"/>
      <c r="AH512" s="4"/>
      <c r="AI512" s="4"/>
      <c r="AL512" s="4" t="str">
        <f t="shared" si="1"/>
        <v>Cluster 4</v>
      </c>
      <c r="AM512" s="4" t="str">
        <f t="shared" si="2"/>
        <v>AITKEN ROAD</v>
      </c>
    </row>
    <row r="513">
      <c r="A513" s="3">
        <f>IFERROR(__xludf.DUMMYFUNCTION("""COMPUTED_VALUE"""),45864.03459542824)</f>
        <v>45864.0346</v>
      </c>
      <c r="B513" s="4" t="str">
        <f>IFERROR(__xludf.DUMMYFUNCTION("""COMPUTED_VALUE"""),"iahmadzakari@gmail.com")</f>
        <v>iahmadzakari@gmail.com</v>
      </c>
      <c r="C513" s="4" t="str">
        <f>IFERROR(__xludf.DUMMYFUNCTION("""COMPUTED_VALUE"""),"Sadiq Ilu")</f>
        <v>Sadiq Ilu</v>
      </c>
      <c r="D513" s="4" t="str">
        <f>IFERROR(__xludf.DUMMYFUNCTION("""COMPUTED_VALUE"""),"Cluster 4")</f>
        <v>Cluster 4</v>
      </c>
      <c r="E513" s="4"/>
      <c r="F513" s="4" t="str">
        <f>IFERROR(__xludf.DUMMYFUNCTION("""COMPUTED_VALUE"""),"ABEOKUTA ROAD")</f>
        <v>ABEOKUTA ROAD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 t="str">
        <f>IFERROR(__xludf.DUMMYFUNCTION("""COMPUTED_VALUE"""),"Point 2")</f>
        <v>Point 2</v>
      </c>
      <c r="AC513" s="4">
        <f>IFERROR(__xludf.DUMMYFUNCTION("""COMPUTED_VALUE"""),12.021303)</f>
        <v>12.021303</v>
      </c>
      <c r="AD513" s="4">
        <f>IFERROR(__xludf.DUMMYFUNCTION("""COMPUTED_VALUE"""),8.532653)</f>
        <v>8.532653</v>
      </c>
      <c r="AE513" s="5" t="str">
        <f>IFERROR(__xludf.DUMMYFUNCTION("""COMPUTED_VALUE"""),"https://drive.google.com/open?id=1nO6Q_EiEdps-6qX_iEOWwL3kpAoWiJ7f")</f>
        <v>https://drive.google.com/open?id=1nO6Q_EiEdps-6qX_iEOWwL3kpAoWiJ7f</v>
      </c>
      <c r="AF513" s="4"/>
      <c r="AG513" s="4"/>
      <c r="AH513" s="4"/>
      <c r="AI513" s="4"/>
      <c r="AL513" s="4" t="str">
        <f t="shared" si="1"/>
        <v>Cluster 4</v>
      </c>
      <c r="AM513" s="4" t="str">
        <f t="shared" si="2"/>
        <v>ABEOKUTA ROAD</v>
      </c>
    </row>
    <row r="514">
      <c r="A514" s="3">
        <f>IFERROR(__xludf.DUMMYFUNCTION("""COMPUTED_VALUE"""),45864.033408993055)</f>
        <v>45864.03341</v>
      </c>
      <c r="B514" s="4" t="str">
        <f>IFERROR(__xludf.DUMMYFUNCTION("""COMPUTED_VALUE"""),"iahmadzakari@gmail.com")</f>
        <v>iahmadzakari@gmail.com</v>
      </c>
      <c r="C514" s="4" t="str">
        <f>IFERROR(__xludf.DUMMYFUNCTION("""COMPUTED_VALUE"""),"Sadiq Ilu")</f>
        <v>Sadiq Ilu</v>
      </c>
      <c r="D514" s="4" t="str">
        <f>IFERROR(__xludf.DUMMYFUNCTION("""COMPUTED_VALUE"""),"Cluster 4")</f>
        <v>Cluster 4</v>
      </c>
      <c r="E514" s="4"/>
      <c r="F514" s="4" t="str">
        <f>IFERROR(__xludf.DUMMYFUNCTION("""COMPUTED_VALUE"""),"ENUGU ROAD")</f>
        <v>ENUGU ROAD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 t="str">
        <f>IFERROR(__xludf.DUMMYFUNCTION("""COMPUTED_VALUE"""),"Point 1")</f>
        <v>Point 1</v>
      </c>
      <c r="AC514" s="4">
        <f>IFERROR(__xludf.DUMMYFUNCTION("""COMPUTED_VALUE"""),12.022094)</f>
        <v>12.022094</v>
      </c>
      <c r="AD514" s="4">
        <f>IFERROR(__xludf.DUMMYFUNCTION("""COMPUTED_VALUE"""),8.532656)</f>
        <v>8.532656</v>
      </c>
      <c r="AE514" s="5" t="str">
        <f>IFERROR(__xludf.DUMMYFUNCTION("""COMPUTED_VALUE"""),"https://drive.google.com/open?id=1P0UFlLSJVkpbMDAE2Y6UE6pGamln0jXO")</f>
        <v>https://drive.google.com/open?id=1P0UFlLSJVkpbMDAE2Y6UE6pGamln0jXO</v>
      </c>
      <c r="AF514" s="4"/>
      <c r="AG514" s="4"/>
      <c r="AH514" s="4"/>
      <c r="AI514" s="4"/>
      <c r="AL514" s="4" t="str">
        <f t="shared" si="1"/>
        <v>Cluster 4</v>
      </c>
      <c r="AM514" s="4" t="str">
        <f t="shared" si="2"/>
        <v>ENUGU ROAD</v>
      </c>
    </row>
    <row r="515">
      <c r="A515" s="3">
        <f>IFERROR(__xludf.DUMMYFUNCTION("""COMPUTED_VALUE"""),45864.02898594907)</f>
        <v>45864.02899</v>
      </c>
      <c r="B515" s="4" t="str">
        <f>IFERROR(__xludf.DUMMYFUNCTION("""COMPUTED_VALUE"""),"iahmadzakari@gmail.com")</f>
        <v>iahmadzakari@gmail.com</v>
      </c>
      <c r="C515" s="4" t="str">
        <f>IFERROR(__xludf.DUMMYFUNCTION("""COMPUTED_VALUE"""),"Sadiq Ilu")</f>
        <v>Sadiq Ilu</v>
      </c>
      <c r="D515" s="4" t="str">
        <f>IFERROR(__xludf.DUMMYFUNCTION("""COMPUTED_VALUE"""),"Cluster 4")</f>
        <v>Cluster 4</v>
      </c>
      <c r="E515" s="4"/>
      <c r="F515" s="4" t="str">
        <f>IFERROR(__xludf.DUMMYFUNCTION("""COMPUTED_VALUE"""),"ABEOKUTA ROAD")</f>
        <v>ABEOKUTA ROAD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 t="str">
        <f>IFERROR(__xludf.DUMMYFUNCTION("""COMPUTED_VALUE"""),"Point 1")</f>
        <v>Point 1</v>
      </c>
      <c r="AC515" s="4">
        <f>IFERROR(__xludf.DUMMYFUNCTION("""COMPUTED_VALUE"""),12.02146)</f>
        <v>12.02146</v>
      </c>
      <c r="AD515" s="4">
        <f>IFERROR(__xludf.DUMMYFUNCTION("""COMPUTED_VALUE"""),8.539495)</f>
        <v>8.539495</v>
      </c>
      <c r="AE515" s="5" t="str">
        <f>IFERROR(__xludf.DUMMYFUNCTION("""COMPUTED_VALUE"""),"https://drive.google.com/open?id=1neEE81L9CKASg1CvGZ9f2gxZSrz4GMH1")</f>
        <v>https://drive.google.com/open?id=1neEE81L9CKASg1CvGZ9f2gxZSrz4GMH1</v>
      </c>
      <c r="AF515" s="4"/>
      <c r="AG515" s="4"/>
      <c r="AH515" s="4"/>
      <c r="AI515" s="4"/>
      <c r="AL515" s="4" t="str">
        <f t="shared" si="1"/>
        <v>Cluster 4</v>
      </c>
      <c r="AM515" s="4" t="str">
        <f t="shared" si="2"/>
        <v>ABEOKUTA ROAD</v>
      </c>
    </row>
    <row r="516">
      <c r="A516" s="3">
        <f>IFERROR(__xludf.DUMMYFUNCTION("""COMPUTED_VALUE"""),45864.027373171295)</f>
        <v>45864.02737</v>
      </c>
      <c r="B516" s="4" t="str">
        <f>IFERROR(__xludf.DUMMYFUNCTION("""COMPUTED_VALUE"""),"iahmadzakari@gmail.com")</f>
        <v>iahmadzakari@gmail.com</v>
      </c>
      <c r="C516" s="4" t="str">
        <f>IFERROR(__xludf.DUMMYFUNCTION("""COMPUTED_VALUE"""),"Sadiq Ilu")</f>
        <v>Sadiq Ilu</v>
      </c>
      <c r="D516" s="4" t="str">
        <f>IFERROR(__xludf.DUMMYFUNCTION("""COMPUTED_VALUE"""),"Cluster 4")</f>
        <v>Cluster 4</v>
      </c>
      <c r="E516" s="4"/>
      <c r="F516" s="4" t="str">
        <f>IFERROR(__xludf.DUMMYFUNCTION("""COMPUTED_VALUE"""),"AITKEN ROAD")</f>
        <v>AITKEN ROAD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 t="str">
        <f>IFERROR(__xludf.DUMMYFUNCTION("""COMPUTED_VALUE"""),"Point 1")</f>
        <v>Point 1</v>
      </c>
      <c r="AC516" s="4">
        <f>IFERROR(__xludf.DUMMYFUNCTION("""COMPUTED_VALUE"""),12.020522)</f>
        <v>12.020522</v>
      </c>
      <c r="AD516" s="4">
        <f>IFERROR(__xludf.DUMMYFUNCTION("""COMPUTED_VALUE"""),8.539579)</f>
        <v>8.539579</v>
      </c>
      <c r="AE516" s="5" t="str">
        <f>IFERROR(__xludf.DUMMYFUNCTION("""COMPUTED_VALUE"""),"https://drive.google.com/open?id=1cKFPMeK9y-WxlqOYs7gj6VjutnCKyA5a")</f>
        <v>https://drive.google.com/open?id=1cKFPMeK9y-WxlqOYs7gj6VjutnCKyA5a</v>
      </c>
      <c r="AF516" s="4"/>
      <c r="AG516" s="4"/>
      <c r="AH516" s="4"/>
      <c r="AI516" s="4"/>
      <c r="AL516" s="4" t="str">
        <f t="shared" si="1"/>
        <v>Cluster 4</v>
      </c>
      <c r="AM516" s="4" t="str">
        <f t="shared" si="2"/>
        <v>AITKEN ROAD</v>
      </c>
    </row>
    <row r="517">
      <c r="A517" s="3">
        <f>IFERROR(__xludf.DUMMYFUNCTION("""COMPUTED_VALUE"""),45864.02489909722)</f>
        <v>45864.0249</v>
      </c>
      <c r="B517" s="4" t="str">
        <f>IFERROR(__xludf.DUMMYFUNCTION("""COMPUTED_VALUE"""),"iahmadzakari@gmail.com")</f>
        <v>iahmadzakari@gmail.com</v>
      </c>
      <c r="C517" s="4" t="str">
        <f>IFERROR(__xludf.DUMMYFUNCTION("""COMPUTED_VALUE"""),"Sadiq Ilu")</f>
        <v>Sadiq Ilu</v>
      </c>
      <c r="D517" s="4" t="str">
        <f>IFERROR(__xludf.DUMMYFUNCTION("""COMPUTED_VALUE"""),"Cluster 11")</f>
        <v>Cluster 11</v>
      </c>
      <c r="E517" s="4"/>
      <c r="F517" s="4"/>
      <c r="G517" s="4"/>
      <c r="H517" s="4" t="str">
        <f>IFERROR(__xludf.DUMMYFUNCTION("""COMPUTED_VALUE"""),"YORUBA ROAD")</f>
        <v>YORUBA ROAD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 t="str">
        <f>IFERROR(__xludf.DUMMYFUNCTION("""COMPUTED_VALUE"""),"Point 1")</f>
        <v>Point 1</v>
      </c>
      <c r="AC517" s="4">
        <f>IFERROR(__xludf.DUMMYFUNCTION("""COMPUTED_VALUE"""),12.016838)</f>
        <v>12.016838</v>
      </c>
      <c r="AD517" s="4">
        <f>IFERROR(__xludf.DUMMYFUNCTION("""COMPUTED_VALUE"""),8.539544)</f>
        <v>8.539544</v>
      </c>
      <c r="AE517" s="5" t="str">
        <f>IFERROR(__xludf.DUMMYFUNCTION("""COMPUTED_VALUE"""),"https://drive.google.com/open?id=16CoPj-429chxqNGyJKRl0YfqvbbFauZo")</f>
        <v>https://drive.google.com/open?id=16CoPj-429chxqNGyJKRl0YfqvbbFauZo</v>
      </c>
      <c r="AF517" s="4"/>
      <c r="AG517" s="4"/>
      <c r="AH517" s="4"/>
      <c r="AI517" s="4"/>
      <c r="AL517" s="4" t="str">
        <f t="shared" si="1"/>
        <v>Cluster 11</v>
      </c>
      <c r="AM517" s="4" t="str">
        <f t="shared" si="2"/>
        <v>YORUBA ROAD</v>
      </c>
    </row>
    <row r="518">
      <c r="A518" s="3">
        <f>IFERROR(__xludf.DUMMYFUNCTION("""COMPUTED_VALUE"""),45864.019141770834)</f>
        <v>45864.01914</v>
      </c>
      <c r="B518" s="4" t="str">
        <f>IFERROR(__xludf.DUMMYFUNCTION("""COMPUTED_VALUE"""),"iahmadzakari@gmail.com")</f>
        <v>iahmadzakari@gmail.com</v>
      </c>
      <c r="C518" s="4" t="str">
        <f>IFERROR(__xludf.DUMMYFUNCTION("""COMPUTED_VALUE"""),"Sadiq Ilu")</f>
        <v>Sadiq Ilu</v>
      </c>
      <c r="D518" s="4" t="str">
        <f>IFERROR(__xludf.DUMMYFUNCTION("""COMPUTED_VALUE"""),"Cluster 11")</f>
        <v>Cluster 11</v>
      </c>
      <c r="E518" s="4"/>
      <c r="F518" s="4"/>
      <c r="G518" s="4"/>
      <c r="H518" s="4" t="str">
        <f>IFERROR(__xludf.DUMMYFUNCTION("""COMPUTED_VALUE"""),"MILLER ROAD")</f>
        <v>MILLER ROAD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 t="str">
        <f>IFERROR(__xludf.DUMMYFUNCTION("""COMPUTED_VALUE"""),"Point 2")</f>
        <v>Point 2</v>
      </c>
      <c r="AC518" s="4">
        <f>IFERROR(__xludf.DUMMYFUNCTION("""COMPUTED_VALUE"""),12.016305)</f>
        <v>12.016305</v>
      </c>
      <c r="AD518" s="4">
        <f>IFERROR(__xludf.DUMMYFUNCTION("""COMPUTED_VALUE"""),8.552146)</f>
        <v>8.552146</v>
      </c>
      <c r="AE518" s="5" t="str">
        <f>IFERROR(__xludf.DUMMYFUNCTION("""COMPUTED_VALUE"""),"https://drive.google.com/open?id=185bDhkiBCJ0cqXK8i9B0ThXdS198h6tn")</f>
        <v>https://drive.google.com/open?id=185bDhkiBCJ0cqXK8i9B0ThXdS198h6tn</v>
      </c>
      <c r="AF518" s="4"/>
      <c r="AG518" s="4"/>
      <c r="AH518" s="4"/>
      <c r="AI518" s="4"/>
      <c r="AL518" s="4" t="str">
        <f t="shared" si="1"/>
        <v>Cluster 11</v>
      </c>
      <c r="AM518" s="4" t="str">
        <f t="shared" si="2"/>
        <v>MILLER ROAD</v>
      </c>
    </row>
    <row r="519">
      <c r="A519" s="3">
        <f>IFERROR(__xludf.DUMMYFUNCTION("""COMPUTED_VALUE"""),45864.01823770833)</f>
        <v>45864.01824</v>
      </c>
      <c r="B519" s="4" t="str">
        <f>IFERROR(__xludf.DUMMYFUNCTION("""COMPUTED_VALUE"""),"iahmadzakari@gmail.com")</f>
        <v>iahmadzakari@gmail.com</v>
      </c>
      <c r="C519" s="4" t="str">
        <f>IFERROR(__xludf.DUMMYFUNCTION("""COMPUTED_VALUE"""),"Sadiq Ilu")</f>
        <v>Sadiq Ilu</v>
      </c>
      <c r="D519" s="4" t="str">
        <f>IFERROR(__xludf.DUMMYFUNCTION("""COMPUTED_VALUE"""),"Cluster 11")</f>
        <v>Cluster 11</v>
      </c>
      <c r="E519" s="4"/>
      <c r="F519" s="4"/>
      <c r="G519" s="4"/>
      <c r="H519" s="4" t="str">
        <f>IFERROR(__xludf.DUMMYFUNCTION("""COMPUTED_VALUE"""),"MILLER ROAD")</f>
        <v>MILLER ROAD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 t="str">
        <f>IFERROR(__xludf.DUMMYFUNCTION("""COMPUTED_VALUE"""),"Point 1")</f>
        <v>Point 1</v>
      </c>
      <c r="AC519" s="4">
        <f>IFERROR(__xludf.DUMMYFUNCTION("""COMPUTED_VALUE"""),12.010521)</f>
        <v>12.010521</v>
      </c>
      <c r="AD519" s="4">
        <f>IFERROR(__xludf.DUMMYFUNCTION("""COMPUTED_VALUE"""),8.552777)</f>
        <v>8.552777</v>
      </c>
      <c r="AE519" s="5" t="str">
        <f>IFERROR(__xludf.DUMMYFUNCTION("""COMPUTED_VALUE"""),"https://drive.google.com/open?id=1MMqwkkRQsM902d4-BOE03tFDubKkeFOA")</f>
        <v>https://drive.google.com/open?id=1MMqwkkRQsM902d4-BOE03tFDubKkeFOA</v>
      </c>
      <c r="AF519" s="4"/>
      <c r="AG519" s="4"/>
      <c r="AH519" s="4"/>
      <c r="AI519" s="4"/>
      <c r="AL519" s="4" t="str">
        <f t="shared" si="1"/>
        <v>Cluster 11</v>
      </c>
      <c r="AM519" s="4" t="str">
        <f t="shared" si="2"/>
        <v>MILLER ROAD</v>
      </c>
    </row>
    <row r="520">
      <c r="A520" s="3">
        <f>IFERROR(__xludf.DUMMYFUNCTION("""COMPUTED_VALUE"""),45864.017105879626)</f>
        <v>45864.01711</v>
      </c>
      <c r="B520" s="4" t="str">
        <f>IFERROR(__xludf.DUMMYFUNCTION("""COMPUTED_VALUE"""),"iahmadzakari@gmail.com")</f>
        <v>iahmadzakari@gmail.com</v>
      </c>
      <c r="C520" s="4" t="str">
        <f>IFERROR(__xludf.DUMMYFUNCTION("""COMPUTED_VALUE"""),"Sadiq Ilu")</f>
        <v>Sadiq Ilu</v>
      </c>
      <c r="D520" s="4" t="str">
        <f>IFERROR(__xludf.DUMMYFUNCTION("""COMPUTED_VALUE"""),"Cluster 11")</f>
        <v>Cluster 11</v>
      </c>
      <c r="E520" s="4"/>
      <c r="F520" s="4"/>
      <c r="G520" s="4"/>
      <c r="H520" s="4" t="str">
        <f>IFERROR(__xludf.DUMMYFUNCTION("""COMPUTED_VALUE"""),"MISSION ROAD")</f>
        <v>MISSION ROAD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 t="str">
        <f>IFERROR(__xludf.DUMMYFUNCTION("""COMPUTED_VALUE"""),"Point 2")</f>
        <v>Point 2</v>
      </c>
      <c r="AC520" s="4">
        <f>IFERROR(__xludf.DUMMYFUNCTION("""COMPUTED_VALUE"""),12.018372)</f>
        <v>12.018372</v>
      </c>
      <c r="AD520" s="4">
        <f>IFERROR(__xludf.DUMMYFUNCTION("""COMPUTED_VALUE"""),8.544435)</f>
        <v>8.544435</v>
      </c>
      <c r="AE520" s="5" t="str">
        <f>IFERROR(__xludf.DUMMYFUNCTION("""COMPUTED_VALUE"""),"https://drive.google.com/open?id=1U_NwGElkU5andURlR3EwsBcqGi74vBDo")</f>
        <v>https://drive.google.com/open?id=1U_NwGElkU5andURlR3EwsBcqGi74vBDo</v>
      </c>
      <c r="AF520" s="4"/>
      <c r="AG520" s="4"/>
      <c r="AH520" s="4"/>
      <c r="AI520" s="4"/>
      <c r="AL520" s="4" t="str">
        <f t="shared" si="1"/>
        <v>Cluster 11</v>
      </c>
      <c r="AM520" s="4" t="str">
        <f t="shared" si="2"/>
        <v>MISSION ROAD</v>
      </c>
    </row>
    <row r="521">
      <c r="A521" s="3">
        <f>IFERROR(__xludf.DUMMYFUNCTION("""COMPUTED_VALUE"""),45864.01565947916)</f>
        <v>45864.01566</v>
      </c>
      <c r="B521" s="4" t="str">
        <f>IFERROR(__xludf.DUMMYFUNCTION("""COMPUTED_VALUE"""),"iahmadzakari@gmail.com")</f>
        <v>iahmadzakari@gmail.com</v>
      </c>
      <c r="C521" s="4" t="str">
        <f>IFERROR(__xludf.DUMMYFUNCTION("""COMPUTED_VALUE"""),"Sadiq Ilu")</f>
        <v>Sadiq Ilu</v>
      </c>
      <c r="D521" s="4" t="str">
        <f>IFERROR(__xludf.DUMMYFUNCTION("""COMPUTED_VALUE"""),"Cluster 11")</f>
        <v>Cluster 11</v>
      </c>
      <c r="E521" s="4"/>
      <c r="F521" s="4"/>
      <c r="G521" s="4"/>
      <c r="H521" s="4" t="str">
        <f>IFERROR(__xludf.DUMMYFUNCTION("""COMPUTED_VALUE"""),"MISSION ROAD")</f>
        <v>MISSION ROAD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 t="str">
        <f>IFERROR(__xludf.DUMMYFUNCTION("""COMPUTED_VALUE"""),"Point 1")</f>
        <v>Point 1</v>
      </c>
      <c r="AC521" s="4">
        <f>IFERROR(__xludf.DUMMYFUNCTION("""COMPUTED_VALUE"""),12.011239)</f>
        <v>12.011239</v>
      </c>
      <c r="AD521" s="4">
        <f>IFERROR(__xludf.DUMMYFUNCTION("""COMPUTED_VALUE"""),8.556681)</f>
        <v>8.556681</v>
      </c>
      <c r="AE521" s="5" t="str">
        <f>IFERROR(__xludf.DUMMYFUNCTION("""COMPUTED_VALUE"""),"https://drive.google.com/open?id=1DJD7E9eYgD0u1mJTZXbCIkBXoisG_m12")</f>
        <v>https://drive.google.com/open?id=1DJD7E9eYgD0u1mJTZXbCIkBXoisG_m12</v>
      </c>
      <c r="AF521" s="4"/>
      <c r="AG521" s="4"/>
      <c r="AH521" s="4"/>
      <c r="AI521" s="4"/>
      <c r="AL521" s="4" t="str">
        <f t="shared" si="1"/>
        <v>Cluster 11</v>
      </c>
      <c r="AM521" s="4" t="str">
        <f t="shared" si="2"/>
        <v>MISSION ROAD</v>
      </c>
    </row>
    <row r="522">
      <c r="A522" s="3">
        <f>IFERROR(__xludf.DUMMYFUNCTION("""COMPUTED_VALUE"""),45864.011820370375)</f>
        <v>45864.01182</v>
      </c>
      <c r="B522" s="4" t="str">
        <f>IFERROR(__xludf.DUMMYFUNCTION("""COMPUTED_VALUE"""),"iahmadzakari@gmail.com")</f>
        <v>iahmadzakari@gmail.com</v>
      </c>
      <c r="C522" s="4" t="str">
        <f>IFERROR(__xludf.DUMMYFUNCTION("""COMPUTED_VALUE"""),"Sadiq Ilu")</f>
        <v>Sadiq Ilu</v>
      </c>
      <c r="D522" s="4" t="str">
        <f>IFERROR(__xludf.DUMMYFUNCTION("""COMPUTED_VALUE"""),"Cluster 4")</f>
        <v>Cluster 4</v>
      </c>
      <c r="E522" s="4"/>
      <c r="F522" s="4" t="str">
        <f>IFERROR(__xludf.DUMMYFUNCTION("""COMPUTED_VALUE"""),"SANUSI STREET")</f>
        <v>SANUSI STREET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 t="str">
        <f>IFERROR(__xludf.DUMMYFUNCTION("""COMPUTED_VALUE"""),"Point 2")</f>
        <v>Point 2</v>
      </c>
      <c r="AC522" s="4">
        <f>IFERROR(__xludf.DUMMYFUNCTION("""COMPUTED_VALUE"""),12.014488)</f>
        <v>12.014488</v>
      </c>
      <c r="AD522" s="4">
        <f>IFERROR(__xludf.DUMMYFUNCTION("""COMPUTED_VALUE"""),8.531901)</f>
        <v>8.531901</v>
      </c>
      <c r="AE522" s="5" t="str">
        <f>IFERROR(__xludf.DUMMYFUNCTION("""COMPUTED_VALUE"""),"https://drive.google.com/open?id=1QKWT5a0wqbFz8YKicGXrB3OEXx45ZSs2")</f>
        <v>https://drive.google.com/open?id=1QKWT5a0wqbFz8YKicGXrB3OEXx45ZSs2</v>
      </c>
      <c r="AF522" s="4"/>
      <c r="AG522" s="4"/>
      <c r="AH522" s="4"/>
      <c r="AI522" s="4"/>
      <c r="AL522" s="4" t="str">
        <f t="shared" si="1"/>
        <v>Cluster 4</v>
      </c>
      <c r="AM522" s="4" t="str">
        <f t="shared" si="2"/>
        <v>SANUSI STREET</v>
      </c>
    </row>
    <row r="523">
      <c r="A523" s="3">
        <f>IFERROR(__xludf.DUMMYFUNCTION("""COMPUTED_VALUE"""),45864.01101078704)</f>
        <v>45864.01101</v>
      </c>
      <c r="B523" s="4" t="str">
        <f>IFERROR(__xludf.DUMMYFUNCTION("""COMPUTED_VALUE"""),"iahmadzakari@gmail.com")</f>
        <v>iahmadzakari@gmail.com</v>
      </c>
      <c r="C523" s="4" t="str">
        <f>IFERROR(__xludf.DUMMYFUNCTION("""COMPUTED_VALUE"""),"Sadiq Ilu")</f>
        <v>Sadiq Ilu</v>
      </c>
      <c r="D523" s="4" t="str">
        <f>IFERROR(__xludf.DUMMYFUNCTION("""COMPUTED_VALUE"""),"Cluster 4")</f>
        <v>Cluster 4</v>
      </c>
      <c r="E523" s="4"/>
      <c r="F523" s="4" t="str">
        <f>IFERROR(__xludf.DUMMYFUNCTION("""COMPUTED_VALUE"""),"SANUSI STREET")</f>
        <v>SANUSI STREET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 t="str">
        <f>IFERROR(__xludf.DUMMYFUNCTION("""COMPUTED_VALUE"""),"Point 1")</f>
        <v>Point 1</v>
      </c>
      <c r="AC523" s="4">
        <f>IFERROR(__xludf.DUMMYFUNCTION("""COMPUTED_VALUE"""),12.018412)</f>
        <v>12.018412</v>
      </c>
      <c r="AD523" s="4">
        <f>IFERROR(__xludf.DUMMYFUNCTION("""COMPUTED_VALUE"""),8.531646)</f>
        <v>8.531646</v>
      </c>
      <c r="AE523" s="5" t="str">
        <f>IFERROR(__xludf.DUMMYFUNCTION("""COMPUTED_VALUE"""),"https://drive.google.com/open?id=12jRNYL_aq21ui6LA0kBqpa2En7Pw6WQE")</f>
        <v>https://drive.google.com/open?id=12jRNYL_aq21ui6LA0kBqpa2En7Pw6WQE</v>
      </c>
      <c r="AF523" s="4"/>
      <c r="AG523" s="4"/>
      <c r="AH523" s="4"/>
      <c r="AI523" s="4"/>
      <c r="AL523" s="4" t="str">
        <f t="shared" si="1"/>
        <v>Cluster 4</v>
      </c>
      <c r="AM523" s="4" t="str">
        <f t="shared" si="2"/>
        <v>SANUSI STREET</v>
      </c>
    </row>
    <row r="524">
      <c r="A524" s="3">
        <f>IFERROR(__xludf.DUMMYFUNCTION("""COMPUTED_VALUE"""),45864.00953224537)</f>
        <v>45864.00953</v>
      </c>
      <c r="B524" s="4" t="str">
        <f>IFERROR(__xludf.DUMMYFUNCTION("""COMPUTED_VALUE"""),"iahmadzakari@gmail.com")</f>
        <v>iahmadzakari@gmail.com</v>
      </c>
      <c r="C524" s="4" t="str">
        <f>IFERROR(__xludf.DUMMYFUNCTION("""COMPUTED_VALUE"""),"Sadiq Ilu")</f>
        <v>Sadiq Ilu</v>
      </c>
      <c r="D524" s="4" t="str">
        <f>IFERROR(__xludf.DUMMYFUNCTION("""COMPUTED_VALUE"""),"Cluster 4")</f>
        <v>Cluster 4</v>
      </c>
      <c r="E524" s="4"/>
      <c r="F524" s="4" t="str">
        <f>IFERROR(__xludf.DUMMYFUNCTION("""COMPUTED_VALUE"""),"MAHOGANY STREET")</f>
        <v>MAHOGANY STREET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 t="str">
        <f>IFERROR(__xludf.DUMMYFUNCTION("""COMPUTED_VALUE"""),"Point 2")</f>
        <v>Point 2</v>
      </c>
      <c r="AC524" s="4">
        <f>IFERROR(__xludf.DUMMYFUNCTION("""COMPUTED_VALUE"""),12.032488)</f>
        <v>12.032488</v>
      </c>
      <c r="AD524" s="4">
        <f>IFERROR(__xludf.DUMMYFUNCTION("""COMPUTED_VALUE"""),8.535432)</f>
        <v>8.535432</v>
      </c>
      <c r="AE524" s="5" t="str">
        <f>IFERROR(__xludf.DUMMYFUNCTION("""COMPUTED_VALUE"""),"https://drive.google.com/open?id=1L8wJJiK7N8o6vPIApceqweuB3uJVbKeO")</f>
        <v>https://drive.google.com/open?id=1L8wJJiK7N8o6vPIApceqweuB3uJVbKeO</v>
      </c>
      <c r="AF524" s="4"/>
      <c r="AG524" s="4"/>
      <c r="AH524" s="4"/>
      <c r="AI524" s="4"/>
      <c r="AL524" s="4" t="str">
        <f t="shared" si="1"/>
        <v>Cluster 4</v>
      </c>
      <c r="AM524" s="4" t="str">
        <f t="shared" si="2"/>
        <v>MAHOGANY STREET</v>
      </c>
    </row>
    <row r="525">
      <c r="A525" s="3">
        <f>IFERROR(__xludf.DUMMYFUNCTION("""COMPUTED_VALUE"""),45864.00870910879)</f>
        <v>45864.00871</v>
      </c>
      <c r="B525" s="4" t="str">
        <f>IFERROR(__xludf.DUMMYFUNCTION("""COMPUTED_VALUE"""),"iahmadzakari@gmail.com")</f>
        <v>iahmadzakari@gmail.com</v>
      </c>
      <c r="C525" s="4" t="str">
        <f>IFERROR(__xludf.DUMMYFUNCTION("""COMPUTED_VALUE"""),"Sadiq Ilu")</f>
        <v>Sadiq Ilu</v>
      </c>
      <c r="D525" s="4" t="str">
        <f>IFERROR(__xludf.DUMMYFUNCTION("""COMPUTED_VALUE"""),"Cluster 4")</f>
        <v>Cluster 4</v>
      </c>
      <c r="E525" s="4"/>
      <c r="F525" s="4" t="str">
        <f>IFERROR(__xludf.DUMMYFUNCTION("""COMPUTED_VALUE"""),"MAHOGANY STREET")</f>
        <v>MAHOGANY STREET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 t="str">
        <f>IFERROR(__xludf.DUMMYFUNCTION("""COMPUTED_VALUE"""),"Point 1")</f>
        <v>Point 1</v>
      </c>
      <c r="AC525" s="4">
        <f>IFERROR(__xludf.DUMMYFUNCTION("""COMPUTED_VALUE"""),12.030512)</f>
        <v>12.030512</v>
      </c>
      <c r="AD525" s="4">
        <f>IFERROR(__xludf.DUMMYFUNCTION("""COMPUTED_VALUE"""),8.536694)</f>
        <v>8.536694</v>
      </c>
      <c r="AE525" s="5" t="str">
        <f>IFERROR(__xludf.DUMMYFUNCTION("""COMPUTED_VALUE"""),"https://drive.google.com/open?id=1qs2trN1VAPNqvSh1B1rVxavoNw50lf-X")</f>
        <v>https://drive.google.com/open?id=1qs2trN1VAPNqvSh1B1rVxavoNw50lf-X</v>
      </c>
      <c r="AF525" s="4"/>
      <c r="AG525" s="4"/>
      <c r="AH525" s="4"/>
      <c r="AI525" s="4"/>
      <c r="AL525" s="4" t="str">
        <f t="shared" si="1"/>
        <v>Cluster 4</v>
      </c>
      <c r="AM525" s="4" t="str">
        <f t="shared" si="2"/>
        <v>MAHOGANY STREET</v>
      </c>
    </row>
    <row r="526">
      <c r="A526" s="3">
        <f>IFERROR(__xludf.DUMMYFUNCTION("""COMPUTED_VALUE"""),45864.00775040509)</f>
        <v>45864.00775</v>
      </c>
      <c r="B526" s="4" t="str">
        <f>IFERROR(__xludf.DUMMYFUNCTION("""COMPUTED_VALUE"""),"iahmadzakari@gmail.com")</f>
        <v>iahmadzakari@gmail.com</v>
      </c>
      <c r="C526" s="4" t="str">
        <f>IFERROR(__xludf.DUMMYFUNCTION("""COMPUTED_VALUE"""),"Sadiq Ilu")</f>
        <v>Sadiq Ilu</v>
      </c>
      <c r="D526" s="4" t="str">
        <f>IFERROR(__xludf.DUMMYFUNCTION("""COMPUTED_VALUE"""),"Cluster 4")</f>
        <v>Cluster 4</v>
      </c>
      <c r="E526" s="4"/>
      <c r="F526" s="4" t="str">
        <f>IFERROR(__xludf.DUMMYFUNCTION("""COMPUTED_VALUE"""),"BALLAT HUGHES AVENUE")</f>
        <v>BALLAT HUGHES AVENUE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 t="str">
        <f>IFERROR(__xludf.DUMMYFUNCTION("""COMPUTED_VALUE"""),"Point 2")</f>
        <v>Point 2</v>
      </c>
      <c r="AC526" s="4">
        <f>IFERROR(__xludf.DUMMYFUNCTION("""COMPUTED_VALUE"""),12.025813)</f>
        <v>12.025813</v>
      </c>
      <c r="AD526" s="4">
        <f>IFERROR(__xludf.DUMMYFUNCTION("""COMPUTED_VALUE"""),8.52953)</f>
        <v>8.52953</v>
      </c>
      <c r="AE526" s="5" t="str">
        <f>IFERROR(__xludf.DUMMYFUNCTION("""COMPUTED_VALUE"""),"https://drive.google.com/open?id=19RviKyDM6Tz0S0xVYe1ySWZo_4c17Dii")</f>
        <v>https://drive.google.com/open?id=19RviKyDM6Tz0S0xVYe1ySWZo_4c17Dii</v>
      </c>
      <c r="AF526" s="4"/>
      <c r="AG526" s="4"/>
      <c r="AH526" s="4"/>
      <c r="AI526" s="4"/>
      <c r="AL526" s="4" t="str">
        <f t="shared" si="1"/>
        <v>Cluster 4</v>
      </c>
      <c r="AM526" s="4" t="str">
        <f t="shared" si="2"/>
        <v>BALLAT HUGHES AVENUE</v>
      </c>
    </row>
    <row r="527">
      <c r="A527" s="3">
        <f>IFERROR(__xludf.DUMMYFUNCTION("""COMPUTED_VALUE"""),45864.006740428245)</f>
        <v>45864.00674</v>
      </c>
      <c r="B527" s="4" t="str">
        <f>IFERROR(__xludf.DUMMYFUNCTION("""COMPUTED_VALUE"""),"iahmadzakari@gmail.com")</f>
        <v>iahmadzakari@gmail.com</v>
      </c>
      <c r="C527" s="4" t="str">
        <f>IFERROR(__xludf.DUMMYFUNCTION("""COMPUTED_VALUE"""),"Sadiq Ilu")</f>
        <v>Sadiq Ilu</v>
      </c>
      <c r="D527" s="4" t="str">
        <f>IFERROR(__xludf.DUMMYFUNCTION("""COMPUTED_VALUE"""),"Cluster 4")</f>
        <v>Cluster 4</v>
      </c>
      <c r="E527" s="4"/>
      <c r="F527" s="4" t="str">
        <f>IFERROR(__xludf.DUMMYFUNCTION("""COMPUTED_VALUE"""),"BALLAT HUGHES AVENUE")</f>
        <v>BALLAT HUGHES AVENUE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 t="str">
        <f>IFERROR(__xludf.DUMMYFUNCTION("""COMPUTED_VALUE"""),"Point 1")</f>
        <v>Point 1</v>
      </c>
      <c r="AC527" s="4">
        <f>IFERROR(__xludf.DUMMYFUNCTION("""COMPUTED_VALUE"""),12.025689)</f>
        <v>12.025689</v>
      </c>
      <c r="AD527" s="4">
        <f>IFERROR(__xludf.DUMMYFUNCTION("""COMPUTED_VALUE"""),8.539551)</f>
        <v>8.539551</v>
      </c>
      <c r="AE527" s="5" t="str">
        <f>IFERROR(__xludf.DUMMYFUNCTION("""COMPUTED_VALUE"""),"https://drive.google.com/open?id=1iaECfAjAefbWq1Dv1tvdCWSMhr8qJHxU")</f>
        <v>https://drive.google.com/open?id=1iaECfAjAefbWq1Dv1tvdCWSMhr8qJHxU</v>
      </c>
      <c r="AF527" s="4"/>
      <c r="AG527" s="4"/>
      <c r="AH527" s="4"/>
      <c r="AI527" s="4"/>
      <c r="AL527" s="4" t="str">
        <f t="shared" si="1"/>
        <v>Cluster 4</v>
      </c>
      <c r="AM527" s="4" t="str">
        <f t="shared" si="2"/>
        <v>BALLAT HUGHES AVENUE</v>
      </c>
    </row>
    <row r="528">
      <c r="A528" s="3">
        <f>IFERROR(__xludf.DUMMYFUNCTION("""COMPUTED_VALUE"""),45864.00540855324)</f>
        <v>45864.00541</v>
      </c>
      <c r="B528" s="4" t="str">
        <f>IFERROR(__xludf.DUMMYFUNCTION("""COMPUTED_VALUE"""),"iahmadzakari@gmail.com")</f>
        <v>iahmadzakari@gmail.com</v>
      </c>
      <c r="C528" s="4" t="str">
        <f>IFERROR(__xludf.DUMMYFUNCTION("""COMPUTED_VALUE"""),"Sadiq Ilu")</f>
        <v>Sadiq Ilu</v>
      </c>
      <c r="D528" s="4" t="str">
        <f>IFERROR(__xludf.DUMMYFUNCTION("""COMPUTED_VALUE"""),"Cluster 4")</f>
        <v>Cluster 4</v>
      </c>
      <c r="E528" s="4"/>
      <c r="F528" s="4" t="str">
        <f>IFERROR(__xludf.DUMMYFUNCTION("""COMPUTED_VALUE"""),"WARRI ROAD")</f>
        <v>WARRI ROAD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 t="str">
        <f>IFERROR(__xludf.DUMMYFUNCTION("""COMPUTED_VALUE"""),"Point 2")</f>
        <v>Point 2</v>
      </c>
      <c r="AC528" s="4">
        <f>IFERROR(__xludf.DUMMYFUNCTION("""COMPUTED_VALUE"""),12.022879)</f>
        <v>12.022879</v>
      </c>
      <c r="AD528" s="4">
        <f>IFERROR(__xludf.DUMMYFUNCTION("""COMPUTED_VALUE"""),8.534815)</f>
        <v>8.534815</v>
      </c>
      <c r="AE528" s="5" t="str">
        <f>IFERROR(__xludf.DUMMYFUNCTION("""COMPUTED_VALUE"""),"https://drive.google.com/open?id=1ZODh8s225bD8Fu1vbZOH3DTqGoUVVXgx")</f>
        <v>https://drive.google.com/open?id=1ZODh8s225bD8Fu1vbZOH3DTqGoUVVXgx</v>
      </c>
      <c r="AF528" s="4"/>
      <c r="AG528" s="4"/>
      <c r="AH528" s="4"/>
      <c r="AI528" s="4"/>
      <c r="AL528" s="4" t="str">
        <f t="shared" si="1"/>
        <v>Cluster 4</v>
      </c>
      <c r="AM528" s="4" t="str">
        <f t="shared" si="2"/>
        <v>WARRI ROAD</v>
      </c>
    </row>
    <row r="529">
      <c r="A529" s="3">
        <f>IFERROR(__xludf.DUMMYFUNCTION("""COMPUTED_VALUE"""),45864.004465879625)</f>
        <v>45864.00447</v>
      </c>
      <c r="B529" s="4" t="str">
        <f>IFERROR(__xludf.DUMMYFUNCTION("""COMPUTED_VALUE"""),"iahmadzakari@gmail.com")</f>
        <v>iahmadzakari@gmail.com</v>
      </c>
      <c r="C529" s="4" t="str">
        <f>IFERROR(__xludf.DUMMYFUNCTION("""COMPUTED_VALUE"""),"Sadiq Ilu")</f>
        <v>Sadiq Ilu</v>
      </c>
      <c r="D529" s="4" t="str">
        <f>IFERROR(__xludf.DUMMYFUNCTION("""COMPUTED_VALUE"""),"Cluster 4")</f>
        <v>Cluster 4</v>
      </c>
      <c r="E529" s="4"/>
      <c r="F529" s="4" t="str">
        <f>IFERROR(__xludf.DUMMYFUNCTION("""COMPUTED_VALUE"""),"WARRI ROAD")</f>
        <v>WARRI ROAD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 t="str">
        <f>IFERROR(__xludf.DUMMYFUNCTION("""COMPUTED_VALUE"""),"Point 1")</f>
        <v>Point 1</v>
      </c>
      <c r="AC529" s="4">
        <f>IFERROR(__xludf.DUMMYFUNCTION("""COMPUTED_VALUE"""),12.022832)</f>
        <v>12.022832</v>
      </c>
      <c r="AD529" s="4">
        <f>IFERROR(__xludf.DUMMYFUNCTION("""COMPUTED_VALUE"""),8.539548)</f>
        <v>8.539548</v>
      </c>
      <c r="AE529" s="5" t="str">
        <f>IFERROR(__xludf.DUMMYFUNCTION("""COMPUTED_VALUE"""),"https://drive.google.com/open?id=1NC3o1Q6-RVp2lgOT4016vTbJmzauoPpN")</f>
        <v>https://drive.google.com/open?id=1NC3o1Q6-RVp2lgOT4016vTbJmzauoPpN</v>
      </c>
      <c r="AF529" s="4"/>
      <c r="AG529" s="4"/>
      <c r="AH529" s="4"/>
      <c r="AI529" s="4"/>
      <c r="AL529" s="4" t="str">
        <f t="shared" si="1"/>
        <v>Cluster 4</v>
      </c>
      <c r="AM529" s="4" t="str">
        <f t="shared" si="2"/>
        <v>WARRI ROAD</v>
      </c>
    </row>
    <row r="530">
      <c r="A530" s="3">
        <f>IFERROR(__xludf.DUMMYFUNCTION("""COMPUTED_VALUE"""),45864.0033972338)</f>
        <v>45864.0034</v>
      </c>
      <c r="B530" s="4" t="str">
        <f>IFERROR(__xludf.DUMMYFUNCTION("""COMPUTED_VALUE"""),"iahmadzakari@gmail.com")</f>
        <v>iahmadzakari@gmail.com</v>
      </c>
      <c r="C530" s="4" t="str">
        <f>IFERROR(__xludf.DUMMYFUNCTION("""COMPUTED_VALUE"""),"Sadiq Ilu")</f>
        <v>Sadiq Ilu</v>
      </c>
      <c r="D530" s="4" t="str">
        <f>IFERROR(__xludf.DUMMYFUNCTION("""COMPUTED_VALUE"""),"Cluster 8")</f>
        <v>Cluster 8</v>
      </c>
      <c r="E530" s="4"/>
      <c r="F530" s="4"/>
      <c r="G530" s="4" t="str">
        <f>IFERROR(__xludf.DUMMYFUNCTION("""COMPUTED_VALUE"""),"SULAIMAN CRESCENT")</f>
        <v>SULAIMAN CRESCENT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 t="str">
        <f>IFERROR(__xludf.DUMMYFUNCTION("""COMPUTED_VALUE"""),"Point 1")</f>
        <v>Point 1</v>
      </c>
      <c r="AC530" s="4">
        <f>IFERROR(__xludf.DUMMYFUNCTION("""COMPUTED_VALUE"""),12.0028)</f>
        <v>12.0028</v>
      </c>
      <c r="AD530" s="4">
        <f>IFERROR(__xludf.DUMMYFUNCTION("""COMPUTED_VALUE"""),8.561096)</f>
        <v>8.561096</v>
      </c>
      <c r="AE530" s="5" t="str">
        <f>IFERROR(__xludf.DUMMYFUNCTION("""COMPUTED_VALUE"""),"https://drive.google.com/open?id=1rUTXSrOaZedKFyV-g2qiiV6yI_zmdkD7")</f>
        <v>https://drive.google.com/open?id=1rUTXSrOaZedKFyV-g2qiiV6yI_zmdkD7</v>
      </c>
      <c r="AF530" s="4"/>
      <c r="AG530" s="4"/>
      <c r="AH530" s="4"/>
      <c r="AI530" s="4"/>
      <c r="AL530" s="4" t="str">
        <f t="shared" si="1"/>
        <v>Cluster 8</v>
      </c>
      <c r="AM530" s="4" t="str">
        <f t="shared" si="2"/>
        <v>SULAIMAN CRESCENT</v>
      </c>
    </row>
    <row r="531">
      <c r="A531" s="3">
        <f>IFERROR(__xludf.DUMMYFUNCTION("""COMPUTED_VALUE"""),45864.00168291667)</f>
        <v>45864.00168</v>
      </c>
      <c r="B531" s="4" t="str">
        <f>IFERROR(__xludf.DUMMYFUNCTION("""COMPUTED_VALUE"""),"iahmadzakari@gmail.com")</f>
        <v>iahmadzakari@gmail.com</v>
      </c>
      <c r="C531" s="4" t="str">
        <f>IFERROR(__xludf.DUMMYFUNCTION("""COMPUTED_VALUE"""),"Sadiq Ilu")</f>
        <v>Sadiq Ilu</v>
      </c>
      <c r="D531" s="4" t="str">
        <f>IFERROR(__xludf.DUMMYFUNCTION("""COMPUTED_VALUE"""),"Cluster 8")</f>
        <v>Cluster 8</v>
      </c>
      <c r="E531" s="4"/>
      <c r="F531" s="4"/>
      <c r="G531" s="4" t="str">
        <f>IFERROR(__xludf.DUMMYFUNCTION("""COMPUTED_VALUE"""),"SULAIMAN CRESCENT")</f>
        <v>SULAIMAN CRESCENT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 t="str">
        <f>IFERROR(__xludf.DUMMYFUNCTION("""COMPUTED_VALUE"""),"Point 2")</f>
        <v>Point 2</v>
      </c>
      <c r="AC531" s="4">
        <f>IFERROR(__xludf.DUMMYFUNCTION("""COMPUTED_VALUE"""),8.571088)</f>
        <v>8.571088</v>
      </c>
      <c r="AD531" s="4">
        <f>IFERROR(__xludf.DUMMYFUNCTION("""COMPUTED_VALUE"""),12.002649)</f>
        <v>12.002649</v>
      </c>
      <c r="AE531" s="5" t="str">
        <f>IFERROR(__xludf.DUMMYFUNCTION("""COMPUTED_VALUE"""),"https://drive.google.com/open?id=1Ca3FGwL1_NW--x6fI633Yv-bqYxS8Lh0")</f>
        <v>https://drive.google.com/open?id=1Ca3FGwL1_NW--x6fI633Yv-bqYxS8Lh0</v>
      </c>
      <c r="AF531" s="4"/>
      <c r="AG531" s="4"/>
      <c r="AH531" s="4"/>
      <c r="AI531" s="4"/>
      <c r="AL531" s="4" t="str">
        <f t="shared" si="1"/>
        <v>Cluster 8</v>
      </c>
      <c r="AM531" s="4" t="str">
        <f t="shared" si="2"/>
        <v>SULAIMAN CRESCENT</v>
      </c>
    </row>
    <row r="532">
      <c r="A532" s="3">
        <f>IFERROR(__xludf.DUMMYFUNCTION("""COMPUTED_VALUE"""),45863.992934560185)</f>
        <v>45863.99293</v>
      </c>
      <c r="B532" s="4" t="str">
        <f>IFERROR(__xludf.DUMMYFUNCTION("""COMPUTED_VALUE"""),"iahmadzakari@gmail.com")</f>
        <v>iahmadzakari@gmail.com</v>
      </c>
      <c r="C532" s="4" t="str">
        <f>IFERROR(__xludf.DUMMYFUNCTION("""COMPUTED_VALUE"""),"Sadiq Ilu")</f>
        <v>Sadiq Ilu</v>
      </c>
      <c r="D532" s="4" t="str">
        <f>IFERROR(__xludf.DUMMYFUNCTION("""COMPUTED_VALUE"""),"Cluster 8")</f>
        <v>Cluster 8</v>
      </c>
      <c r="E532" s="4"/>
      <c r="F532" s="4"/>
      <c r="G532" s="4" t="str">
        <f>IFERROR(__xludf.DUMMYFUNCTION("""COMPUTED_VALUE"""),"KORAU ROAD")</f>
        <v>KORAU ROAD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 t="str">
        <f>IFERROR(__xludf.DUMMYFUNCTION("""COMPUTED_VALUE"""),"Point 2")</f>
        <v>Point 2</v>
      </c>
      <c r="AC532" s="4">
        <f>IFERROR(__xludf.DUMMYFUNCTION("""COMPUTED_VALUE"""),8.567862)</f>
        <v>8.567862</v>
      </c>
      <c r="AD532" s="4">
        <f>IFERROR(__xludf.DUMMYFUNCTION("""COMPUTED_VALUE"""),11.999743)</f>
        <v>11.999743</v>
      </c>
      <c r="AE532" s="5" t="str">
        <f>IFERROR(__xludf.DUMMYFUNCTION("""COMPUTED_VALUE"""),"https://drive.google.com/open?id=1X1DD0M7BPvRf47hy7-6WsP90haFmmD3W")</f>
        <v>https://drive.google.com/open?id=1X1DD0M7BPvRf47hy7-6WsP90haFmmD3W</v>
      </c>
      <c r="AF532" s="4"/>
      <c r="AG532" s="4"/>
      <c r="AH532" s="4"/>
      <c r="AI532" s="4"/>
      <c r="AL532" s="4" t="str">
        <f t="shared" si="1"/>
        <v>Cluster 8</v>
      </c>
      <c r="AM532" s="4" t="str">
        <f t="shared" si="2"/>
        <v>KORAU ROAD</v>
      </c>
    </row>
    <row r="533">
      <c r="A533" s="3">
        <f>IFERROR(__xludf.DUMMYFUNCTION("""COMPUTED_VALUE"""),45863.99205836805)</f>
        <v>45863.99206</v>
      </c>
      <c r="B533" s="4" t="str">
        <f>IFERROR(__xludf.DUMMYFUNCTION("""COMPUTED_VALUE"""),"iahmadzakari@gmail.com")</f>
        <v>iahmadzakari@gmail.com</v>
      </c>
      <c r="C533" s="4" t="str">
        <f>IFERROR(__xludf.DUMMYFUNCTION("""COMPUTED_VALUE"""),"Sadiq Ilu")</f>
        <v>Sadiq Ilu</v>
      </c>
      <c r="D533" s="4" t="str">
        <f>IFERROR(__xludf.DUMMYFUNCTION("""COMPUTED_VALUE"""),"Cluster 8")</f>
        <v>Cluster 8</v>
      </c>
      <c r="E533" s="4"/>
      <c r="F533" s="4"/>
      <c r="G533" s="4" t="str">
        <f>IFERROR(__xludf.DUMMYFUNCTION("""COMPUTED_VALUE"""),"KORAU ROAD")</f>
        <v>KORAU ROAD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 t="str">
        <f>IFERROR(__xludf.DUMMYFUNCTION("""COMPUTED_VALUE"""),"Point 1")</f>
        <v>Point 1</v>
      </c>
      <c r="AC533" s="4">
        <f>IFERROR(__xludf.DUMMYFUNCTION("""COMPUTED_VALUE"""),8.560906)</f>
        <v>8.560906</v>
      </c>
      <c r="AD533" s="4">
        <f>IFERROR(__xludf.DUMMYFUNCTION("""COMPUTED_VALUE"""),11.999992)</f>
        <v>11.999992</v>
      </c>
      <c r="AE533" s="5" t="str">
        <f>IFERROR(__xludf.DUMMYFUNCTION("""COMPUTED_VALUE"""),"https://drive.google.com/open?id=1X6XW9pysDpRu3o0uj8QHAtK4kMYUKvfP")</f>
        <v>https://drive.google.com/open?id=1X6XW9pysDpRu3o0uj8QHAtK4kMYUKvfP</v>
      </c>
      <c r="AF533" s="4"/>
      <c r="AG533" s="4"/>
      <c r="AH533" s="4"/>
      <c r="AI533" s="4"/>
      <c r="AL533" s="4" t="str">
        <f t="shared" si="1"/>
        <v>Cluster 8</v>
      </c>
      <c r="AM533" s="4" t="str">
        <f t="shared" si="2"/>
        <v>KORAU ROAD</v>
      </c>
    </row>
    <row r="534">
      <c r="A534" s="3">
        <f>IFERROR(__xludf.DUMMYFUNCTION("""COMPUTED_VALUE"""),45863.673919293986)</f>
        <v>45863.67392</v>
      </c>
      <c r="B534" s="4" t="str">
        <f>IFERROR(__xludf.DUMMYFUNCTION("""COMPUTED_VALUE"""),"umrdalhatu@gmail.com")</f>
        <v>umrdalhatu@gmail.com</v>
      </c>
      <c r="C534" s="4" t="str">
        <f>IFERROR(__xludf.DUMMYFUNCTION("""COMPUTED_VALUE"""),"Umar Dalhatu")</f>
        <v>Umar Dalhatu</v>
      </c>
      <c r="D534" s="4"/>
      <c r="E534" s="4"/>
      <c r="F534" s="4"/>
      <c r="G534" s="4"/>
      <c r="H534" s="4"/>
      <c r="I534" s="4"/>
      <c r="J534" s="4" t="str">
        <f>IFERROR(__xludf.DUMMYFUNCTION("""COMPUTED_VALUE"""),"Cluster 10")</f>
        <v>Cluster 10</v>
      </c>
      <c r="K534" s="4"/>
      <c r="L534" s="4"/>
      <c r="M534" s="4" t="str">
        <f>IFERROR(__xludf.DUMMYFUNCTION("""COMPUTED_VALUE"""),"LAYIN MADORA STREET")</f>
        <v>LAYIN MADORA STREET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 t="str">
        <f>IFERROR(__xludf.DUMMYFUNCTION("""COMPUTED_VALUE"""),"Point 2")</f>
        <v>Point 2</v>
      </c>
      <c r="AC534" s="4">
        <f>IFERROR(__xludf.DUMMYFUNCTION("""COMPUTED_VALUE"""),11.98058)</f>
        <v>11.98058</v>
      </c>
      <c r="AD534" s="4">
        <f>IFERROR(__xludf.DUMMYFUNCTION("""COMPUTED_VALUE"""),8.579276)</f>
        <v>8.579276</v>
      </c>
      <c r="AE534" s="5" t="str">
        <f>IFERROR(__xludf.DUMMYFUNCTION("""COMPUTED_VALUE"""),"https://drive.google.com/open?id=1Z6fIDf9afYPSHnJYGAYneegHqEf0_fT6")</f>
        <v>https://drive.google.com/open?id=1Z6fIDf9afYPSHnJYGAYneegHqEf0_fT6</v>
      </c>
      <c r="AF534" s="4"/>
      <c r="AG534" s="4"/>
      <c r="AH534" s="4"/>
      <c r="AI534" s="4"/>
      <c r="AL534" s="4" t="str">
        <f t="shared" si="1"/>
        <v>Cluster 10</v>
      </c>
      <c r="AM534" s="4" t="str">
        <f t="shared" si="2"/>
        <v>LAYIN MADORA STREET</v>
      </c>
    </row>
    <row r="535">
      <c r="A535" s="3">
        <f>IFERROR(__xludf.DUMMYFUNCTION("""COMPUTED_VALUE"""),45863.67298841436)</f>
        <v>45863.67299</v>
      </c>
      <c r="B535" s="4" t="str">
        <f>IFERROR(__xludf.DUMMYFUNCTION("""COMPUTED_VALUE"""),"umrdalhatu@gmail.com")</f>
        <v>umrdalhatu@gmail.com</v>
      </c>
      <c r="C535" s="4" t="str">
        <f>IFERROR(__xludf.DUMMYFUNCTION("""COMPUTED_VALUE"""),"Umar Dalhatu")</f>
        <v>Umar Dalhatu</v>
      </c>
      <c r="D535" s="4"/>
      <c r="E535" s="4"/>
      <c r="F535" s="4"/>
      <c r="G535" s="4"/>
      <c r="H535" s="4"/>
      <c r="I535" s="4"/>
      <c r="J535" s="4" t="str">
        <f>IFERROR(__xludf.DUMMYFUNCTION("""COMPUTED_VALUE"""),"Cluster 10")</f>
        <v>Cluster 10</v>
      </c>
      <c r="K535" s="4"/>
      <c r="L535" s="4"/>
      <c r="M535" s="4" t="str">
        <f>IFERROR(__xludf.DUMMYFUNCTION("""COMPUTED_VALUE"""),"LAYIN MADORA STREET")</f>
        <v>LAYIN MADORA STREET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 t="str">
        <f>IFERROR(__xludf.DUMMYFUNCTION("""COMPUTED_VALUE"""),"Point 1")</f>
        <v>Point 1</v>
      </c>
      <c r="AC535" s="4">
        <f>IFERROR(__xludf.DUMMYFUNCTION("""COMPUTED_VALUE"""),11.98080355)</f>
        <v>11.98080355</v>
      </c>
      <c r="AD535" s="4">
        <f>IFERROR(__xludf.DUMMYFUNCTION("""COMPUTED_VALUE"""),8.578230519)</f>
        <v>8.578230519</v>
      </c>
      <c r="AE535" s="5" t="str">
        <f>IFERROR(__xludf.DUMMYFUNCTION("""COMPUTED_VALUE"""),"https://drive.google.com/open?id=12r5MuBYjWhUbcxTbI6kDq6Vp7trVUuno")</f>
        <v>https://drive.google.com/open?id=12r5MuBYjWhUbcxTbI6kDq6Vp7trVUuno</v>
      </c>
      <c r="AF535" s="4"/>
      <c r="AG535" s="4"/>
      <c r="AH535" s="4"/>
      <c r="AI535" s="4"/>
      <c r="AL535" s="4" t="str">
        <f t="shared" si="1"/>
        <v>Cluster 10</v>
      </c>
      <c r="AM535" s="4" t="str">
        <f t="shared" si="2"/>
        <v>LAYIN MADORA STREET</v>
      </c>
    </row>
    <row r="536">
      <c r="A536" s="3">
        <f>IFERROR(__xludf.DUMMYFUNCTION("""COMPUTED_VALUE"""),45863.66858226852)</f>
        <v>45863.66858</v>
      </c>
      <c r="B536" s="4" t="str">
        <f>IFERROR(__xludf.DUMMYFUNCTION("""COMPUTED_VALUE"""),"umrdalhatu@gmail.com")</f>
        <v>umrdalhatu@gmail.com</v>
      </c>
      <c r="C536" s="4" t="str">
        <f>IFERROR(__xludf.DUMMYFUNCTION("""COMPUTED_VALUE"""),"Umar Dalhatu")</f>
        <v>Umar Dalhatu</v>
      </c>
      <c r="D536" s="4"/>
      <c r="E536" s="4"/>
      <c r="F536" s="4"/>
      <c r="G536" s="4"/>
      <c r="H536" s="4"/>
      <c r="I536" s="4"/>
      <c r="J536" s="4" t="str">
        <f>IFERROR(__xludf.DUMMYFUNCTION("""COMPUTED_VALUE"""),"Cluster 14")</f>
        <v>Cluster 14</v>
      </c>
      <c r="K536" s="4"/>
      <c r="L536" s="4"/>
      <c r="M536" s="4"/>
      <c r="N536" s="4" t="str">
        <f>IFERROR(__xludf.DUMMYFUNCTION("""COMPUTED_VALUE"""),"AIRPORT ROAD")</f>
        <v>AIRPORT ROAD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 t="str">
        <f>IFERROR(__xludf.DUMMYFUNCTION("""COMPUTED_VALUE"""),"Point 2")</f>
        <v>Point 2</v>
      </c>
      <c r="AC536" s="4">
        <f>IFERROR(__xludf.DUMMYFUNCTION("""COMPUTED_VALUE"""),12.03017415)</f>
        <v>12.03017415</v>
      </c>
      <c r="AD536" s="4">
        <f>IFERROR(__xludf.DUMMYFUNCTION("""COMPUTED_VALUE"""),8.51158372)</f>
        <v>8.51158372</v>
      </c>
      <c r="AE536" s="5" t="str">
        <f>IFERROR(__xludf.DUMMYFUNCTION("""COMPUTED_VALUE"""),"https://drive.google.com/open?id=1KTLzELprxUhrLtnwAicdsuJ9I1z-ch-C")</f>
        <v>https://drive.google.com/open?id=1KTLzELprxUhrLtnwAicdsuJ9I1z-ch-C</v>
      </c>
      <c r="AF536" s="4"/>
      <c r="AG536" s="4"/>
      <c r="AH536" s="4"/>
      <c r="AI536" s="4"/>
      <c r="AL536" s="4" t="str">
        <f t="shared" si="1"/>
        <v>Cluster 14</v>
      </c>
      <c r="AM536" s="4" t="str">
        <f t="shared" si="2"/>
        <v>AIRPORT ROAD</v>
      </c>
    </row>
    <row r="537">
      <c r="A537" s="3">
        <f>IFERROR(__xludf.DUMMYFUNCTION("""COMPUTED_VALUE"""),45863.66766438658)</f>
        <v>45863.66766</v>
      </c>
      <c r="B537" s="4" t="str">
        <f>IFERROR(__xludf.DUMMYFUNCTION("""COMPUTED_VALUE"""),"umrdalhatu@gmail.com")</f>
        <v>umrdalhatu@gmail.com</v>
      </c>
      <c r="C537" s="4" t="str">
        <f>IFERROR(__xludf.DUMMYFUNCTION("""COMPUTED_VALUE"""),"Umar Dalhatu")</f>
        <v>Umar Dalhatu</v>
      </c>
      <c r="D537" s="4"/>
      <c r="E537" s="4"/>
      <c r="F537" s="4"/>
      <c r="G537" s="4"/>
      <c r="H537" s="4"/>
      <c r="I537" s="4"/>
      <c r="J537" s="4" t="str">
        <f>IFERROR(__xludf.DUMMYFUNCTION("""COMPUTED_VALUE"""),"Cluster 14")</f>
        <v>Cluster 14</v>
      </c>
      <c r="K537" s="4"/>
      <c r="L537" s="4"/>
      <c r="M537" s="4"/>
      <c r="N537" s="4" t="str">
        <f>IFERROR(__xludf.DUMMYFUNCTION("""COMPUTED_VALUE"""),"AIRPORT ROAD")</f>
        <v>AIRPORT ROAD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 t="str">
        <f>IFERROR(__xludf.DUMMYFUNCTION("""COMPUTED_VALUE"""),"Point 1")</f>
        <v>Point 1</v>
      </c>
      <c r="AC537" s="4">
        <f>IFERROR(__xludf.DUMMYFUNCTION("""COMPUTED_VALUE"""),12.02818502)</f>
        <v>12.02818502</v>
      </c>
      <c r="AD537" s="4">
        <f>IFERROR(__xludf.DUMMYFUNCTION("""COMPUTED_VALUE"""),8.515239653)</f>
        <v>8.515239653</v>
      </c>
      <c r="AE537" s="5" t="str">
        <f>IFERROR(__xludf.DUMMYFUNCTION("""COMPUTED_VALUE"""),"https://drive.google.com/open?id=1svgxVlK9KjSBtujDHDujiuO9OlL7n61y")</f>
        <v>https://drive.google.com/open?id=1svgxVlK9KjSBtujDHDujiuO9OlL7n61y</v>
      </c>
      <c r="AF537" s="4"/>
      <c r="AG537" s="4"/>
      <c r="AH537" s="4"/>
      <c r="AI537" s="4"/>
      <c r="AL537" s="4" t="str">
        <f t="shared" si="1"/>
        <v>Cluster 14</v>
      </c>
      <c r="AM537" s="4" t="str">
        <f t="shared" si="2"/>
        <v>AIRPORT ROAD</v>
      </c>
    </row>
    <row r="538">
      <c r="A538" s="3">
        <f>IFERROR(__xludf.DUMMYFUNCTION("""COMPUTED_VALUE"""),45863.66473547454)</f>
        <v>45863.66474</v>
      </c>
      <c r="B538" s="4" t="str">
        <f>IFERROR(__xludf.DUMMYFUNCTION("""COMPUTED_VALUE"""),"umrdalhatu@gmail.com")</f>
        <v>umrdalhatu@gmail.com</v>
      </c>
      <c r="C538" s="4" t="str">
        <f>IFERROR(__xludf.DUMMYFUNCTION("""COMPUTED_VALUE"""),"Umar Dalhatu")</f>
        <v>Umar Dalhatu</v>
      </c>
      <c r="D538" s="4"/>
      <c r="E538" s="4"/>
      <c r="F538" s="4"/>
      <c r="G538" s="4"/>
      <c r="H538" s="4"/>
      <c r="I538" s="4"/>
      <c r="J538" s="4" t="str">
        <f>IFERROR(__xludf.DUMMYFUNCTION("""COMPUTED_VALUE"""),"Cluster 14")</f>
        <v>Cluster 14</v>
      </c>
      <c r="K538" s="4"/>
      <c r="L538" s="4"/>
      <c r="M538" s="4"/>
      <c r="N538" s="4" t="str">
        <f>IFERROR(__xludf.DUMMYFUNCTION("""COMPUTED_VALUE"""),"EGBE ROAD")</f>
        <v>EGBE ROAD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 t="str">
        <f>IFERROR(__xludf.DUMMYFUNCTION("""COMPUTED_VALUE"""),"Point 2")</f>
        <v>Point 2</v>
      </c>
      <c r="AC538" s="4">
        <f>IFERROR(__xludf.DUMMYFUNCTION("""COMPUTED_VALUE"""),12.0265397)</f>
        <v>12.0265397</v>
      </c>
      <c r="AD538" s="4">
        <f>IFERROR(__xludf.DUMMYFUNCTION("""COMPUTED_VALUE"""),8.529386867)</f>
        <v>8.529386867</v>
      </c>
      <c r="AE538" s="5" t="str">
        <f>IFERROR(__xludf.DUMMYFUNCTION("""COMPUTED_VALUE"""),"https://drive.google.com/open?id=1VipeDi-5qNAJt8yN9H_VumkeiIMy4wrO")</f>
        <v>https://drive.google.com/open?id=1VipeDi-5qNAJt8yN9H_VumkeiIMy4wrO</v>
      </c>
      <c r="AF538" s="4"/>
      <c r="AG538" s="4"/>
      <c r="AH538" s="4"/>
      <c r="AI538" s="4"/>
      <c r="AL538" s="4" t="str">
        <f t="shared" si="1"/>
        <v>Cluster 14</v>
      </c>
      <c r="AM538" s="4" t="str">
        <f t="shared" si="2"/>
        <v>EGBE ROAD</v>
      </c>
    </row>
    <row r="539">
      <c r="A539" s="3">
        <f>IFERROR(__xludf.DUMMYFUNCTION("""COMPUTED_VALUE"""),45863.66271826389)</f>
        <v>45863.66272</v>
      </c>
      <c r="B539" s="4" t="str">
        <f>IFERROR(__xludf.DUMMYFUNCTION("""COMPUTED_VALUE"""),"umrdalhatu@gmail.com")</f>
        <v>umrdalhatu@gmail.com</v>
      </c>
      <c r="C539" s="4" t="str">
        <f>IFERROR(__xludf.DUMMYFUNCTION("""COMPUTED_VALUE"""),"Umar Dalhatu")</f>
        <v>Umar Dalhatu</v>
      </c>
      <c r="D539" s="4"/>
      <c r="E539" s="4"/>
      <c r="F539" s="4"/>
      <c r="G539" s="4"/>
      <c r="H539" s="4"/>
      <c r="I539" s="4"/>
      <c r="J539" s="4" t="str">
        <f>IFERROR(__xludf.DUMMYFUNCTION("""COMPUTED_VALUE"""),"Cluster 14")</f>
        <v>Cluster 14</v>
      </c>
      <c r="K539" s="4"/>
      <c r="L539" s="4"/>
      <c r="M539" s="4"/>
      <c r="N539" s="4" t="str">
        <f>IFERROR(__xludf.DUMMYFUNCTION("""COMPUTED_VALUE"""),"EGBE ROAD")</f>
        <v>EGBE ROAD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 t="str">
        <f>IFERROR(__xludf.DUMMYFUNCTION("""COMPUTED_VALUE"""),"Point 1")</f>
        <v>Point 1</v>
      </c>
      <c r="AC539" s="4">
        <f>IFERROR(__xludf.DUMMYFUNCTION("""COMPUTED_VALUE"""),12.02574169)</f>
        <v>12.02574169</v>
      </c>
      <c r="AD539" s="4">
        <f>IFERROR(__xludf.DUMMYFUNCTION("""COMPUTED_VALUE"""),8.529183174)</f>
        <v>8.529183174</v>
      </c>
      <c r="AE539" s="5" t="str">
        <f>IFERROR(__xludf.DUMMYFUNCTION("""COMPUTED_VALUE"""),"https://drive.google.com/open?id=1954rhvgv-2Ag3UfbT6i6feG5WksoIOdE")</f>
        <v>https://drive.google.com/open?id=1954rhvgv-2Ag3UfbT6i6feG5WksoIOdE</v>
      </c>
      <c r="AF539" s="4"/>
      <c r="AG539" s="4"/>
      <c r="AH539" s="4"/>
      <c r="AI539" s="4"/>
      <c r="AL539" s="4" t="str">
        <f t="shared" si="1"/>
        <v>Cluster 14</v>
      </c>
      <c r="AM539" s="4" t="str">
        <f t="shared" si="2"/>
        <v>EGBE ROAD</v>
      </c>
    </row>
    <row r="540">
      <c r="A540" s="3">
        <f>IFERROR(__xludf.DUMMYFUNCTION("""COMPUTED_VALUE"""),45863.65912804398)</f>
        <v>45863.65913</v>
      </c>
      <c r="B540" s="4" t="str">
        <f>IFERROR(__xludf.DUMMYFUNCTION("""COMPUTED_VALUE"""),"umrdalhatu@gmail.com")</f>
        <v>umrdalhatu@gmail.com</v>
      </c>
      <c r="C540" s="4" t="str">
        <f>IFERROR(__xludf.DUMMYFUNCTION("""COMPUTED_VALUE"""),"Umar Dalhatu")</f>
        <v>Umar Dalhatu</v>
      </c>
      <c r="D540" s="4"/>
      <c r="E540" s="4"/>
      <c r="F540" s="4"/>
      <c r="G540" s="4"/>
      <c r="H540" s="4"/>
      <c r="I540" s="4"/>
      <c r="J540" s="4" t="str">
        <f>IFERROR(__xludf.DUMMYFUNCTION("""COMPUTED_VALUE"""),"Cluster 14")</f>
        <v>Cluster 14</v>
      </c>
      <c r="K540" s="4"/>
      <c r="L540" s="4"/>
      <c r="M540" s="4"/>
      <c r="N540" s="4" t="str">
        <f>IFERROR(__xludf.DUMMYFUNCTION("""COMPUTED_VALUE"""),"ODUTOLA STREET")</f>
        <v>ODUTOLA STREET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 t="str">
        <f>IFERROR(__xludf.DUMMYFUNCTION("""COMPUTED_VALUE"""),"Point 2")</f>
        <v>Point 2</v>
      </c>
      <c r="AC540" s="4">
        <f>IFERROR(__xludf.DUMMYFUNCTION("""COMPUTED_VALUE"""),12.02253483)</f>
        <v>12.02253483</v>
      </c>
      <c r="AD540" s="4">
        <f>IFERROR(__xludf.DUMMYFUNCTION("""COMPUTED_VALUE"""),8.516379784)</f>
        <v>8.516379784</v>
      </c>
      <c r="AE540" s="5" t="str">
        <f>IFERROR(__xludf.DUMMYFUNCTION("""COMPUTED_VALUE"""),"https://drive.google.com/open?id=1CBOrZRU4jxx5ZZZjfDWlbLNxPvUv_K23")</f>
        <v>https://drive.google.com/open?id=1CBOrZRU4jxx5ZZZjfDWlbLNxPvUv_K23</v>
      </c>
      <c r="AF540" s="4"/>
      <c r="AG540" s="4"/>
      <c r="AH540" s="4"/>
      <c r="AI540" s="4"/>
      <c r="AL540" s="4" t="str">
        <f t="shared" si="1"/>
        <v>Cluster 14</v>
      </c>
      <c r="AM540" s="4" t="str">
        <f t="shared" si="2"/>
        <v>ODUTOLA STREET</v>
      </c>
    </row>
    <row r="541">
      <c r="A541" s="3">
        <f>IFERROR(__xludf.DUMMYFUNCTION("""COMPUTED_VALUE"""),45863.65774012731)</f>
        <v>45863.65774</v>
      </c>
      <c r="B541" s="4" t="str">
        <f>IFERROR(__xludf.DUMMYFUNCTION("""COMPUTED_VALUE"""),"umrdalhatu@gmail.com")</f>
        <v>umrdalhatu@gmail.com</v>
      </c>
      <c r="C541" s="4" t="str">
        <f>IFERROR(__xludf.DUMMYFUNCTION("""COMPUTED_VALUE"""),"Umar Dalhatu")</f>
        <v>Umar Dalhatu</v>
      </c>
      <c r="D541" s="4"/>
      <c r="E541" s="4"/>
      <c r="F541" s="4"/>
      <c r="G541" s="4"/>
      <c r="H541" s="4"/>
      <c r="I541" s="4"/>
      <c r="J541" s="4" t="str">
        <f>IFERROR(__xludf.DUMMYFUNCTION("""COMPUTED_VALUE"""),"Cluster 14")</f>
        <v>Cluster 14</v>
      </c>
      <c r="K541" s="4"/>
      <c r="L541" s="4"/>
      <c r="M541" s="4"/>
      <c r="N541" s="4" t="str">
        <f>IFERROR(__xludf.DUMMYFUNCTION("""COMPUTED_VALUE"""),"ODUTOLA STREET")</f>
        <v>ODUTOLA STREET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 t="str">
        <f>IFERROR(__xludf.DUMMYFUNCTION("""COMPUTED_VALUE"""),"Point 1")</f>
        <v>Point 1</v>
      </c>
      <c r="AC541" s="4">
        <f>IFERROR(__xludf.DUMMYFUNCTION("""COMPUTED_VALUE"""),12.02739254)</f>
        <v>12.02739254</v>
      </c>
      <c r="AD541" s="4">
        <f>IFERROR(__xludf.DUMMYFUNCTION("""COMPUTED_VALUE"""),8.529384879)</f>
        <v>8.529384879</v>
      </c>
      <c r="AE541" s="5" t="str">
        <f>IFERROR(__xludf.DUMMYFUNCTION("""COMPUTED_VALUE"""),"https://drive.google.com/open?id=1Yu4UU2ljcq6FoYvMak71O68_E5Wu0kTF")</f>
        <v>https://drive.google.com/open?id=1Yu4UU2ljcq6FoYvMak71O68_E5Wu0kTF</v>
      </c>
      <c r="AF541" s="4"/>
      <c r="AG541" s="4"/>
      <c r="AH541" s="4"/>
      <c r="AI541" s="4"/>
      <c r="AL541" s="4" t="str">
        <f t="shared" si="1"/>
        <v>Cluster 14</v>
      </c>
      <c r="AM541" s="4" t="str">
        <f t="shared" si="2"/>
        <v>ODUTOLA STREET</v>
      </c>
    </row>
    <row r="542">
      <c r="A542" s="3">
        <f>IFERROR(__xludf.DUMMYFUNCTION("""COMPUTED_VALUE"""),45863.651147013894)</f>
        <v>45863.65115</v>
      </c>
      <c r="B542" s="4" t="str">
        <f>IFERROR(__xludf.DUMMYFUNCTION("""COMPUTED_VALUE"""),"umrdalhatu@gmail.com")</f>
        <v>umrdalhatu@gmail.com</v>
      </c>
      <c r="C542" s="4" t="str">
        <f>IFERROR(__xludf.DUMMYFUNCTION("""COMPUTED_VALUE"""),"Umar Dalhatu")</f>
        <v>Umar Dalhatu</v>
      </c>
      <c r="D542" s="4"/>
      <c r="E542" s="4"/>
      <c r="F542" s="4"/>
      <c r="G542" s="4"/>
      <c r="H542" s="4"/>
      <c r="I542" s="4"/>
      <c r="J542" s="4" t="str">
        <f>IFERROR(__xludf.DUMMYFUNCTION("""COMPUTED_VALUE"""),"Cluster 14")</f>
        <v>Cluster 14</v>
      </c>
      <c r="K542" s="4"/>
      <c r="L542" s="4"/>
      <c r="M542" s="4"/>
      <c r="N542" s="4" t="str">
        <f>IFERROR(__xludf.DUMMYFUNCTION("""COMPUTED_VALUE"""),"FEDERAL SECRETARIAT ROAD")</f>
        <v>FEDERAL SECRETARIAT ROAD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 t="str">
        <f>IFERROR(__xludf.DUMMYFUNCTION("""COMPUTED_VALUE"""),"Point 2")</f>
        <v>Point 2</v>
      </c>
      <c r="AC542" s="4">
        <f>IFERROR(__xludf.DUMMYFUNCTION("""COMPUTED_VALUE"""),12.02739254)</f>
        <v>12.02739254</v>
      </c>
      <c r="AD542" s="4">
        <f>IFERROR(__xludf.DUMMYFUNCTION("""COMPUTED_VALUE"""),8.529384879)</f>
        <v>8.529384879</v>
      </c>
      <c r="AE542" s="5" t="str">
        <f>IFERROR(__xludf.DUMMYFUNCTION("""COMPUTED_VALUE"""),"https://drive.google.com/open?id=1SKGasmXWgFGKuE7XSC03iNG5HAFd6aJB")</f>
        <v>https://drive.google.com/open?id=1SKGasmXWgFGKuE7XSC03iNG5HAFd6aJB</v>
      </c>
      <c r="AF542" s="4"/>
      <c r="AG542" s="4"/>
      <c r="AH542" s="4"/>
      <c r="AI542" s="4"/>
      <c r="AL542" s="4" t="str">
        <f t="shared" si="1"/>
        <v>Cluster 14</v>
      </c>
      <c r="AM542" s="4" t="str">
        <f t="shared" si="2"/>
        <v>FEDERAL SECRETARIAT ROAD</v>
      </c>
    </row>
    <row r="543">
      <c r="A543" s="3">
        <f>IFERROR(__xludf.DUMMYFUNCTION("""COMPUTED_VALUE"""),45863.64933724537)</f>
        <v>45863.64934</v>
      </c>
      <c r="B543" s="4" t="str">
        <f>IFERROR(__xludf.DUMMYFUNCTION("""COMPUTED_VALUE"""),"umrdalhatu@gmail.com")</f>
        <v>umrdalhatu@gmail.com</v>
      </c>
      <c r="C543" s="4" t="str">
        <f>IFERROR(__xludf.DUMMYFUNCTION("""COMPUTED_VALUE"""),"Umar Dalhatu")</f>
        <v>Umar Dalhatu</v>
      </c>
      <c r="D543" s="4"/>
      <c r="E543" s="4"/>
      <c r="F543" s="4"/>
      <c r="G543" s="4"/>
      <c r="H543" s="4"/>
      <c r="I543" s="4"/>
      <c r="J543" s="4" t="str">
        <f>IFERROR(__xludf.DUMMYFUNCTION("""COMPUTED_VALUE"""),"Cluster 14")</f>
        <v>Cluster 14</v>
      </c>
      <c r="K543" s="4"/>
      <c r="L543" s="4"/>
      <c r="M543" s="4"/>
      <c r="N543" s="4" t="str">
        <f>IFERROR(__xludf.DUMMYFUNCTION("""COMPUTED_VALUE"""),"FEDERAL SECRETARIAT ROAD")</f>
        <v>FEDERAL SECRETARIAT ROAD</v>
      </c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 t="str">
        <f>IFERROR(__xludf.DUMMYFUNCTION("""COMPUTED_VALUE"""),"Point 1")</f>
        <v>Point 1</v>
      </c>
      <c r="AC543" s="4">
        <f>IFERROR(__xludf.DUMMYFUNCTION("""COMPUTED_VALUE"""),12.02253483)</f>
        <v>12.02253483</v>
      </c>
      <c r="AD543" s="4">
        <f>IFERROR(__xludf.DUMMYFUNCTION("""COMPUTED_VALUE"""),8.516379784)</f>
        <v>8.516379784</v>
      </c>
      <c r="AE543" s="5" t="str">
        <f>IFERROR(__xludf.DUMMYFUNCTION("""COMPUTED_VALUE"""),"https://drive.google.com/open?id=12MozTjtOXJcS8Yi6WgaZye19Pm_l_vFk")</f>
        <v>https://drive.google.com/open?id=12MozTjtOXJcS8Yi6WgaZye19Pm_l_vFk</v>
      </c>
      <c r="AF543" s="4"/>
      <c r="AG543" s="4"/>
      <c r="AH543" s="4"/>
      <c r="AI543" s="4"/>
      <c r="AL543" s="4" t="str">
        <f t="shared" si="1"/>
        <v>Cluster 14</v>
      </c>
      <c r="AM543" s="4" t="str">
        <f t="shared" si="2"/>
        <v>FEDERAL SECRETARIAT ROAD</v>
      </c>
    </row>
    <row r="544">
      <c r="A544" s="3">
        <f>IFERROR(__xludf.DUMMYFUNCTION("""COMPUTED_VALUE"""),45863.64806461806)</f>
        <v>45863.64806</v>
      </c>
      <c r="B544" s="4" t="str">
        <f>IFERROR(__xludf.DUMMYFUNCTION("""COMPUTED_VALUE"""),"umrdalhatu@gmail.com")</f>
        <v>umrdalhatu@gmail.com</v>
      </c>
      <c r="C544" s="4" t="str">
        <f>IFERROR(__xludf.DUMMYFUNCTION("""COMPUTED_VALUE"""),"Umar Dalhatu")</f>
        <v>Umar Dalhatu</v>
      </c>
      <c r="D544" s="4"/>
      <c r="E544" s="4"/>
      <c r="F544" s="4"/>
      <c r="G544" s="4"/>
      <c r="H544" s="4"/>
      <c r="I544" s="4"/>
      <c r="J544" s="4" t="str">
        <f>IFERROR(__xludf.DUMMYFUNCTION("""COMPUTED_VALUE"""),"Cluster 14")</f>
        <v>Cluster 14</v>
      </c>
      <c r="K544" s="4"/>
      <c r="L544" s="4"/>
      <c r="M544" s="4"/>
      <c r="N544" s="4" t="str">
        <f>IFERROR(__xludf.DUMMYFUNCTION("""COMPUTED_VALUE"""),"HAJJ CAMP ROAD")</f>
        <v>HAJJ CAMP ROAD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 t="str">
        <f>IFERROR(__xludf.DUMMYFUNCTION("""COMPUTED_VALUE"""),"Point 2")</f>
        <v>Point 2</v>
      </c>
      <c r="AC544" s="4">
        <f>IFERROR(__xludf.DUMMYFUNCTION("""COMPUTED_VALUE"""),12.02808936)</f>
        <v>12.02808936</v>
      </c>
      <c r="AD544" s="4">
        <f>IFERROR(__xludf.DUMMYFUNCTION("""COMPUTED_VALUE"""),8.523780445)</f>
        <v>8.523780445</v>
      </c>
      <c r="AE544" s="5" t="str">
        <f>IFERROR(__xludf.DUMMYFUNCTION("""COMPUTED_VALUE"""),"https://drive.google.com/open?id=10igGmRel985aoG3i0yq6-Y4vxDZwxk2G")</f>
        <v>https://drive.google.com/open?id=10igGmRel985aoG3i0yq6-Y4vxDZwxk2G</v>
      </c>
      <c r="AF544" s="4"/>
      <c r="AG544" s="4"/>
      <c r="AH544" s="4"/>
      <c r="AI544" s="4"/>
      <c r="AL544" s="4" t="str">
        <f t="shared" si="1"/>
        <v>Cluster 14</v>
      </c>
      <c r="AM544" s="4" t="str">
        <f t="shared" si="2"/>
        <v>HAJJ CAMP ROAD</v>
      </c>
    </row>
    <row r="545">
      <c r="A545" s="3">
        <f>IFERROR(__xludf.DUMMYFUNCTION("""COMPUTED_VALUE"""),45863.64572704861)</f>
        <v>45863.64573</v>
      </c>
      <c r="B545" s="4" t="str">
        <f>IFERROR(__xludf.DUMMYFUNCTION("""COMPUTED_VALUE"""),"umrdalhatu@gmail.com")</f>
        <v>umrdalhatu@gmail.com</v>
      </c>
      <c r="C545" s="4" t="str">
        <f>IFERROR(__xludf.DUMMYFUNCTION("""COMPUTED_VALUE"""),"Umar Dalhatu")</f>
        <v>Umar Dalhatu</v>
      </c>
      <c r="D545" s="4"/>
      <c r="E545" s="4"/>
      <c r="F545" s="4"/>
      <c r="G545" s="4"/>
      <c r="H545" s="4"/>
      <c r="I545" s="4"/>
      <c r="J545" s="4" t="str">
        <f>IFERROR(__xludf.DUMMYFUNCTION("""COMPUTED_VALUE"""),"Cluster 14")</f>
        <v>Cluster 14</v>
      </c>
      <c r="K545" s="4"/>
      <c r="L545" s="4"/>
      <c r="M545" s="4"/>
      <c r="N545" s="4" t="str">
        <f>IFERROR(__xludf.DUMMYFUNCTION("""COMPUTED_VALUE"""),"HAJJ CAMP ROAD")</f>
        <v>HAJJ CAMP ROAD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 t="str">
        <f>IFERROR(__xludf.DUMMYFUNCTION("""COMPUTED_VALUE"""),"Point 1")</f>
        <v>Point 1</v>
      </c>
      <c r="AC545" s="4">
        <f>IFERROR(__xludf.DUMMYFUNCTION("""COMPUTED_VALUE"""),12.0279379)</f>
        <v>12.0279379</v>
      </c>
      <c r="AD545" s="4">
        <f>IFERROR(__xludf.DUMMYFUNCTION("""COMPUTED_VALUE"""),8.525757051)</f>
        <v>8.525757051</v>
      </c>
      <c r="AE545" s="5" t="str">
        <f>IFERROR(__xludf.DUMMYFUNCTION("""COMPUTED_VALUE"""),"https://drive.google.com/open?id=1ITk5YdyCozdv1iQxvrWA8QnvUFlscul6")</f>
        <v>https://drive.google.com/open?id=1ITk5YdyCozdv1iQxvrWA8QnvUFlscul6</v>
      </c>
      <c r="AF545" s="4"/>
      <c r="AG545" s="4"/>
      <c r="AH545" s="4"/>
      <c r="AI545" s="4"/>
      <c r="AL545" s="4" t="str">
        <f t="shared" si="1"/>
        <v>Cluster 14</v>
      </c>
      <c r="AM545" s="4" t="str">
        <f t="shared" si="2"/>
        <v>HAJJ CAMP ROAD</v>
      </c>
    </row>
    <row r="546">
      <c r="A546" s="3">
        <f>IFERROR(__xludf.DUMMYFUNCTION("""COMPUTED_VALUE"""),45863.642953877315)</f>
        <v>45863.64295</v>
      </c>
      <c r="B546" s="4" t="str">
        <f>IFERROR(__xludf.DUMMYFUNCTION("""COMPUTED_VALUE"""),"umrdalhatu@gmail.com")</f>
        <v>umrdalhatu@gmail.com</v>
      </c>
      <c r="C546" s="4" t="str">
        <f>IFERROR(__xludf.DUMMYFUNCTION("""COMPUTED_VALUE"""),"Umar Dalhatu")</f>
        <v>Umar Dalhatu</v>
      </c>
      <c r="D546" s="4"/>
      <c r="E546" s="4"/>
      <c r="F546" s="4"/>
      <c r="G546" s="4"/>
      <c r="H546" s="4"/>
      <c r="I546" s="4"/>
      <c r="J546" s="4" t="str">
        <f>IFERROR(__xludf.DUMMYFUNCTION("""COMPUTED_VALUE"""),"Cluster 14")</f>
        <v>Cluster 14</v>
      </c>
      <c r="K546" s="4"/>
      <c r="L546" s="4"/>
      <c r="M546" s="4"/>
      <c r="N546" s="4" t="str">
        <f>IFERROR(__xludf.DUMMYFUNCTION("""COMPUTED_VALUE"""),"NGURU AVENUE")</f>
        <v>NGURU AVENUE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 t="str">
        <f>IFERROR(__xludf.DUMMYFUNCTION("""COMPUTED_VALUE"""),"Point 1")</f>
        <v>Point 1</v>
      </c>
      <c r="AC546" s="4">
        <f>IFERROR(__xludf.DUMMYFUNCTION("""COMPUTED_VALUE"""),12.02738657)</f>
        <v>12.02738657</v>
      </c>
      <c r="AD546" s="4">
        <f>IFERROR(__xludf.DUMMYFUNCTION("""COMPUTED_VALUE"""),8.529927719)</f>
        <v>8.529927719</v>
      </c>
      <c r="AE546" s="5" t="str">
        <f>IFERROR(__xludf.DUMMYFUNCTION("""COMPUTED_VALUE"""),"https://drive.google.com/open?id=18X-AL2ybkY4elC5YQ7ui_moJReCIGYTQ")</f>
        <v>https://drive.google.com/open?id=18X-AL2ybkY4elC5YQ7ui_moJReCIGYTQ</v>
      </c>
      <c r="AF546" s="4"/>
      <c r="AG546" s="4"/>
      <c r="AH546" s="4"/>
      <c r="AI546" s="4"/>
      <c r="AL546" s="4" t="str">
        <f t="shared" si="1"/>
        <v>Cluster 14</v>
      </c>
      <c r="AM546" s="4" t="str">
        <f t="shared" si="2"/>
        <v>NGURU AVENUE</v>
      </c>
    </row>
    <row r="547">
      <c r="A547" s="3">
        <f>IFERROR(__xludf.DUMMYFUNCTION("""COMPUTED_VALUE"""),45863.642006423615)</f>
        <v>45863.64201</v>
      </c>
      <c r="B547" s="4" t="str">
        <f>IFERROR(__xludf.DUMMYFUNCTION("""COMPUTED_VALUE"""),"umrdalhatu@gmail.com")</f>
        <v>umrdalhatu@gmail.com</v>
      </c>
      <c r="C547" s="4" t="str">
        <f>IFERROR(__xludf.DUMMYFUNCTION("""COMPUTED_VALUE"""),"Umar Dalhatu")</f>
        <v>Umar Dalhatu</v>
      </c>
      <c r="D547" s="4"/>
      <c r="E547" s="4"/>
      <c r="F547" s="4"/>
      <c r="G547" s="4"/>
      <c r="H547" s="4"/>
      <c r="I547" s="4"/>
      <c r="J547" s="4" t="str">
        <f>IFERROR(__xludf.DUMMYFUNCTION("""COMPUTED_VALUE"""),"Cluster 14")</f>
        <v>Cluster 14</v>
      </c>
      <c r="K547" s="4"/>
      <c r="L547" s="4"/>
      <c r="M547" s="4"/>
      <c r="N547" s="4" t="str">
        <f>IFERROR(__xludf.DUMMYFUNCTION("""COMPUTED_VALUE"""),"NGURU AVENUE")</f>
        <v>NGURU AVENUE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 t="str">
        <f>IFERROR(__xludf.DUMMYFUNCTION("""COMPUTED_VALUE"""),"Point 2")</f>
        <v>Point 2</v>
      </c>
      <c r="AC547" s="4">
        <f>IFERROR(__xludf.DUMMYFUNCTION("""COMPUTED_VALUE"""),12.026489)</f>
        <v>12.026489</v>
      </c>
      <c r="AD547" s="4">
        <f>IFERROR(__xludf.DUMMYFUNCTION("""COMPUTED_VALUE"""),8.530159)</f>
        <v>8.530159</v>
      </c>
      <c r="AE547" s="5" t="str">
        <f>IFERROR(__xludf.DUMMYFUNCTION("""COMPUTED_VALUE"""),"https://drive.google.com/open?id=1RdqApuLVS6yyGCwe_W7OR6uirfbHo1Ug")</f>
        <v>https://drive.google.com/open?id=1RdqApuLVS6yyGCwe_W7OR6uirfbHo1Ug</v>
      </c>
      <c r="AF547" s="4"/>
      <c r="AG547" s="4"/>
      <c r="AH547" s="4"/>
      <c r="AI547" s="4"/>
      <c r="AL547" s="4" t="str">
        <f t="shared" si="1"/>
        <v>Cluster 14</v>
      </c>
      <c r="AM547" s="4" t="str">
        <f t="shared" si="2"/>
        <v>NGURU AVENUE</v>
      </c>
    </row>
    <row r="548">
      <c r="A548" s="3">
        <f>IFERROR(__xludf.DUMMYFUNCTION("""COMPUTED_VALUE"""),45861.94684697917)</f>
        <v>45861.94685</v>
      </c>
      <c r="B548" s="4" t="str">
        <f>IFERROR(__xludf.DUMMYFUNCTION("""COMPUTED_VALUE"""),"elhabs256@gmail.com")</f>
        <v>elhabs256@gmail.com</v>
      </c>
      <c r="C548" s="4" t="str">
        <f>IFERROR(__xludf.DUMMYFUNCTION("""COMPUTED_VALUE"""),"Abdullahi Elhabeeb")</f>
        <v>Abdullahi Elhabeeb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 t="str">
        <f>IFERROR(__xludf.DUMMYFUNCTION("""COMPUTED_VALUE"""),"Cluster 2")</f>
        <v>Cluster 2</v>
      </c>
      <c r="Q548" s="4"/>
      <c r="R548" s="4" t="str">
        <f>IFERROR(__xludf.DUMMYFUNCTION("""COMPUTED_VALUE"""),"MUSA FAGGE LINK")</f>
        <v>MUSA FAGGE LINK</v>
      </c>
      <c r="S548" s="4"/>
      <c r="T548" s="4"/>
      <c r="U548" s="4"/>
      <c r="V548" s="4"/>
      <c r="W548" s="4"/>
      <c r="X548" s="4"/>
      <c r="Y548" s="4"/>
      <c r="Z548" s="4"/>
      <c r="AA548" s="4"/>
      <c r="AB548" s="4" t="str">
        <f>IFERROR(__xludf.DUMMYFUNCTION("""COMPUTED_VALUE"""),"Point 2")</f>
        <v>Point 2</v>
      </c>
      <c r="AC548" s="4">
        <f>IFERROR(__xludf.DUMMYFUNCTION("""COMPUTED_VALUE"""),11.989044)</f>
        <v>11.989044</v>
      </c>
      <c r="AD548" s="4">
        <f>IFERROR(__xludf.DUMMYFUNCTION("""COMPUTED_VALUE"""),8.55301)</f>
        <v>8.55301</v>
      </c>
      <c r="AE548" s="5" t="str">
        <f>IFERROR(__xludf.DUMMYFUNCTION("""COMPUTED_VALUE"""),"https://drive.google.com/open?id=1b6k282C73Pj0lveoDE4XS2Z2DJ30f8A2")</f>
        <v>https://drive.google.com/open?id=1b6k282C73Pj0lveoDE4XS2Z2DJ30f8A2</v>
      </c>
      <c r="AF548" s="4"/>
      <c r="AG548" s="4"/>
      <c r="AH548" s="4"/>
      <c r="AI548" s="4"/>
      <c r="AL548" s="4" t="str">
        <f t="shared" si="1"/>
        <v>Cluster 2</v>
      </c>
      <c r="AM548" s="4" t="str">
        <f t="shared" si="2"/>
        <v>MUSA FAGGE LINK</v>
      </c>
    </row>
    <row r="549">
      <c r="A549" s="3">
        <f>IFERROR(__xludf.DUMMYFUNCTION("""COMPUTED_VALUE"""),45861.94126626157)</f>
        <v>45861.94127</v>
      </c>
      <c r="B549" s="4" t="str">
        <f>IFERROR(__xludf.DUMMYFUNCTION("""COMPUTED_VALUE"""),"elhabs256@gmail.com")</f>
        <v>elhabs256@gmail.com</v>
      </c>
      <c r="C549" s="4" t="str">
        <f>IFERROR(__xludf.DUMMYFUNCTION("""COMPUTED_VALUE"""),"Abdullahi Elhabeeb")</f>
        <v>Abdullahi Elhabeeb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 t="str">
        <f>IFERROR(__xludf.DUMMYFUNCTION("""COMPUTED_VALUE"""),"Cluster 2")</f>
        <v>Cluster 2</v>
      </c>
      <c r="Q549" s="4"/>
      <c r="R549" s="4" t="str">
        <f>IFERROR(__xludf.DUMMYFUNCTION("""COMPUTED_VALUE"""),"MUSA FAGGE LINK")</f>
        <v>MUSA FAGGE LINK</v>
      </c>
      <c r="S549" s="4"/>
      <c r="T549" s="4"/>
      <c r="U549" s="4"/>
      <c r="V549" s="4"/>
      <c r="W549" s="4"/>
      <c r="X549" s="4"/>
      <c r="Y549" s="4"/>
      <c r="Z549" s="4"/>
      <c r="AA549" s="4"/>
      <c r="AB549" s="4" t="str">
        <f>IFERROR(__xludf.DUMMYFUNCTION("""COMPUTED_VALUE"""),"Point 1")</f>
        <v>Point 1</v>
      </c>
      <c r="AC549" s="4">
        <f>IFERROR(__xludf.DUMMYFUNCTION("""COMPUTED_VALUE"""),11.99140568)</f>
        <v>11.99140568</v>
      </c>
      <c r="AD549" s="4">
        <f>IFERROR(__xludf.DUMMYFUNCTION("""COMPUTED_VALUE"""),8.53867215)</f>
        <v>8.53867215</v>
      </c>
      <c r="AE549" s="5" t="str">
        <f>IFERROR(__xludf.DUMMYFUNCTION("""COMPUTED_VALUE"""),"https://drive.google.com/open?id=1yxOWz-PHWFi-9qg31VzzsTV6_xu_Xvm9")</f>
        <v>https://drive.google.com/open?id=1yxOWz-PHWFi-9qg31VzzsTV6_xu_Xvm9</v>
      </c>
      <c r="AF549" s="4"/>
      <c r="AG549" s="4"/>
      <c r="AH549" s="4"/>
      <c r="AI549" s="4"/>
      <c r="AL549" s="4" t="str">
        <f t="shared" si="1"/>
        <v>Cluster 2</v>
      </c>
      <c r="AM549" s="4" t="str">
        <f t="shared" si="2"/>
        <v>MUSA FAGGE LINK</v>
      </c>
    </row>
    <row r="550">
      <c r="A550" s="3">
        <f>IFERROR(__xludf.DUMMYFUNCTION("""COMPUTED_VALUE"""),45861.93614518519)</f>
        <v>45861.93615</v>
      </c>
      <c r="B550" s="4" t="str">
        <f>IFERROR(__xludf.DUMMYFUNCTION("""COMPUTED_VALUE"""),"elhabs256@gmail.com")</f>
        <v>elhabs256@gmail.com</v>
      </c>
      <c r="C550" s="4" t="str">
        <f>IFERROR(__xludf.DUMMYFUNCTION("""COMPUTED_VALUE"""),"Abdullahi Elhabeeb")</f>
        <v>Abdullahi Elhabeeb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 t="str">
        <f>IFERROR(__xludf.DUMMYFUNCTION("""COMPUTED_VALUE"""),"Cluster 6")</f>
        <v>Cluster 6</v>
      </c>
      <c r="Q550" s="4" t="str">
        <f>IFERROR(__xludf.DUMMYFUNCTION("""COMPUTED_VALUE"""),"KURA ROAD")</f>
        <v>KURA ROAD</v>
      </c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 t="str">
        <f>IFERROR(__xludf.DUMMYFUNCTION("""COMPUTED_VALUE"""),"Point 2")</f>
        <v>Point 2</v>
      </c>
      <c r="AC550" s="4">
        <f>IFERROR(__xludf.DUMMYFUNCTION("""COMPUTED_VALUE"""),11.982003)</f>
        <v>11.982003</v>
      </c>
      <c r="AD550" s="4">
        <f>IFERROR(__xludf.DUMMYFUNCTION("""COMPUTED_VALUE"""),8.562775)</f>
        <v>8.562775</v>
      </c>
      <c r="AE550" s="5" t="str">
        <f>IFERROR(__xludf.DUMMYFUNCTION("""COMPUTED_VALUE"""),"https://drive.google.com/open?id=1EyQGyhx_d3WAxrWr0JjerUVIwHxm9VPZ")</f>
        <v>https://drive.google.com/open?id=1EyQGyhx_d3WAxrWr0JjerUVIwHxm9VPZ</v>
      </c>
      <c r="AF550" s="4"/>
      <c r="AG550" s="4"/>
      <c r="AH550" s="4"/>
      <c r="AI550" s="4"/>
      <c r="AL550" s="4" t="str">
        <f t="shared" si="1"/>
        <v>Cluster 6</v>
      </c>
      <c r="AM550" s="4" t="str">
        <f t="shared" si="2"/>
        <v>KURA ROAD</v>
      </c>
    </row>
    <row r="551">
      <c r="A551" s="3">
        <f>IFERROR(__xludf.DUMMYFUNCTION("""COMPUTED_VALUE"""),45861.93312555556)</f>
        <v>45861.93313</v>
      </c>
      <c r="B551" s="4" t="str">
        <f>IFERROR(__xludf.DUMMYFUNCTION("""COMPUTED_VALUE"""),"elhabs256@gmail.com")</f>
        <v>elhabs256@gmail.com</v>
      </c>
      <c r="C551" s="4" t="str">
        <f>IFERROR(__xludf.DUMMYFUNCTION("""COMPUTED_VALUE"""),"Abdullahi Elhabeeb")</f>
        <v>Abdullahi Elhabeeb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 t="str">
        <f>IFERROR(__xludf.DUMMYFUNCTION("""COMPUTED_VALUE"""),"Cluster 6")</f>
        <v>Cluster 6</v>
      </c>
      <c r="Q551" s="4" t="str">
        <f>IFERROR(__xludf.DUMMYFUNCTION("""COMPUTED_VALUE"""),"KURA ROAD")</f>
        <v>KURA ROAD</v>
      </c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 t="str">
        <f>IFERROR(__xludf.DUMMYFUNCTION("""COMPUTED_VALUE"""),"Point 1")</f>
        <v>Point 1</v>
      </c>
      <c r="AC551" s="4">
        <f>IFERROR(__xludf.DUMMYFUNCTION("""COMPUTED_VALUE"""),11.98222249)</f>
        <v>11.98222249</v>
      </c>
      <c r="AD551" s="4">
        <f>IFERROR(__xludf.DUMMYFUNCTION("""COMPUTED_VALUE"""),8.560541508)</f>
        <v>8.560541508</v>
      </c>
      <c r="AE551" s="5" t="str">
        <f>IFERROR(__xludf.DUMMYFUNCTION("""COMPUTED_VALUE"""),"https://drive.google.com/open?id=1aRZ9eBzxtHhk10NpnpRgvbz7BPrQVvOn")</f>
        <v>https://drive.google.com/open?id=1aRZ9eBzxtHhk10NpnpRgvbz7BPrQVvOn</v>
      </c>
      <c r="AF551" s="4"/>
      <c r="AG551" s="4"/>
      <c r="AH551" s="4"/>
      <c r="AI551" s="4"/>
      <c r="AL551" s="4" t="str">
        <f t="shared" si="1"/>
        <v>Cluster 6</v>
      </c>
      <c r="AM551" s="4" t="str">
        <f t="shared" si="2"/>
        <v>KURA ROAD</v>
      </c>
    </row>
    <row r="552">
      <c r="A552" s="3">
        <f>IFERROR(__xludf.DUMMYFUNCTION("""COMPUTED_VALUE"""),45861.927299965275)</f>
        <v>45861.9273</v>
      </c>
      <c r="B552" s="4" t="str">
        <f>IFERROR(__xludf.DUMMYFUNCTION("""COMPUTED_VALUE"""),"elhabs256@gmail.com")</f>
        <v>elhabs256@gmail.com</v>
      </c>
      <c r="C552" s="4" t="str">
        <f>IFERROR(__xludf.DUMMYFUNCTION("""COMPUTED_VALUE"""),"Abdullahi Elhabeeb")</f>
        <v>Abdullahi Elhabeeb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 t="str">
        <f>IFERROR(__xludf.DUMMYFUNCTION("""COMPUTED_VALUE"""),"Cluster 6")</f>
        <v>Cluster 6</v>
      </c>
      <c r="Q552" s="4" t="str">
        <f>IFERROR(__xludf.DUMMYFUNCTION("""COMPUTED_VALUE"""),"SOKOTO ROAD")</f>
        <v>SOKOTO ROAD</v>
      </c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 t="str">
        <f>IFERROR(__xludf.DUMMYFUNCTION("""COMPUTED_VALUE"""),"Point 2")</f>
        <v>Point 2</v>
      </c>
      <c r="AC552" s="4">
        <f>IFERROR(__xludf.DUMMYFUNCTION("""COMPUTED_VALUE"""),11.982783)</f>
        <v>11.982783</v>
      </c>
      <c r="AD552" s="4">
        <f>IFERROR(__xludf.DUMMYFUNCTION("""COMPUTED_VALUE"""),8.539224)</f>
        <v>8.539224</v>
      </c>
      <c r="AE552" s="5" t="str">
        <f>IFERROR(__xludf.DUMMYFUNCTION("""COMPUTED_VALUE"""),"https://drive.google.com/open?id=1udWTjOmKYySoVSAjsIfFnOE8wU-91cXv")</f>
        <v>https://drive.google.com/open?id=1udWTjOmKYySoVSAjsIfFnOE8wU-91cXv</v>
      </c>
      <c r="AF552" s="4"/>
      <c r="AG552" s="4"/>
      <c r="AH552" s="4"/>
      <c r="AI552" s="4"/>
      <c r="AL552" s="4" t="str">
        <f t="shared" si="1"/>
        <v>Cluster 6</v>
      </c>
      <c r="AM552" s="4" t="str">
        <f t="shared" si="2"/>
        <v>SOKOTO ROAD</v>
      </c>
    </row>
    <row r="553">
      <c r="A553" s="3">
        <f>IFERROR(__xludf.DUMMYFUNCTION("""COMPUTED_VALUE"""),45861.92544798611)</f>
        <v>45861.92545</v>
      </c>
      <c r="B553" s="4" t="str">
        <f>IFERROR(__xludf.DUMMYFUNCTION("""COMPUTED_VALUE"""),"elhabs256@gmail.com")</f>
        <v>elhabs256@gmail.com</v>
      </c>
      <c r="C553" s="4" t="str">
        <f>IFERROR(__xludf.DUMMYFUNCTION("""COMPUTED_VALUE"""),"Abdullahi Elhabeeb")</f>
        <v>Abdullahi Elhabeeb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 t="str">
        <f>IFERROR(__xludf.DUMMYFUNCTION("""COMPUTED_VALUE"""),"Cluster 6")</f>
        <v>Cluster 6</v>
      </c>
      <c r="Q553" s="4" t="str">
        <f>IFERROR(__xludf.DUMMYFUNCTION("""COMPUTED_VALUE"""),"SOKOTO ROAD")</f>
        <v>SOKOTO ROAD</v>
      </c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 t="str">
        <f>IFERROR(__xludf.DUMMYFUNCTION("""COMPUTED_VALUE"""),"Point 1")</f>
        <v>Point 1</v>
      </c>
      <c r="AC553" s="4">
        <f>IFERROR(__xludf.DUMMYFUNCTION("""COMPUTED_VALUE"""),11.978737)</f>
        <v>11.978737</v>
      </c>
      <c r="AD553" s="4">
        <f>IFERROR(__xludf.DUMMYFUNCTION("""COMPUTED_VALUE"""),8.553091)</f>
        <v>8.553091</v>
      </c>
      <c r="AE553" s="5" t="str">
        <f>IFERROR(__xludf.DUMMYFUNCTION("""COMPUTED_VALUE"""),"https://drive.google.com/open?id=1lhd_PypgL0PPOwH9joxOHSgF6c9Yu-Vh")</f>
        <v>https://drive.google.com/open?id=1lhd_PypgL0PPOwH9joxOHSgF6c9Yu-Vh</v>
      </c>
      <c r="AF553" s="4"/>
      <c r="AG553" s="4"/>
      <c r="AH553" s="4"/>
      <c r="AI553" s="4"/>
      <c r="AL553" s="4" t="str">
        <f t="shared" si="1"/>
        <v>Cluster 6</v>
      </c>
      <c r="AM553" s="4" t="str">
        <f t="shared" si="2"/>
        <v>SOKOTO ROAD</v>
      </c>
    </row>
    <row r="554">
      <c r="A554" s="3">
        <f>IFERROR(__xludf.DUMMYFUNCTION("""COMPUTED_VALUE"""),45861.91956596065)</f>
        <v>45861.91957</v>
      </c>
      <c r="B554" s="4" t="str">
        <f>IFERROR(__xludf.DUMMYFUNCTION("""COMPUTED_VALUE"""),"elhabs256@gmail.com")</f>
        <v>elhabs256@gmail.com</v>
      </c>
      <c r="C554" s="4" t="str">
        <f>IFERROR(__xludf.DUMMYFUNCTION("""COMPUTED_VALUE"""),"Abdullahi Elhabeeb")</f>
        <v>Abdullahi Elhabeeb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 t="str">
        <f>IFERROR(__xludf.DUMMYFUNCTION("""COMPUTED_VALUE"""),"Cluster 6")</f>
        <v>Cluster 6</v>
      </c>
      <c r="Q554" s="4" t="str">
        <f>IFERROR(__xludf.DUMMYFUNCTION("""COMPUTED_VALUE"""),"LAYIN MASALLACI STREET")</f>
        <v>LAYIN MASALLACI STREET</v>
      </c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 t="str">
        <f>IFERROR(__xludf.DUMMYFUNCTION("""COMPUTED_VALUE"""),"Point 1")</f>
        <v>Point 1</v>
      </c>
      <c r="AC554" s="4">
        <f>IFERROR(__xludf.DUMMYFUNCTION("""COMPUTED_VALUE"""),11.97987056)</f>
        <v>11.97987056</v>
      </c>
      <c r="AD554" s="4">
        <f>IFERROR(__xludf.DUMMYFUNCTION("""COMPUTED_VALUE"""),8.561000516)</f>
        <v>8.561000516</v>
      </c>
      <c r="AE554" s="5" t="str">
        <f>IFERROR(__xludf.DUMMYFUNCTION("""COMPUTED_VALUE"""),"https://drive.google.com/open?id=1WRr25ME2lUxy6wlSzMzI0ySF2avd1JjD")</f>
        <v>https://drive.google.com/open?id=1WRr25ME2lUxy6wlSzMzI0ySF2avd1JjD</v>
      </c>
      <c r="AF554" s="4"/>
      <c r="AG554" s="4"/>
      <c r="AH554" s="4"/>
      <c r="AI554" s="4"/>
      <c r="AL554" s="4" t="str">
        <f t="shared" si="1"/>
        <v>Cluster 6</v>
      </c>
      <c r="AM554" s="4" t="str">
        <f t="shared" si="2"/>
        <v>LAYIN MASALLACI STREET</v>
      </c>
    </row>
    <row r="555">
      <c r="A555" s="3">
        <f>IFERROR(__xludf.DUMMYFUNCTION("""COMPUTED_VALUE"""),45861.915666574074)</f>
        <v>45861.91567</v>
      </c>
      <c r="B555" s="4" t="str">
        <f>IFERROR(__xludf.DUMMYFUNCTION("""COMPUTED_VALUE"""),"elhabs256@gmail.com")</f>
        <v>elhabs256@gmail.com</v>
      </c>
      <c r="C555" s="4" t="str">
        <f>IFERROR(__xludf.DUMMYFUNCTION("""COMPUTED_VALUE"""),"Abdullahi Elhabeeb")</f>
        <v>Abdullahi Elhabeeb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 t="str">
        <f>IFERROR(__xludf.DUMMYFUNCTION("""COMPUTED_VALUE"""),"Cluster 6")</f>
        <v>Cluster 6</v>
      </c>
      <c r="Q555" s="4" t="str">
        <f>IFERROR(__xludf.DUMMYFUNCTION("""COMPUTED_VALUE"""),"MUHAMMED BELLO COUNCILLOR STREET")</f>
        <v>MUHAMMED BELLO COUNCILLOR STREET</v>
      </c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 t="str">
        <f>IFERROR(__xludf.DUMMYFUNCTION("""COMPUTED_VALUE"""),"Point 2")</f>
        <v>Point 2</v>
      </c>
      <c r="AC555" s="4">
        <f>IFERROR(__xludf.DUMMYFUNCTION("""COMPUTED_VALUE"""),11.969217)</f>
        <v>11.969217</v>
      </c>
      <c r="AD555" s="4">
        <f>IFERROR(__xludf.DUMMYFUNCTION("""COMPUTED_VALUE"""),8.557763)</f>
        <v>8.557763</v>
      </c>
      <c r="AE555" s="5" t="str">
        <f>IFERROR(__xludf.DUMMYFUNCTION("""COMPUTED_VALUE"""),"https://drive.google.com/open?id=1BZ45v_jnh4aL8AYPbQ96vHJ2WY0EqsS2")</f>
        <v>https://drive.google.com/open?id=1BZ45v_jnh4aL8AYPbQ96vHJ2WY0EqsS2</v>
      </c>
      <c r="AF555" s="4"/>
      <c r="AG555" s="4"/>
      <c r="AH555" s="4"/>
      <c r="AI555" s="4"/>
      <c r="AL555" s="4" t="str">
        <f t="shared" si="1"/>
        <v>Cluster 6</v>
      </c>
      <c r="AM555" s="4" t="str">
        <f t="shared" si="2"/>
        <v>MUHAMMED BELLO COUNCILLOR STREET</v>
      </c>
    </row>
    <row r="556">
      <c r="A556" s="3">
        <f>IFERROR(__xludf.DUMMYFUNCTION("""COMPUTED_VALUE"""),45861.91344387732)</f>
        <v>45861.91344</v>
      </c>
      <c r="B556" s="4" t="str">
        <f>IFERROR(__xludf.DUMMYFUNCTION("""COMPUTED_VALUE"""),"elhabs256@gmail.com")</f>
        <v>elhabs256@gmail.com</v>
      </c>
      <c r="C556" s="4" t="str">
        <f>IFERROR(__xludf.DUMMYFUNCTION("""COMPUTED_VALUE"""),"Abdullahi Elhabeeb")</f>
        <v>Abdullahi Elhabeeb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 t="str">
        <f>IFERROR(__xludf.DUMMYFUNCTION("""COMPUTED_VALUE"""),"Cluster 6")</f>
        <v>Cluster 6</v>
      </c>
      <c r="Q556" s="4" t="str">
        <f>IFERROR(__xludf.DUMMYFUNCTION("""COMPUTED_VALUE"""),"MUHAMMED BELLO COUNCILLOR STREET")</f>
        <v>MUHAMMED BELLO COUNCILLOR STREET</v>
      </c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 t="str">
        <f>IFERROR(__xludf.DUMMYFUNCTION("""COMPUTED_VALUE"""),"Point 1")</f>
        <v>Point 1</v>
      </c>
      <c r="AC556" s="4">
        <f>IFERROR(__xludf.DUMMYFUNCTION("""COMPUTED_VALUE"""),11.96922417)</f>
        <v>11.96922417</v>
      </c>
      <c r="AD556" s="4">
        <f>IFERROR(__xludf.DUMMYFUNCTION("""COMPUTED_VALUE"""),8.55781123)</f>
        <v>8.55781123</v>
      </c>
      <c r="AE556" s="5" t="str">
        <f>IFERROR(__xludf.DUMMYFUNCTION("""COMPUTED_VALUE"""),"https://drive.google.com/open?id=1DmHLSu3iv-lLCWIgg0Q7otBtC5tHYenj")</f>
        <v>https://drive.google.com/open?id=1DmHLSu3iv-lLCWIgg0Q7otBtC5tHYenj</v>
      </c>
      <c r="AF556" s="4"/>
      <c r="AG556" s="4"/>
      <c r="AH556" s="4"/>
      <c r="AI556" s="4"/>
      <c r="AL556" s="4" t="str">
        <f t="shared" si="1"/>
        <v>Cluster 6</v>
      </c>
      <c r="AM556" s="4" t="str">
        <f t="shared" si="2"/>
        <v>MUHAMMED BELLO COUNCILLOR STREET</v>
      </c>
    </row>
    <row r="557">
      <c r="A557" s="3">
        <f>IFERROR(__xludf.DUMMYFUNCTION("""COMPUTED_VALUE"""),45861.901043935184)</f>
        <v>45861.90104</v>
      </c>
      <c r="B557" s="4" t="str">
        <f>IFERROR(__xludf.DUMMYFUNCTION("""COMPUTED_VALUE"""),"elhabs256@gmail.com")</f>
        <v>elhabs256@gmail.com</v>
      </c>
      <c r="C557" s="4" t="str">
        <f>IFERROR(__xludf.DUMMYFUNCTION("""COMPUTED_VALUE"""),"Abdullahi Elhabeeb")</f>
        <v>Abdullahi Elhabeeb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 t="str">
        <f>IFERROR(__xludf.DUMMYFUNCTION("""COMPUTED_VALUE"""),"Cluster 16")</f>
        <v>Cluster 16</v>
      </c>
      <c r="Q557" s="4"/>
      <c r="R557" s="4"/>
      <c r="S557" s="4" t="str">
        <f>IFERROR(__xludf.DUMMYFUNCTION("""COMPUTED_VALUE"""),"ISAH KAITA ROAD")</f>
        <v>ISAH KAITA ROAD</v>
      </c>
      <c r="T557" s="4"/>
      <c r="U557" s="4"/>
      <c r="V557" s="4"/>
      <c r="W557" s="4"/>
      <c r="X557" s="4"/>
      <c r="Y557" s="4"/>
      <c r="Z557" s="4"/>
      <c r="AA557" s="4"/>
      <c r="AB557" s="4" t="str">
        <f>IFERROR(__xludf.DUMMYFUNCTION("""COMPUTED_VALUE"""),"Point 2")</f>
        <v>Point 2</v>
      </c>
      <c r="AC557" s="4">
        <f>IFERROR(__xludf.DUMMYFUNCTION("""COMPUTED_VALUE"""),11.967627)</f>
        <v>11.967627</v>
      </c>
      <c r="AD557" s="4">
        <f>IFERROR(__xludf.DUMMYFUNCTION("""COMPUTED_VALUE"""),8.536561)</f>
        <v>8.536561</v>
      </c>
      <c r="AE557" s="5" t="str">
        <f>IFERROR(__xludf.DUMMYFUNCTION("""COMPUTED_VALUE"""),"https://drive.google.com/open?id=1pX59H9jJ1oIkOh1f6O3SXkmnh4IR4JB8")</f>
        <v>https://drive.google.com/open?id=1pX59H9jJ1oIkOh1f6O3SXkmnh4IR4JB8</v>
      </c>
      <c r="AF557" s="4"/>
      <c r="AG557" s="4"/>
      <c r="AH557" s="4"/>
      <c r="AI557" s="4"/>
      <c r="AL557" s="4" t="str">
        <f t="shared" si="1"/>
        <v>Cluster 16</v>
      </c>
      <c r="AM557" s="4" t="str">
        <f t="shared" si="2"/>
        <v>ISAH KAITA ROAD</v>
      </c>
    </row>
    <row r="558">
      <c r="A558" s="3">
        <f>IFERROR(__xludf.DUMMYFUNCTION("""COMPUTED_VALUE"""),45861.89865293981)</f>
        <v>45861.89865</v>
      </c>
      <c r="B558" s="4" t="str">
        <f>IFERROR(__xludf.DUMMYFUNCTION("""COMPUTED_VALUE"""),"elhabs256@gmail.com")</f>
        <v>elhabs256@gmail.com</v>
      </c>
      <c r="C558" s="4" t="str">
        <f>IFERROR(__xludf.DUMMYFUNCTION("""COMPUTED_VALUE"""),"Abdullahi Elhabeeb")</f>
        <v>Abdullahi Elhabeeb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 t="str">
        <f>IFERROR(__xludf.DUMMYFUNCTION("""COMPUTED_VALUE"""),"Cluster 16")</f>
        <v>Cluster 16</v>
      </c>
      <c r="Q558" s="4"/>
      <c r="R558" s="4"/>
      <c r="S558" s="4" t="str">
        <f>IFERROR(__xludf.DUMMYFUNCTION("""COMPUTED_VALUE"""),"ISAH KAITA ROAD")</f>
        <v>ISAH KAITA ROAD</v>
      </c>
      <c r="T558" s="4"/>
      <c r="U558" s="4"/>
      <c r="V558" s="4"/>
      <c r="W558" s="4"/>
      <c r="X558" s="4"/>
      <c r="Y558" s="4"/>
      <c r="Z558" s="4"/>
      <c r="AA558" s="4"/>
      <c r="AB558" s="4" t="str">
        <f>IFERROR(__xludf.DUMMYFUNCTION("""COMPUTED_VALUE"""),"Point 1")</f>
        <v>Point 1</v>
      </c>
      <c r="AC558" s="4">
        <f>IFERROR(__xludf.DUMMYFUNCTION("""COMPUTED_VALUE"""),11.9748)</f>
        <v>11.9748</v>
      </c>
      <c r="AD558" s="4">
        <f>IFERROR(__xludf.DUMMYFUNCTION("""COMPUTED_VALUE"""),8.535734)</f>
        <v>8.535734</v>
      </c>
      <c r="AE558" s="5" t="str">
        <f>IFERROR(__xludf.DUMMYFUNCTION("""COMPUTED_VALUE"""),"https://drive.google.com/open?id=12QoHRE5rSHP4sOVtAASIg5bVp18kzATr")</f>
        <v>https://drive.google.com/open?id=12QoHRE5rSHP4sOVtAASIg5bVp18kzATr</v>
      </c>
      <c r="AF558" s="4"/>
      <c r="AG558" s="4"/>
      <c r="AH558" s="4"/>
      <c r="AI558" s="4"/>
      <c r="AL558" s="4" t="str">
        <f t="shared" si="1"/>
        <v>Cluster 16</v>
      </c>
      <c r="AM558" s="4" t="str">
        <f t="shared" si="2"/>
        <v>ISAH KAITA ROAD</v>
      </c>
    </row>
    <row r="559">
      <c r="A559" s="3">
        <f>IFERROR(__xludf.DUMMYFUNCTION("""COMPUTED_VALUE"""),45861.89583340278)</f>
        <v>45861.89583</v>
      </c>
      <c r="B559" s="4" t="str">
        <f>IFERROR(__xludf.DUMMYFUNCTION("""COMPUTED_VALUE"""),"elhabs256@gmail.com")</f>
        <v>elhabs256@gmail.com</v>
      </c>
      <c r="C559" s="4" t="str">
        <f>IFERROR(__xludf.DUMMYFUNCTION("""COMPUTED_VALUE"""),"Abdullahi Elhabeeb")</f>
        <v>Abdullahi Elhabeeb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 t="str">
        <f>IFERROR(__xludf.DUMMYFUNCTION("""COMPUTED_VALUE"""),"Cluster 6")</f>
        <v>Cluster 6</v>
      </c>
      <c r="Q559" s="4" t="str">
        <f>IFERROR(__xludf.DUMMYFUNCTION("""COMPUTED_VALUE"""),"MAL. HUSSAINI STREET")</f>
        <v>MAL. HUSSAINI STREET</v>
      </c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 t="str">
        <f>IFERROR(__xludf.DUMMYFUNCTION("""COMPUTED_VALUE"""),"Point 2")</f>
        <v>Point 2</v>
      </c>
      <c r="AC559" s="4">
        <f>IFERROR(__xludf.DUMMYFUNCTION("""COMPUTED_VALUE"""),11.97741556)</f>
        <v>11.97741556</v>
      </c>
      <c r="AD559" s="4">
        <f>IFERROR(__xludf.DUMMYFUNCTION("""COMPUTED_VALUE"""),8.558852684)</f>
        <v>8.558852684</v>
      </c>
      <c r="AE559" s="5" t="str">
        <f>IFERROR(__xludf.DUMMYFUNCTION("""COMPUTED_VALUE"""),"https://drive.google.com/open?id=1Tf3m0f85cKUEI0aAkpnmKYLoP9iK8wwh")</f>
        <v>https://drive.google.com/open?id=1Tf3m0f85cKUEI0aAkpnmKYLoP9iK8wwh</v>
      </c>
      <c r="AF559" s="4"/>
      <c r="AG559" s="4"/>
      <c r="AH559" s="4"/>
      <c r="AI559" s="4"/>
      <c r="AL559" s="4" t="str">
        <f t="shared" si="1"/>
        <v>Cluster 6</v>
      </c>
      <c r="AM559" s="4" t="str">
        <f t="shared" si="2"/>
        <v>MAL. HUSSAINI STREET</v>
      </c>
    </row>
    <row r="560">
      <c r="A560" s="3">
        <f>IFERROR(__xludf.DUMMYFUNCTION("""COMPUTED_VALUE"""),45861.89262503472)</f>
        <v>45861.89263</v>
      </c>
      <c r="B560" s="4" t="str">
        <f>IFERROR(__xludf.DUMMYFUNCTION("""COMPUTED_VALUE"""),"elhabs256@gmail.com")</f>
        <v>elhabs256@gmail.com</v>
      </c>
      <c r="C560" s="4" t="str">
        <f>IFERROR(__xludf.DUMMYFUNCTION("""COMPUTED_VALUE"""),"Abdullahi Elhabeeb")</f>
        <v>Abdullahi Elhabeeb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 t="str">
        <f>IFERROR(__xludf.DUMMYFUNCTION("""COMPUTED_VALUE"""),"Cluster 2")</f>
        <v>Cluster 2</v>
      </c>
      <c r="Q560" s="4"/>
      <c r="R560" s="4" t="str">
        <f>IFERROR(__xludf.DUMMYFUNCTION("""COMPUTED_VALUE"""),"OLUSEGUN OBASANJO WAY")</f>
        <v>OLUSEGUN OBASANJO WAY</v>
      </c>
      <c r="S560" s="4"/>
      <c r="T560" s="4"/>
      <c r="U560" s="4"/>
      <c r="V560" s="4"/>
      <c r="W560" s="4"/>
      <c r="X560" s="4"/>
      <c r="Y560" s="4"/>
      <c r="Z560" s="4"/>
      <c r="AA560" s="4"/>
      <c r="AB560" s="4" t="str">
        <f>IFERROR(__xludf.DUMMYFUNCTION("""COMPUTED_VALUE"""),"Point 2")</f>
        <v>Point 2</v>
      </c>
      <c r="AC560" s="4">
        <f>IFERROR(__xludf.DUMMYFUNCTION("""COMPUTED_VALUE"""),11.99348)</f>
        <v>11.99348</v>
      </c>
      <c r="AD560" s="4">
        <f>IFERROR(__xludf.DUMMYFUNCTION("""COMPUTED_VALUE"""),8.53355)</f>
        <v>8.53355</v>
      </c>
      <c r="AE560" s="5" t="str">
        <f>IFERROR(__xludf.DUMMYFUNCTION("""COMPUTED_VALUE"""),"https://drive.google.com/open?id=1z5IWQ8Jr2wKOGO0WKFPc8IxLXmhTVBFD")</f>
        <v>https://drive.google.com/open?id=1z5IWQ8Jr2wKOGO0WKFPc8IxLXmhTVBFD</v>
      </c>
      <c r="AF560" s="4"/>
      <c r="AG560" s="4"/>
      <c r="AH560" s="4"/>
      <c r="AI560" s="4"/>
      <c r="AL560" s="4" t="str">
        <f t="shared" si="1"/>
        <v>Cluster 2</v>
      </c>
      <c r="AM560" s="4" t="str">
        <f t="shared" si="2"/>
        <v>OLUSEGUN OBASANJO WAY</v>
      </c>
    </row>
    <row r="561">
      <c r="A561" s="3">
        <f>IFERROR(__xludf.DUMMYFUNCTION("""COMPUTED_VALUE"""),45861.88756017361)</f>
        <v>45861.88756</v>
      </c>
      <c r="B561" s="4" t="str">
        <f>IFERROR(__xludf.DUMMYFUNCTION("""COMPUTED_VALUE"""),"elhabs256@gmail.com")</f>
        <v>elhabs256@gmail.com</v>
      </c>
      <c r="C561" s="4" t="str">
        <f>IFERROR(__xludf.DUMMYFUNCTION("""COMPUTED_VALUE"""),"Abdullahi Elhabeeb")</f>
        <v>Abdullahi Elhabeeb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 t="str">
        <f>IFERROR(__xludf.DUMMYFUNCTION("""COMPUTED_VALUE"""),"Cluster 6")</f>
        <v>Cluster 6</v>
      </c>
      <c r="Q561" s="4" t="str">
        <f>IFERROR(__xludf.DUMMYFUNCTION("""COMPUTED_VALUE"""),"MAL. HUSSAINI STREET")</f>
        <v>MAL. HUSSAINI STREET</v>
      </c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 t="str">
        <f>IFERROR(__xludf.DUMMYFUNCTION("""COMPUTED_VALUE"""),"Point 1")</f>
        <v>Point 1</v>
      </c>
      <c r="AC561" s="4">
        <f>IFERROR(__xludf.DUMMYFUNCTION("""COMPUTED_VALUE"""),11.977492)</f>
        <v>11.977492</v>
      </c>
      <c r="AD561" s="4">
        <f>IFERROR(__xludf.DUMMYFUNCTION("""COMPUTED_VALUE"""),8.558792)</f>
        <v>8.558792</v>
      </c>
      <c r="AE561" s="5" t="str">
        <f>IFERROR(__xludf.DUMMYFUNCTION("""COMPUTED_VALUE"""),"https://drive.google.com/open?id=1IlPsVXfgl-wjSMf551aG4luPGLCX3LCy")</f>
        <v>https://drive.google.com/open?id=1IlPsVXfgl-wjSMf551aG4luPGLCX3LCy</v>
      </c>
      <c r="AF561" s="4"/>
      <c r="AG561" s="4"/>
      <c r="AH561" s="4"/>
      <c r="AI561" s="4"/>
      <c r="AL561" s="4" t="str">
        <f t="shared" si="1"/>
        <v>Cluster 6</v>
      </c>
      <c r="AM561" s="4" t="str">
        <f t="shared" si="2"/>
        <v>MAL. HUSSAINI STREET</v>
      </c>
    </row>
    <row r="562">
      <c r="A562" s="3">
        <f>IFERROR(__xludf.DUMMYFUNCTION("""COMPUTED_VALUE"""),45861.88350565972)</f>
        <v>45861.88351</v>
      </c>
      <c r="B562" s="4" t="str">
        <f>IFERROR(__xludf.DUMMYFUNCTION("""COMPUTED_VALUE"""),"elhabs256@gmail.com")</f>
        <v>elhabs256@gmail.com</v>
      </c>
      <c r="C562" s="4" t="str">
        <f>IFERROR(__xludf.DUMMYFUNCTION("""COMPUTED_VALUE"""),"Abdullahi Elhabeeb")</f>
        <v>Abdullahi Elhabeeb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 t="str">
        <f>IFERROR(__xludf.DUMMYFUNCTION("""COMPUTED_VALUE"""),"Cluster 13")</f>
        <v>Cluster 13</v>
      </c>
      <c r="Q562" s="4"/>
      <c r="R562" s="4"/>
      <c r="S562" s="4"/>
      <c r="T562" s="4" t="str">
        <f>IFERROR(__xludf.DUMMYFUNCTION("""COMPUTED_VALUE"""),"GIDADO MUKHTAR LINK")</f>
        <v>GIDADO MUKHTAR LINK</v>
      </c>
      <c r="U562" s="4"/>
      <c r="V562" s="4"/>
      <c r="W562" s="4"/>
      <c r="X562" s="4"/>
      <c r="Y562" s="4"/>
      <c r="Z562" s="4"/>
      <c r="AA562" s="4"/>
      <c r="AB562" s="4" t="str">
        <f>IFERROR(__xludf.DUMMYFUNCTION("""COMPUTED_VALUE"""),"Point 2")</f>
        <v>Point 2</v>
      </c>
      <c r="AC562" s="4">
        <f>IFERROR(__xludf.DUMMYFUNCTION("""COMPUTED_VALUE"""),11.992248)</f>
        <v>11.992248</v>
      </c>
      <c r="AD562" s="4">
        <f>IFERROR(__xludf.DUMMYFUNCTION("""COMPUTED_VALUE"""),8.552105)</f>
        <v>8.552105</v>
      </c>
      <c r="AE562" s="5" t="str">
        <f>IFERROR(__xludf.DUMMYFUNCTION("""COMPUTED_VALUE"""),"https://drive.google.com/open?id=1LWrd_XMvStaxLPn6kgbPsTGRQvI-PQ-Q")</f>
        <v>https://drive.google.com/open?id=1LWrd_XMvStaxLPn6kgbPsTGRQvI-PQ-Q</v>
      </c>
      <c r="AF562" s="4"/>
      <c r="AG562" s="4"/>
      <c r="AH562" s="4"/>
      <c r="AI562" s="4"/>
      <c r="AL562" s="4" t="str">
        <f t="shared" si="1"/>
        <v>Cluster 13</v>
      </c>
      <c r="AM562" s="4" t="str">
        <f t="shared" si="2"/>
        <v>GIDADO MUKHTAR LINK</v>
      </c>
    </row>
    <row r="563">
      <c r="A563" s="3">
        <f>IFERROR(__xludf.DUMMYFUNCTION("""COMPUTED_VALUE"""),45861.87940479167)</f>
        <v>45861.8794</v>
      </c>
      <c r="B563" s="4" t="str">
        <f>IFERROR(__xludf.DUMMYFUNCTION("""COMPUTED_VALUE"""),"elhabs256@gmail.com")</f>
        <v>elhabs256@gmail.com</v>
      </c>
      <c r="C563" s="4" t="str">
        <f>IFERROR(__xludf.DUMMYFUNCTION("""COMPUTED_VALUE"""),"Abdullahi Elhabeeb")</f>
        <v>Abdullahi Elhabeeb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 t="str">
        <f>IFERROR(__xludf.DUMMYFUNCTION("""COMPUTED_VALUE"""),"Cluster 13")</f>
        <v>Cluster 13</v>
      </c>
      <c r="Q563" s="4"/>
      <c r="R563" s="4"/>
      <c r="S563" s="4"/>
      <c r="T563" s="4" t="str">
        <f>IFERROR(__xludf.DUMMYFUNCTION("""COMPUTED_VALUE"""),"GIDADO MUKHTAR LINK")</f>
        <v>GIDADO MUKHTAR LINK</v>
      </c>
      <c r="U563" s="4"/>
      <c r="V563" s="4"/>
      <c r="W563" s="4"/>
      <c r="X563" s="4"/>
      <c r="Y563" s="4"/>
      <c r="Z563" s="4"/>
      <c r="AA563" s="4"/>
      <c r="AB563" s="4" t="str">
        <f>IFERROR(__xludf.DUMMYFUNCTION("""COMPUTED_VALUE"""),"Point 1")</f>
        <v>Point 1</v>
      </c>
      <c r="AC563" s="4">
        <f>IFERROR(__xludf.DUMMYFUNCTION("""COMPUTED_VALUE"""),8.552105)</f>
        <v>8.552105</v>
      </c>
      <c r="AD563" s="4">
        <f>IFERROR(__xludf.DUMMYFUNCTION("""COMPUTED_VALUE"""),11.989888)</f>
        <v>11.989888</v>
      </c>
      <c r="AE563" s="5" t="str">
        <f>IFERROR(__xludf.DUMMYFUNCTION("""COMPUTED_VALUE"""),"https://drive.google.com/open?id=1pcFuZ3-abnxOotHAtZkSb_1vh79-0UcM")</f>
        <v>https://drive.google.com/open?id=1pcFuZ3-abnxOotHAtZkSb_1vh79-0UcM</v>
      </c>
      <c r="AF563" s="4"/>
      <c r="AG563" s="4"/>
      <c r="AH563" s="4"/>
      <c r="AI563" s="4"/>
      <c r="AL563" s="4" t="str">
        <f t="shared" si="1"/>
        <v>Cluster 13</v>
      </c>
      <c r="AM563" s="4" t="str">
        <f t="shared" si="2"/>
        <v>GIDADO MUKHTAR LINK</v>
      </c>
    </row>
    <row r="564">
      <c r="A564" s="3">
        <f>IFERROR(__xludf.DUMMYFUNCTION("""COMPUTED_VALUE"""),45859.953557395835)</f>
        <v>45859.95356</v>
      </c>
      <c r="B564" s="4" t="str">
        <f>IFERROR(__xludf.DUMMYFUNCTION("""COMPUTED_VALUE"""),"iahmadzakari@gmail.com")</f>
        <v>iahmadzakari@gmail.com</v>
      </c>
      <c r="C564" s="4" t="str">
        <f>IFERROR(__xludf.DUMMYFUNCTION("""COMPUTED_VALUE"""),"Sadiq Ilu")</f>
        <v>Sadiq Ilu</v>
      </c>
      <c r="D564" s="4" t="str">
        <f>IFERROR(__xludf.DUMMYFUNCTION("""COMPUTED_VALUE"""),"Cluster 17")</f>
        <v>Cluster 17</v>
      </c>
      <c r="E564" s="4"/>
      <c r="F564" s="4"/>
      <c r="G564" s="4"/>
      <c r="H564" s="4"/>
      <c r="I564" s="4" t="str">
        <f>IFERROR(__xludf.DUMMYFUNCTION("""COMPUTED_VALUE"""),"SABARA AVENUE")</f>
        <v>SABARA AVENUE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 t="str">
        <f>IFERROR(__xludf.DUMMYFUNCTION("""COMPUTED_VALUE"""),"Point 1")</f>
        <v>Point 1</v>
      </c>
      <c r="AC564" s="4">
        <f>IFERROR(__xludf.DUMMYFUNCTION("""COMPUTED_VALUE"""),11.983503)</f>
        <v>11.983503</v>
      </c>
      <c r="AD564" s="4">
        <f>IFERROR(__xludf.DUMMYFUNCTION("""COMPUTED_VALUE"""),8.566164)</f>
        <v>8.566164</v>
      </c>
      <c r="AE564" s="5" t="str">
        <f>IFERROR(__xludf.DUMMYFUNCTION("""COMPUTED_VALUE"""),"https://drive.google.com/open?id=1IENeYfBpEoeK2WP26YBE05aIJemcpdHg")</f>
        <v>https://drive.google.com/open?id=1IENeYfBpEoeK2WP26YBE05aIJemcpdHg</v>
      </c>
      <c r="AF564" s="4"/>
      <c r="AG564" s="4"/>
      <c r="AH564" s="4"/>
      <c r="AI564" s="4"/>
      <c r="AL564" s="4" t="str">
        <f t="shared" si="1"/>
        <v>Cluster 17</v>
      </c>
      <c r="AM564" s="4" t="str">
        <f t="shared" si="2"/>
        <v>SABARA AVENUE</v>
      </c>
    </row>
    <row r="565">
      <c r="A565" s="3">
        <f>IFERROR(__xludf.DUMMYFUNCTION("""COMPUTED_VALUE"""),45859.95249171296)</f>
        <v>45859.95249</v>
      </c>
      <c r="B565" s="4" t="str">
        <f>IFERROR(__xludf.DUMMYFUNCTION("""COMPUTED_VALUE"""),"iahmadzakari@gmail.com")</f>
        <v>iahmadzakari@gmail.com</v>
      </c>
      <c r="C565" s="4" t="str">
        <f>IFERROR(__xludf.DUMMYFUNCTION("""COMPUTED_VALUE"""),"Sadiq Ilu")</f>
        <v>Sadiq Ilu</v>
      </c>
      <c r="D565" s="4" t="str">
        <f>IFERROR(__xludf.DUMMYFUNCTION("""COMPUTED_VALUE"""),"Cluster 17")</f>
        <v>Cluster 17</v>
      </c>
      <c r="E565" s="4"/>
      <c r="F565" s="4"/>
      <c r="G565" s="4"/>
      <c r="H565" s="4"/>
      <c r="I565" s="4" t="str">
        <f>IFERROR(__xludf.DUMMYFUNCTION("""COMPUTED_VALUE"""),"SABARA AVENUE")</f>
        <v>SABARA AVENUE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 t="str">
        <f>IFERROR(__xludf.DUMMYFUNCTION("""COMPUTED_VALUE"""),"Point 2")</f>
        <v>Point 2</v>
      </c>
      <c r="AC565" s="4">
        <f>IFERROR(__xludf.DUMMYFUNCTION("""COMPUTED_VALUE"""),11.980155)</f>
        <v>11.980155</v>
      </c>
      <c r="AD565" s="4">
        <f>IFERROR(__xludf.DUMMYFUNCTION("""COMPUTED_VALUE"""),8.569674)</f>
        <v>8.569674</v>
      </c>
      <c r="AE565" s="5" t="str">
        <f>IFERROR(__xludf.DUMMYFUNCTION("""COMPUTED_VALUE"""),"https://drive.google.com/open?id=1ww7_HHZ8epMq1ptF-yUPsTx3fMbRq9WX")</f>
        <v>https://drive.google.com/open?id=1ww7_HHZ8epMq1ptF-yUPsTx3fMbRq9WX</v>
      </c>
      <c r="AF565" s="4"/>
      <c r="AG565" s="4"/>
      <c r="AH565" s="4"/>
      <c r="AI565" s="4"/>
      <c r="AL565" s="4" t="str">
        <f t="shared" si="1"/>
        <v>Cluster 17</v>
      </c>
      <c r="AM565" s="4" t="str">
        <f t="shared" si="2"/>
        <v>SABARA AVENUE</v>
      </c>
    </row>
    <row r="566">
      <c r="A566" s="3">
        <f>IFERROR(__xludf.DUMMYFUNCTION("""COMPUTED_VALUE"""),45859.94914460648)</f>
        <v>45859.94914</v>
      </c>
      <c r="B566" s="4" t="str">
        <f>IFERROR(__xludf.DUMMYFUNCTION("""COMPUTED_VALUE"""),"iahmadzakari@gmail.com")</f>
        <v>iahmadzakari@gmail.com</v>
      </c>
      <c r="C566" s="4" t="str">
        <f>IFERROR(__xludf.DUMMYFUNCTION("""COMPUTED_VALUE"""),"Sadiq Ilu")</f>
        <v>Sadiq Ilu</v>
      </c>
      <c r="D566" s="4" t="str">
        <f>IFERROR(__xludf.DUMMYFUNCTION("""COMPUTED_VALUE"""),"Cluster 17")</f>
        <v>Cluster 17</v>
      </c>
      <c r="E566" s="4"/>
      <c r="F566" s="4"/>
      <c r="G566" s="4"/>
      <c r="H566" s="4"/>
      <c r="I566" s="4" t="str">
        <f>IFERROR(__xludf.DUMMYFUNCTION("""COMPUTED_VALUE"""),"MA'AJIN WATARI STREET")</f>
        <v>MA'AJIN WATARI STREET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 t="str">
        <f>IFERROR(__xludf.DUMMYFUNCTION("""COMPUTED_VALUE"""),"Point 1")</f>
        <v>Point 1</v>
      </c>
      <c r="AC566" s="4">
        <f>IFERROR(__xludf.DUMMYFUNCTION("""COMPUTED_VALUE"""),11.978138)</f>
        <v>11.978138</v>
      </c>
      <c r="AD566" s="4">
        <f>IFERROR(__xludf.DUMMYFUNCTION("""COMPUTED_VALUE"""),8.568321)</f>
        <v>8.568321</v>
      </c>
      <c r="AE566" s="5" t="str">
        <f>IFERROR(__xludf.DUMMYFUNCTION("""COMPUTED_VALUE"""),"https://drive.google.com/open?id=1DFhHsqMYE5fRDUV83ZhWBAYusYDCR2U3")</f>
        <v>https://drive.google.com/open?id=1DFhHsqMYE5fRDUV83ZhWBAYusYDCR2U3</v>
      </c>
      <c r="AF566" s="4"/>
      <c r="AG566" s="4"/>
      <c r="AH566" s="4"/>
      <c r="AI566" s="4"/>
      <c r="AL566" s="4" t="str">
        <f t="shared" si="1"/>
        <v>Cluster 17</v>
      </c>
      <c r="AM566" s="4" t="str">
        <f t="shared" si="2"/>
        <v>MA'AJIN WATARI STREET</v>
      </c>
    </row>
    <row r="567">
      <c r="A567" s="3">
        <f>IFERROR(__xludf.DUMMYFUNCTION("""COMPUTED_VALUE"""),45859.948272442125)</f>
        <v>45859.94827</v>
      </c>
      <c r="B567" s="4" t="str">
        <f>IFERROR(__xludf.DUMMYFUNCTION("""COMPUTED_VALUE"""),"iahmadzakari@gmail.com")</f>
        <v>iahmadzakari@gmail.com</v>
      </c>
      <c r="C567" s="4" t="str">
        <f>IFERROR(__xludf.DUMMYFUNCTION("""COMPUTED_VALUE"""),"Sadiq Ilu")</f>
        <v>Sadiq Ilu</v>
      </c>
      <c r="D567" s="4" t="str">
        <f>IFERROR(__xludf.DUMMYFUNCTION("""COMPUTED_VALUE"""),"Cluster 17")</f>
        <v>Cluster 17</v>
      </c>
      <c r="E567" s="4"/>
      <c r="F567" s="4"/>
      <c r="G567" s="4"/>
      <c r="H567" s="4"/>
      <c r="I567" s="4" t="str">
        <f>IFERROR(__xludf.DUMMYFUNCTION("""COMPUTED_VALUE"""),"MA'AJIN WATARI STREET")</f>
        <v>MA'AJIN WATARI STREET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 t="str">
        <f>IFERROR(__xludf.DUMMYFUNCTION("""COMPUTED_VALUE"""),"Point 2")</f>
        <v>Point 2</v>
      </c>
      <c r="AC567" s="4">
        <f>IFERROR(__xludf.DUMMYFUNCTION("""COMPUTED_VALUE"""),11.979791)</f>
        <v>11.979791</v>
      </c>
      <c r="AD567" s="4">
        <f>IFERROR(__xludf.DUMMYFUNCTION("""COMPUTED_VALUE"""),8.565612)</f>
        <v>8.565612</v>
      </c>
      <c r="AE567" s="5" t="str">
        <f>IFERROR(__xludf.DUMMYFUNCTION("""COMPUTED_VALUE"""),"https://drive.google.com/open?id=14rmOOQGJBb8hU7jnv-QDnvEkREwExH8Q")</f>
        <v>https://drive.google.com/open?id=14rmOOQGJBb8hU7jnv-QDnvEkREwExH8Q</v>
      </c>
      <c r="AF567" s="4"/>
      <c r="AG567" s="4"/>
      <c r="AH567" s="4"/>
      <c r="AI567" s="4"/>
      <c r="AL567" s="4" t="str">
        <f t="shared" si="1"/>
        <v>Cluster 17</v>
      </c>
      <c r="AM567" s="4" t="str">
        <f t="shared" si="2"/>
        <v>MA'AJIN WATARI STREET</v>
      </c>
    </row>
    <row r="568">
      <c r="A568" s="3">
        <f>IFERROR(__xludf.DUMMYFUNCTION("""COMPUTED_VALUE"""),45859.94677415509)</f>
        <v>45859.94677</v>
      </c>
      <c r="B568" s="4" t="str">
        <f>IFERROR(__xludf.DUMMYFUNCTION("""COMPUTED_VALUE"""),"iahmadzakari@gmail.com")</f>
        <v>iahmadzakari@gmail.com</v>
      </c>
      <c r="C568" s="4" t="str">
        <f>IFERROR(__xludf.DUMMYFUNCTION("""COMPUTED_VALUE"""),"Sadiq Ilu")</f>
        <v>Sadiq Ilu</v>
      </c>
      <c r="D568" s="4" t="str">
        <f>IFERROR(__xludf.DUMMYFUNCTION("""COMPUTED_VALUE"""),"Cluster 17")</f>
        <v>Cluster 17</v>
      </c>
      <c r="E568" s="4"/>
      <c r="F568" s="4"/>
      <c r="G568" s="4"/>
      <c r="H568" s="4"/>
      <c r="I568" s="4" t="str">
        <f>IFERROR(__xludf.DUMMYFUNCTION("""COMPUTED_VALUE"""),"ADAMU BAKER STREET")</f>
        <v>ADAMU BAKER STREET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 t="str">
        <f>IFERROR(__xludf.DUMMYFUNCTION("""COMPUTED_VALUE"""),"Point 1")</f>
        <v>Point 1</v>
      </c>
      <c r="AC568" s="4">
        <f>IFERROR(__xludf.DUMMYFUNCTION("""COMPUTED_VALUE"""),11.976828)</f>
        <v>11.976828</v>
      </c>
      <c r="AD568" s="4">
        <f>IFERROR(__xludf.DUMMYFUNCTION("""COMPUTED_VALUE"""),8.567587)</f>
        <v>8.567587</v>
      </c>
      <c r="AE568" s="5" t="str">
        <f>IFERROR(__xludf.DUMMYFUNCTION("""COMPUTED_VALUE"""),"https://drive.google.com/open?id=103KqixgR4uW7aXUyUzMaS-xFNFuqZ8GJ")</f>
        <v>https://drive.google.com/open?id=103KqixgR4uW7aXUyUzMaS-xFNFuqZ8GJ</v>
      </c>
      <c r="AF568" s="4"/>
      <c r="AG568" s="4"/>
      <c r="AH568" s="4"/>
      <c r="AI568" s="4"/>
      <c r="AL568" s="4" t="str">
        <f t="shared" si="1"/>
        <v>Cluster 17</v>
      </c>
      <c r="AM568" s="4" t="str">
        <f t="shared" si="2"/>
        <v>ADAMU BAKER STREET</v>
      </c>
    </row>
    <row r="569">
      <c r="A569" s="3">
        <f>IFERROR(__xludf.DUMMYFUNCTION("""COMPUTED_VALUE"""),45859.945625532404)</f>
        <v>45859.94563</v>
      </c>
      <c r="B569" s="4" t="str">
        <f>IFERROR(__xludf.DUMMYFUNCTION("""COMPUTED_VALUE"""),"iahmadzakari@gmail.com")</f>
        <v>iahmadzakari@gmail.com</v>
      </c>
      <c r="C569" s="4" t="str">
        <f>IFERROR(__xludf.DUMMYFUNCTION("""COMPUTED_VALUE"""),"Sadiq Ilu")</f>
        <v>Sadiq Ilu</v>
      </c>
      <c r="D569" s="4" t="str">
        <f>IFERROR(__xludf.DUMMYFUNCTION("""COMPUTED_VALUE"""),"Cluster 17")</f>
        <v>Cluster 17</v>
      </c>
      <c r="E569" s="4"/>
      <c r="F569" s="4"/>
      <c r="G569" s="4"/>
      <c r="H569" s="4"/>
      <c r="I569" s="4" t="str">
        <f>IFERROR(__xludf.DUMMYFUNCTION("""COMPUTED_VALUE"""),"KWANAR MAGGI STREET")</f>
        <v>KWANAR MAGGI STREET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 t="str">
        <f>IFERROR(__xludf.DUMMYFUNCTION("""COMPUTED_VALUE"""),"Point 2")</f>
        <v>Point 2</v>
      </c>
      <c r="AC569" s="4">
        <f>IFERROR(__xludf.DUMMYFUNCTION("""COMPUTED_VALUE"""),11.980774)</f>
        <v>11.980774</v>
      </c>
      <c r="AD569" s="4">
        <f>IFERROR(__xludf.DUMMYFUNCTION("""COMPUTED_VALUE"""),8.571182)</f>
        <v>8.571182</v>
      </c>
      <c r="AE569" s="5" t="str">
        <f>IFERROR(__xludf.DUMMYFUNCTION("""COMPUTED_VALUE"""),"https://drive.google.com/open?id=1KlyD9gF4d71236pRvmIVHeUpkhFs_6h7")</f>
        <v>https://drive.google.com/open?id=1KlyD9gF4d71236pRvmIVHeUpkhFs_6h7</v>
      </c>
      <c r="AF569" s="4"/>
      <c r="AG569" s="4"/>
      <c r="AH569" s="4"/>
      <c r="AI569" s="4"/>
      <c r="AL569" s="4" t="str">
        <f t="shared" si="1"/>
        <v>Cluster 17</v>
      </c>
      <c r="AM569" s="4" t="str">
        <f t="shared" si="2"/>
        <v>KWANAR MAGGI STREET</v>
      </c>
    </row>
    <row r="570">
      <c r="A570" s="3">
        <f>IFERROR(__xludf.DUMMYFUNCTION("""COMPUTED_VALUE"""),45859.94448560185)</f>
        <v>45859.94449</v>
      </c>
      <c r="B570" s="4" t="str">
        <f>IFERROR(__xludf.DUMMYFUNCTION("""COMPUTED_VALUE"""),"iahmadzakari@gmail.com")</f>
        <v>iahmadzakari@gmail.com</v>
      </c>
      <c r="C570" s="4" t="str">
        <f>IFERROR(__xludf.DUMMYFUNCTION("""COMPUTED_VALUE"""),"Sadiq Ilu")</f>
        <v>Sadiq Ilu</v>
      </c>
      <c r="D570" s="4" t="str">
        <f>IFERROR(__xludf.DUMMYFUNCTION("""COMPUTED_VALUE"""),"Cluster 17")</f>
        <v>Cluster 17</v>
      </c>
      <c r="E570" s="4"/>
      <c r="F570" s="4"/>
      <c r="G570" s="4"/>
      <c r="H570" s="4"/>
      <c r="I570" s="4" t="str">
        <f>IFERROR(__xludf.DUMMYFUNCTION("""COMPUTED_VALUE"""),"KWANAR MAGGI STREET")</f>
        <v>KWANAR MAGGI STREET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 t="str">
        <f>IFERROR(__xludf.DUMMYFUNCTION("""COMPUTED_VALUE"""),"Point 1")</f>
        <v>Point 1</v>
      </c>
      <c r="AC570" s="4">
        <f>IFERROR(__xludf.DUMMYFUNCTION("""COMPUTED_VALUE"""),11.976173)</f>
        <v>11.976173</v>
      </c>
      <c r="AD570" s="4">
        <f>IFERROR(__xludf.DUMMYFUNCTION("""COMPUTED_VALUE"""),8.566964)</f>
        <v>8.566964</v>
      </c>
      <c r="AE570" s="5" t="str">
        <f>IFERROR(__xludf.DUMMYFUNCTION("""COMPUTED_VALUE"""),"https://drive.google.com/open?id=13eAnK8McbHPE90x-r41-rfjrkEog4Clk")</f>
        <v>https://drive.google.com/open?id=13eAnK8McbHPE90x-r41-rfjrkEog4Clk</v>
      </c>
      <c r="AF570" s="4"/>
      <c r="AG570" s="4"/>
      <c r="AH570" s="4"/>
      <c r="AI570" s="4"/>
      <c r="AL570" s="4" t="str">
        <f t="shared" si="1"/>
        <v>Cluster 17</v>
      </c>
      <c r="AM570" s="4" t="str">
        <f t="shared" si="2"/>
        <v>KWANAR MAGGI STREET</v>
      </c>
    </row>
    <row r="571">
      <c r="A571" s="3">
        <f>IFERROR(__xludf.DUMMYFUNCTION("""COMPUTED_VALUE"""),45859.94304960648)</f>
        <v>45859.94305</v>
      </c>
      <c r="B571" s="4" t="str">
        <f>IFERROR(__xludf.DUMMYFUNCTION("""COMPUTED_VALUE"""),"iahmadzakari@gmail.com")</f>
        <v>iahmadzakari@gmail.com</v>
      </c>
      <c r="C571" s="4" t="str">
        <f>IFERROR(__xludf.DUMMYFUNCTION("""COMPUTED_VALUE"""),"Sadiq Ilu")</f>
        <v>Sadiq Ilu</v>
      </c>
      <c r="D571" s="4" t="str">
        <f>IFERROR(__xludf.DUMMYFUNCTION("""COMPUTED_VALUE"""),"Cluster 17")</f>
        <v>Cluster 17</v>
      </c>
      <c r="E571" s="4"/>
      <c r="F571" s="4"/>
      <c r="G571" s="4"/>
      <c r="H571" s="4"/>
      <c r="I571" s="4" t="str">
        <f>IFERROR(__xludf.DUMMYFUNCTION("""COMPUTED_VALUE"""),"BASHIR SULE MAITAMA AVENUE")</f>
        <v>BASHIR SULE MAITAMA AVENUE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 t="str">
        <f>IFERROR(__xludf.DUMMYFUNCTION("""COMPUTED_VALUE"""),"Point 2")</f>
        <v>Point 2</v>
      </c>
      <c r="AC571" s="4">
        <f>IFERROR(__xludf.DUMMYFUNCTION("""COMPUTED_VALUE"""),11.974086)</f>
        <v>11.974086</v>
      </c>
      <c r="AD571" s="4">
        <f>IFERROR(__xludf.DUMMYFUNCTION("""COMPUTED_VALUE"""),8.565602)</f>
        <v>8.565602</v>
      </c>
      <c r="AE571" s="5" t="str">
        <f>IFERROR(__xludf.DUMMYFUNCTION("""COMPUTED_VALUE"""),"https://drive.google.com/open?id=13s1v2AsnX7c7lSLRVGw3b6hjd_tNjorp")</f>
        <v>https://drive.google.com/open?id=13s1v2AsnX7c7lSLRVGw3b6hjd_tNjorp</v>
      </c>
      <c r="AF571" s="4"/>
      <c r="AG571" s="4"/>
      <c r="AH571" s="4"/>
      <c r="AI571" s="4"/>
      <c r="AL571" s="4" t="str">
        <f t="shared" si="1"/>
        <v>Cluster 17</v>
      </c>
      <c r="AM571" s="4" t="str">
        <f t="shared" si="2"/>
        <v>BASHIR SULE MAITAMA AVENUE</v>
      </c>
    </row>
    <row r="572">
      <c r="A572" s="3">
        <f>IFERROR(__xludf.DUMMYFUNCTION("""COMPUTED_VALUE"""),45859.94208334491)</f>
        <v>45859.94208</v>
      </c>
      <c r="B572" s="4" t="str">
        <f>IFERROR(__xludf.DUMMYFUNCTION("""COMPUTED_VALUE"""),"iahmadzakari@gmail.com")</f>
        <v>iahmadzakari@gmail.com</v>
      </c>
      <c r="C572" s="4" t="str">
        <f>IFERROR(__xludf.DUMMYFUNCTION("""COMPUTED_VALUE"""),"Sadiq Ilu")</f>
        <v>Sadiq Ilu</v>
      </c>
      <c r="D572" s="4" t="str">
        <f>IFERROR(__xludf.DUMMYFUNCTION("""COMPUTED_VALUE"""),"Cluster 17")</f>
        <v>Cluster 17</v>
      </c>
      <c r="E572" s="4"/>
      <c r="F572" s="4"/>
      <c r="G572" s="4"/>
      <c r="H572" s="4"/>
      <c r="I572" s="4" t="str">
        <f>IFERROR(__xludf.DUMMYFUNCTION("""COMPUTED_VALUE"""),"BASHIR SULE MAITAMA AVENUE")</f>
        <v>BASHIR SULE MAITAMA AVENUE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 t="str">
        <f>IFERROR(__xludf.DUMMYFUNCTION("""COMPUTED_VALUE"""),"Point 1")</f>
        <v>Point 1</v>
      </c>
      <c r="AC572" s="4">
        <f>IFERROR(__xludf.DUMMYFUNCTION("""COMPUTED_VALUE"""),11.975828)</f>
        <v>11.975828</v>
      </c>
      <c r="AD572" s="4">
        <f>IFERROR(__xludf.DUMMYFUNCTION("""COMPUTED_VALUE"""),8.562963)</f>
        <v>8.562963</v>
      </c>
      <c r="AE572" s="5" t="str">
        <f>IFERROR(__xludf.DUMMYFUNCTION("""COMPUTED_VALUE"""),"https://drive.google.com/open?id=1Zx3GM8UenTWyHhIDzKPfa3R1Dc9KpvEW")</f>
        <v>https://drive.google.com/open?id=1Zx3GM8UenTWyHhIDzKPfa3R1Dc9KpvEW</v>
      </c>
      <c r="AF572" s="4"/>
      <c r="AG572" s="4"/>
      <c r="AH572" s="4"/>
      <c r="AI572" s="4"/>
      <c r="AL572" s="4" t="str">
        <f t="shared" si="1"/>
        <v>Cluster 17</v>
      </c>
      <c r="AM572" s="4" t="str">
        <f t="shared" si="2"/>
        <v>BASHIR SULE MAITAMA AVENUE</v>
      </c>
    </row>
    <row r="573">
      <c r="A573" s="3">
        <f>IFERROR(__xludf.DUMMYFUNCTION("""COMPUTED_VALUE"""),45859.9395644676)</f>
        <v>45859.93956</v>
      </c>
      <c r="B573" s="4" t="str">
        <f>IFERROR(__xludf.DUMMYFUNCTION("""COMPUTED_VALUE"""),"iahmadzakari@gmail.com")</f>
        <v>iahmadzakari@gmail.com</v>
      </c>
      <c r="C573" s="4" t="str">
        <f>IFERROR(__xludf.DUMMYFUNCTION("""COMPUTED_VALUE"""),"Sadiq Ilu")</f>
        <v>Sadiq Ilu</v>
      </c>
      <c r="D573" s="4" t="str">
        <f>IFERROR(__xludf.DUMMYFUNCTION("""COMPUTED_VALUE"""),"Cluster 3")</f>
        <v>Cluster 3</v>
      </c>
      <c r="E573" s="4" t="str">
        <f>IFERROR(__xludf.DUMMYFUNCTION("""COMPUTED_VALUE"""),"BABA IMPOSSIBLE STREET")</f>
        <v>BABA IMPOSSIBLE STREET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 t="str">
        <f>IFERROR(__xludf.DUMMYFUNCTION("""COMPUTED_VALUE"""),"Point 1")</f>
        <v>Point 1</v>
      </c>
      <c r="AC573" s="4">
        <f>IFERROR(__xludf.DUMMYFUNCTION("""COMPUTED_VALUE"""),11.968107)</f>
        <v>11.968107</v>
      </c>
      <c r="AD573" s="4">
        <f>IFERROR(__xludf.DUMMYFUNCTION("""COMPUTED_VALUE"""),8.554487)</f>
        <v>8.554487</v>
      </c>
      <c r="AE573" s="5" t="str">
        <f>IFERROR(__xludf.DUMMYFUNCTION("""COMPUTED_VALUE"""),"https://drive.google.com/open?id=1yjmLgfRIEVEKo-xXCNsxsAgroBVlB1h4")</f>
        <v>https://drive.google.com/open?id=1yjmLgfRIEVEKo-xXCNsxsAgroBVlB1h4</v>
      </c>
      <c r="AF573" s="4"/>
      <c r="AG573" s="4"/>
      <c r="AH573" s="4"/>
      <c r="AI573" s="4"/>
      <c r="AL573" s="4" t="str">
        <f t="shared" si="1"/>
        <v>Cluster 3</v>
      </c>
      <c r="AM573" s="4" t="str">
        <f t="shared" si="2"/>
        <v>BABA IMPOSSIBLE STREET</v>
      </c>
    </row>
    <row r="574">
      <c r="A574" s="3">
        <f>IFERROR(__xludf.DUMMYFUNCTION("""COMPUTED_VALUE"""),45859.9383312037)</f>
        <v>45859.93833</v>
      </c>
      <c r="B574" s="4" t="str">
        <f>IFERROR(__xludf.DUMMYFUNCTION("""COMPUTED_VALUE"""),"iahmadzakari@gmail.com")</f>
        <v>iahmadzakari@gmail.com</v>
      </c>
      <c r="C574" s="4" t="str">
        <f>IFERROR(__xludf.DUMMYFUNCTION("""COMPUTED_VALUE"""),"Sadiq Ilu")</f>
        <v>Sadiq Ilu</v>
      </c>
      <c r="D574" s="4" t="str">
        <f>IFERROR(__xludf.DUMMYFUNCTION("""COMPUTED_VALUE"""),"Cluster 3")</f>
        <v>Cluster 3</v>
      </c>
      <c r="E574" s="4" t="str">
        <f>IFERROR(__xludf.DUMMYFUNCTION("""COMPUTED_VALUE"""),"BABA IMPOSSIBLE STREET")</f>
        <v>BABA IMPOSSIBLE STREET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 t="str">
        <f>IFERROR(__xludf.DUMMYFUNCTION("""COMPUTED_VALUE"""),"Point 2")</f>
        <v>Point 2</v>
      </c>
      <c r="AC574" s="4">
        <f>IFERROR(__xludf.DUMMYFUNCTION("""COMPUTED_VALUE"""),11.963129)</f>
        <v>11.963129</v>
      </c>
      <c r="AD574" s="4">
        <f>IFERROR(__xludf.DUMMYFUNCTION("""COMPUTED_VALUE"""),8.562111)</f>
        <v>8.562111</v>
      </c>
      <c r="AE574" s="5" t="str">
        <f>IFERROR(__xludf.DUMMYFUNCTION("""COMPUTED_VALUE"""),"https://drive.google.com/open?id=1Tg1HUBn_uUb10ui6lz10xF4xDgWeZdur")</f>
        <v>https://drive.google.com/open?id=1Tg1HUBn_uUb10ui6lz10xF4xDgWeZdur</v>
      </c>
      <c r="AF574" s="4"/>
      <c r="AG574" s="4"/>
      <c r="AH574" s="4"/>
      <c r="AI574" s="4"/>
      <c r="AL574" s="4" t="str">
        <f t="shared" si="1"/>
        <v>Cluster 3</v>
      </c>
      <c r="AM574" s="4" t="str">
        <f t="shared" si="2"/>
        <v>BABA IMPOSSIBLE STREET</v>
      </c>
    </row>
    <row r="575">
      <c r="A575" s="3">
        <f>IFERROR(__xludf.DUMMYFUNCTION("""COMPUTED_VALUE"""),45857.777840509254)</f>
        <v>45857.77784</v>
      </c>
      <c r="B575" s="4" t="str">
        <f>IFERROR(__xludf.DUMMYFUNCTION("""COMPUTED_VALUE"""),"umrdalhatu@gmail.com")</f>
        <v>umrdalhatu@gmail.com</v>
      </c>
      <c r="C575" s="4" t="str">
        <f>IFERROR(__xludf.DUMMYFUNCTION("""COMPUTED_VALUE"""),"Umar Dalhatu")</f>
        <v>Umar Dalhatu</v>
      </c>
      <c r="D575" s="4"/>
      <c r="E575" s="4"/>
      <c r="F575" s="4"/>
      <c r="G575" s="4"/>
      <c r="H575" s="4"/>
      <c r="I575" s="4"/>
      <c r="J575" s="4" t="str">
        <f>IFERROR(__xludf.DUMMYFUNCTION("""COMPUTED_VALUE"""),"Cluster 1")</f>
        <v>Cluster 1</v>
      </c>
      <c r="K575" s="4" t="str">
        <f>IFERROR(__xludf.DUMMYFUNCTION("""COMPUTED_VALUE"""),"MUH'D FAITH KARUBE STREET")</f>
        <v>MUH'D FAITH KARUBE STREET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 t="str">
        <f>IFERROR(__xludf.DUMMYFUNCTION("""COMPUTED_VALUE"""),"Point 1")</f>
        <v>Point 1</v>
      </c>
      <c r="AC575" s="4">
        <f>IFERROR(__xludf.DUMMYFUNCTION("""COMPUTED_VALUE"""),11.9913217)</f>
        <v>11.9913217</v>
      </c>
      <c r="AD575" s="4">
        <f>IFERROR(__xludf.DUMMYFUNCTION("""COMPUTED_VALUE"""),8.571844703)</f>
        <v>8.571844703</v>
      </c>
      <c r="AE575" s="5" t="str">
        <f>IFERROR(__xludf.DUMMYFUNCTION("""COMPUTED_VALUE"""),"https://drive.google.com/open?id=1B_JuN1XiZOe2tX3zhJwxMXKm4EUEkJ5H")</f>
        <v>https://drive.google.com/open?id=1B_JuN1XiZOe2tX3zhJwxMXKm4EUEkJ5H</v>
      </c>
      <c r="AF575" s="4"/>
      <c r="AG575" s="4"/>
      <c r="AH575" s="4"/>
      <c r="AI575" s="4"/>
      <c r="AL575" s="4" t="str">
        <f t="shared" si="1"/>
        <v>Cluster 1</v>
      </c>
      <c r="AM575" s="4" t="str">
        <f t="shared" si="2"/>
        <v>MUH'D FAITH KARUBE STREET</v>
      </c>
    </row>
    <row r="576">
      <c r="A576" s="3">
        <f>IFERROR(__xludf.DUMMYFUNCTION("""COMPUTED_VALUE"""),45857.777840509254)</f>
        <v>45857.77784</v>
      </c>
      <c r="B576" s="4" t="str">
        <f>IFERROR(__xludf.DUMMYFUNCTION("""COMPUTED_VALUE"""),"umrdalhatu@gmail.com")</f>
        <v>umrdalhatu@gmail.com</v>
      </c>
      <c r="C576" s="4" t="str">
        <f>IFERROR(__xludf.DUMMYFUNCTION("""COMPUTED_VALUE"""),"Umar Dalhatu")</f>
        <v>Umar Dalhatu</v>
      </c>
      <c r="D576" s="4"/>
      <c r="E576" s="4"/>
      <c r="F576" s="4"/>
      <c r="G576" s="4"/>
      <c r="H576" s="4"/>
      <c r="I576" s="4"/>
      <c r="J576" s="4" t="str">
        <f>IFERROR(__xludf.DUMMYFUNCTION("""COMPUTED_VALUE"""),"Cluster 1")</f>
        <v>Cluster 1</v>
      </c>
      <c r="K576" s="4" t="str">
        <f>IFERROR(__xludf.DUMMYFUNCTION("""COMPUTED_VALUE"""),"MUH'D FAITH KARUBE STREET")</f>
        <v>MUH'D FAITH KARUBE STREET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 t="str">
        <f>IFERROR(__xludf.DUMMYFUNCTION("""COMPUTED_VALUE"""),"Point 1")</f>
        <v>Point 1</v>
      </c>
      <c r="AC576" s="4">
        <f>IFERROR(__xludf.DUMMYFUNCTION("""COMPUTED_VALUE"""),11.9913217)</f>
        <v>11.9913217</v>
      </c>
      <c r="AD576" s="4">
        <f>IFERROR(__xludf.DUMMYFUNCTION("""COMPUTED_VALUE"""),8.571844703)</f>
        <v>8.571844703</v>
      </c>
      <c r="AE576" s="5" t="str">
        <f>IFERROR(__xludf.DUMMYFUNCTION("""COMPUTED_VALUE"""),"https://drive.google.com/open?id=1B_JuN1XiZOe2tX3zhJwxMXKm4EUEkJ5H")</f>
        <v>https://drive.google.com/open?id=1B_JuN1XiZOe2tX3zhJwxMXKm4EUEkJ5H</v>
      </c>
      <c r="AF576" s="4"/>
      <c r="AG576" s="4"/>
      <c r="AH576" s="4"/>
      <c r="AI576" s="4"/>
      <c r="AL576" s="4" t="str">
        <f t="shared" si="1"/>
        <v>Cluster 1</v>
      </c>
      <c r="AM576" s="4" t="str">
        <f t="shared" si="2"/>
        <v>MUH'D FAITH KARUBE STREET</v>
      </c>
    </row>
    <row r="577">
      <c r="A577" s="3">
        <f>IFERROR(__xludf.DUMMYFUNCTION("""COMPUTED_VALUE"""),45857.7766537037)</f>
        <v>45857.77665</v>
      </c>
      <c r="B577" s="4" t="str">
        <f>IFERROR(__xludf.DUMMYFUNCTION("""COMPUTED_VALUE"""),"umrdalhatu@gmail.com")</f>
        <v>umrdalhatu@gmail.com</v>
      </c>
      <c r="C577" s="4" t="str">
        <f>IFERROR(__xludf.DUMMYFUNCTION("""COMPUTED_VALUE"""),"Umar Dalhatu")</f>
        <v>Umar Dalhatu</v>
      </c>
      <c r="D577" s="4"/>
      <c r="E577" s="4"/>
      <c r="F577" s="4"/>
      <c r="G577" s="4"/>
      <c r="H577" s="4"/>
      <c r="I577" s="4"/>
      <c r="J577" s="4" t="str">
        <f>IFERROR(__xludf.DUMMYFUNCTION("""COMPUTED_VALUE"""),"Cluster 1")</f>
        <v>Cluster 1</v>
      </c>
      <c r="K577" s="4" t="str">
        <f>IFERROR(__xludf.DUMMYFUNCTION("""COMPUTED_VALUE"""),"AMB. BUBA AHMED STREET")</f>
        <v>AMB. BUBA AHMED STREET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 t="str">
        <f>IFERROR(__xludf.DUMMYFUNCTION("""COMPUTED_VALUE"""),"Point 2")</f>
        <v>Point 2</v>
      </c>
      <c r="AC577" s="4">
        <f>IFERROR(__xludf.DUMMYFUNCTION("""COMPUTED_VALUE"""),11.9913217)</f>
        <v>11.9913217</v>
      </c>
      <c r="AD577" s="4">
        <f>IFERROR(__xludf.DUMMYFUNCTION("""COMPUTED_VALUE"""),8.571844703)</f>
        <v>8.571844703</v>
      </c>
      <c r="AE577" s="5" t="str">
        <f>IFERROR(__xludf.DUMMYFUNCTION("""COMPUTED_VALUE"""),"https://drive.google.com/open?id=1U1h3De3W_iE7go9YF-ltV7NwZHgF7DeA")</f>
        <v>https://drive.google.com/open?id=1U1h3De3W_iE7go9YF-ltV7NwZHgF7DeA</v>
      </c>
      <c r="AF577" s="4"/>
      <c r="AG577" s="4"/>
      <c r="AH577" s="4"/>
      <c r="AI577" s="4"/>
      <c r="AL577" s="4" t="str">
        <f t="shared" si="1"/>
        <v>Cluster 1</v>
      </c>
      <c r="AM577" s="4" t="str">
        <f t="shared" si="2"/>
        <v>AMB. BUBA AHMED STREET</v>
      </c>
    </row>
    <row r="578">
      <c r="A578" s="3">
        <f>IFERROR(__xludf.DUMMYFUNCTION("""COMPUTED_VALUE"""),45857.775980543985)</f>
        <v>45857.77598</v>
      </c>
      <c r="B578" s="4" t="str">
        <f>IFERROR(__xludf.DUMMYFUNCTION("""COMPUTED_VALUE"""),"umrdalhatu@gmail.com")</f>
        <v>umrdalhatu@gmail.com</v>
      </c>
      <c r="C578" s="4" t="str">
        <f>IFERROR(__xludf.DUMMYFUNCTION("""COMPUTED_VALUE"""),"Umar Dalhatu")</f>
        <v>Umar Dalhatu</v>
      </c>
      <c r="D578" s="4"/>
      <c r="E578" s="4"/>
      <c r="F578" s="4"/>
      <c r="G578" s="4"/>
      <c r="H578" s="4"/>
      <c r="I578" s="4"/>
      <c r="J578" s="4" t="str">
        <f>IFERROR(__xludf.DUMMYFUNCTION("""COMPUTED_VALUE"""),"Cluster 1")</f>
        <v>Cluster 1</v>
      </c>
      <c r="K578" s="4" t="str">
        <f>IFERROR(__xludf.DUMMYFUNCTION("""COMPUTED_VALUE"""),"AMB. BUBA AHMED STREET")</f>
        <v>AMB. BUBA AHMED STREET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 t="str">
        <f>IFERROR(__xludf.DUMMYFUNCTION("""COMPUTED_VALUE"""),"Point 1")</f>
        <v>Point 1</v>
      </c>
      <c r="AC578" s="4">
        <f>IFERROR(__xludf.DUMMYFUNCTION("""COMPUTED_VALUE"""),11.9918821)</f>
        <v>11.9918821</v>
      </c>
      <c r="AD578" s="4">
        <f>IFERROR(__xludf.DUMMYFUNCTION("""COMPUTED_VALUE"""),8.571844057)</f>
        <v>8.571844057</v>
      </c>
      <c r="AE578" s="5" t="str">
        <f>IFERROR(__xludf.DUMMYFUNCTION("""COMPUTED_VALUE"""),"https://drive.google.com/open?id=1Z3vKJB-oZl50FBTza9ybiJF76BSoGayI")</f>
        <v>https://drive.google.com/open?id=1Z3vKJB-oZl50FBTza9ybiJF76BSoGayI</v>
      </c>
      <c r="AF578" s="4"/>
      <c r="AG578" s="4"/>
      <c r="AH578" s="4"/>
      <c r="AI578" s="4"/>
      <c r="AL578" s="4" t="str">
        <f t="shared" si="1"/>
        <v>Cluster 1</v>
      </c>
      <c r="AM578" s="4" t="str">
        <f t="shared" si="2"/>
        <v>AMB. BUBA AHMED STREET</v>
      </c>
    </row>
    <row r="579">
      <c r="A579" s="3">
        <f>IFERROR(__xludf.DUMMYFUNCTION("""COMPUTED_VALUE"""),45857.77495702547)</f>
        <v>45857.77496</v>
      </c>
      <c r="B579" s="4" t="str">
        <f>IFERROR(__xludf.DUMMYFUNCTION("""COMPUTED_VALUE"""),"umrdalhatu@gmail.com")</f>
        <v>umrdalhatu@gmail.com</v>
      </c>
      <c r="C579" s="4" t="str">
        <f>IFERROR(__xludf.DUMMYFUNCTION("""COMPUTED_VALUE"""),"Umar Dalhatu")</f>
        <v>Umar Dalhatu</v>
      </c>
      <c r="D579" s="4"/>
      <c r="E579" s="4"/>
      <c r="F579" s="4"/>
      <c r="G579" s="4"/>
      <c r="H579" s="4"/>
      <c r="I579" s="4"/>
      <c r="J579" s="4" t="str">
        <f>IFERROR(__xludf.DUMMYFUNCTION("""COMPUTED_VALUE"""),"Cluster 1")</f>
        <v>Cluster 1</v>
      </c>
      <c r="K579" s="4" t="str">
        <f>IFERROR(__xludf.DUMMYFUNCTION("""COMPUTED_VALUE"""),"MAIMUNA LINK")</f>
        <v>MAIMUNA LINK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 t="str">
        <f>IFERROR(__xludf.DUMMYFUNCTION("""COMPUTED_VALUE"""),"Point 2")</f>
        <v>Point 2</v>
      </c>
      <c r="AC579" s="4">
        <f>IFERROR(__xludf.DUMMYFUNCTION("""COMPUTED_VALUE"""),11.9918821)</f>
        <v>11.9918821</v>
      </c>
      <c r="AD579" s="4">
        <f>IFERROR(__xludf.DUMMYFUNCTION("""COMPUTED_VALUE"""),8.571844057)</f>
        <v>8.571844057</v>
      </c>
      <c r="AE579" s="5" t="str">
        <f>IFERROR(__xludf.DUMMYFUNCTION("""COMPUTED_VALUE"""),"https://drive.google.com/open?id=1OVzvtjCXfQ5sflRmhJe016XZHTuiVdFA")</f>
        <v>https://drive.google.com/open?id=1OVzvtjCXfQ5sflRmhJe016XZHTuiVdFA</v>
      </c>
      <c r="AF579" s="4"/>
      <c r="AG579" s="4"/>
      <c r="AH579" s="4"/>
      <c r="AI579" s="4"/>
      <c r="AL579" s="4" t="str">
        <f t="shared" si="1"/>
        <v>Cluster 1</v>
      </c>
      <c r="AM579" s="4" t="str">
        <f t="shared" si="2"/>
        <v>MAIMUNA LINK</v>
      </c>
    </row>
    <row r="580">
      <c r="A580" s="3">
        <f>IFERROR(__xludf.DUMMYFUNCTION("""COMPUTED_VALUE"""),45857.774340902775)</f>
        <v>45857.77434</v>
      </c>
      <c r="B580" s="4" t="str">
        <f>IFERROR(__xludf.DUMMYFUNCTION("""COMPUTED_VALUE"""),"umrdalhatu@gmail.com")</f>
        <v>umrdalhatu@gmail.com</v>
      </c>
      <c r="C580" s="4" t="str">
        <f>IFERROR(__xludf.DUMMYFUNCTION("""COMPUTED_VALUE"""),"Umar Dalhatu")</f>
        <v>Umar Dalhatu</v>
      </c>
      <c r="D580" s="4"/>
      <c r="E580" s="4"/>
      <c r="F580" s="4"/>
      <c r="G580" s="4"/>
      <c r="H580" s="4"/>
      <c r="I580" s="4"/>
      <c r="J580" s="4" t="str">
        <f>IFERROR(__xludf.DUMMYFUNCTION("""COMPUTED_VALUE"""),"Cluster 1")</f>
        <v>Cluster 1</v>
      </c>
      <c r="K580" s="4" t="str">
        <f>IFERROR(__xludf.DUMMYFUNCTION("""COMPUTED_VALUE"""),"MAIMUNA LINK")</f>
        <v>MAIMUNA LINK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 t="str">
        <f>IFERROR(__xludf.DUMMYFUNCTION("""COMPUTED_VALUE"""),"Point 1")</f>
        <v>Point 1</v>
      </c>
      <c r="AC580" s="4">
        <f>IFERROR(__xludf.DUMMYFUNCTION("""COMPUTED_VALUE"""),11.992403)</f>
        <v>11.992403</v>
      </c>
      <c r="AD580" s="4">
        <f>IFERROR(__xludf.DUMMYFUNCTION("""COMPUTED_VALUE"""),8.57183)</f>
        <v>8.57183</v>
      </c>
      <c r="AE580" s="5" t="str">
        <f>IFERROR(__xludf.DUMMYFUNCTION("""COMPUTED_VALUE"""),"https://drive.google.com/open?id=1s4wNGKffyitKSoCv5-hGAmSMX40ab0rq")</f>
        <v>https://drive.google.com/open?id=1s4wNGKffyitKSoCv5-hGAmSMX40ab0rq</v>
      </c>
      <c r="AF580" s="4"/>
      <c r="AG580" s="4"/>
      <c r="AH580" s="4"/>
      <c r="AI580" s="4"/>
      <c r="AL580" s="4" t="str">
        <f t="shared" si="1"/>
        <v>Cluster 1</v>
      </c>
      <c r="AM580" s="4" t="str">
        <f t="shared" si="2"/>
        <v>MAIMUNA LINK</v>
      </c>
    </row>
    <row r="581">
      <c r="A581" s="3">
        <f>IFERROR(__xludf.DUMMYFUNCTION("""COMPUTED_VALUE"""),45857.77296012732)</f>
        <v>45857.77296</v>
      </c>
      <c r="B581" s="4" t="str">
        <f>IFERROR(__xludf.DUMMYFUNCTION("""COMPUTED_VALUE"""),"umrdalhatu@gmail.com")</f>
        <v>umrdalhatu@gmail.com</v>
      </c>
      <c r="C581" s="4" t="str">
        <f>IFERROR(__xludf.DUMMYFUNCTION("""COMPUTED_VALUE"""),"Umar Dalhatu")</f>
        <v>Umar Dalhatu</v>
      </c>
      <c r="D581" s="4"/>
      <c r="E581" s="4"/>
      <c r="F581" s="4"/>
      <c r="G581" s="4"/>
      <c r="H581" s="4"/>
      <c r="I581" s="4"/>
      <c r="J581" s="4" t="str">
        <f>IFERROR(__xludf.DUMMYFUNCTION("""COMPUTED_VALUE"""),"Cluster 1")</f>
        <v>Cluster 1</v>
      </c>
      <c r="K581" s="4" t="str">
        <f>IFERROR(__xludf.DUMMYFUNCTION("""COMPUTED_VALUE"""),"NASIRU SAMINU LINK")</f>
        <v>NASIRU SAMINU LINK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 t="str">
        <f>IFERROR(__xludf.DUMMYFUNCTION("""COMPUTED_VALUE"""),"Point 2")</f>
        <v>Point 2</v>
      </c>
      <c r="AC581" s="4">
        <f>IFERROR(__xludf.DUMMYFUNCTION("""COMPUTED_VALUE"""),11.99357844)</f>
        <v>11.99357844</v>
      </c>
      <c r="AD581" s="4">
        <f>IFERROR(__xludf.DUMMYFUNCTION("""COMPUTED_VALUE"""),8.572088571)</f>
        <v>8.572088571</v>
      </c>
      <c r="AE581" s="5" t="str">
        <f>IFERROR(__xludf.DUMMYFUNCTION("""COMPUTED_VALUE"""),"https://drive.google.com/open?id=1zlfMHxp0cv1ha53yi03E1D3EaUaPqYUs")</f>
        <v>https://drive.google.com/open?id=1zlfMHxp0cv1ha53yi03E1D3EaUaPqYUs</v>
      </c>
      <c r="AF581" s="4"/>
      <c r="AG581" s="4"/>
      <c r="AH581" s="4"/>
      <c r="AI581" s="4"/>
      <c r="AL581" s="4" t="str">
        <f t="shared" si="1"/>
        <v>Cluster 1</v>
      </c>
      <c r="AM581" s="4" t="str">
        <f t="shared" si="2"/>
        <v>NASIRU SAMINU LINK</v>
      </c>
    </row>
    <row r="582">
      <c r="A582" s="3">
        <f>IFERROR(__xludf.DUMMYFUNCTION("""COMPUTED_VALUE"""),45857.7720991088)</f>
        <v>45857.7721</v>
      </c>
      <c r="B582" s="4" t="str">
        <f>IFERROR(__xludf.DUMMYFUNCTION("""COMPUTED_VALUE"""),"umrdalhatu@gmail.com")</f>
        <v>umrdalhatu@gmail.com</v>
      </c>
      <c r="C582" s="4" t="str">
        <f>IFERROR(__xludf.DUMMYFUNCTION("""COMPUTED_VALUE"""),"Umar Dalhatu")</f>
        <v>Umar Dalhatu</v>
      </c>
      <c r="D582" s="4"/>
      <c r="E582" s="4"/>
      <c r="F582" s="4"/>
      <c r="G582" s="4"/>
      <c r="H582" s="4"/>
      <c r="I582" s="4"/>
      <c r="J582" s="4" t="str">
        <f>IFERROR(__xludf.DUMMYFUNCTION("""COMPUTED_VALUE"""),"Cluster 1")</f>
        <v>Cluster 1</v>
      </c>
      <c r="K582" s="4" t="str">
        <f>IFERROR(__xludf.DUMMYFUNCTION("""COMPUTED_VALUE"""),"NASIRU SAMINU LINK")</f>
        <v>NASIRU SAMINU LINK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 t="str">
        <f>IFERROR(__xludf.DUMMYFUNCTION("""COMPUTED_VALUE"""),"Point 1")</f>
        <v>Point 1</v>
      </c>
      <c r="AC582" s="4">
        <f>IFERROR(__xludf.DUMMYFUNCTION("""COMPUTED_VALUE"""),11.9944163)</f>
        <v>11.9944163</v>
      </c>
      <c r="AD582" s="4">
        <f>IFERROR(__xludf.DUMMYFUNCTION("""COMPUTED_VALUE"""),8.572159484)</f>
        <v>8.572159484</v>
      </c>
      <c r="AE582" s="5" t="str">
        <f>IFERROR(__xludf.DUMMYFUNCTION("""COMPUTED_VALUE"""),"https://drive.google.com/open?id=1SUb3XbeMW8-hvmyqVb58ZD7htyhg513X")</f>
        <v>https://drive.google.com/open?id=1SUb3XbeMW8-hvmyqVb58ZD7htyhg513X</v>
      </c>
      <c r="AF582" s="4"/>
      <c r="AG582" s="4"/>
      <c r="AH582" s="4"/>
      <c r="AI582" s="4"/>
      <c r="AL582" s="4" t="str">
        <f t="shared" si="1"/>
        <v>Cluster 1</v>
      </c>
      <c r="AM582" s="4" t="str">
        <f t="shared" si="2"/>
        <v>NASIRU SAMINU LINK</v>
      </c>
    </row>
    <row r="583">
      <c r="A583" s="3">
        <f>IFERROR(__xludf.DUMMYFUNCTION("""COMPUTED_VALUE"""),45857.7702674537)</f>
        <v>45857.77027</v>
      </c>
      <c r="B583" s="4" t="str">
        <f>IFERROR(__xludf.DUMMYFUNCTION("""COMPUTED_VALUE"""),"umrdalhatu@gmail.com")</f>
        <v>umrdalhatu@gmail.com</v>
      </c>
      <c r="C583" s="4" t="str">
        <f>IFERROR(__xludf.DUMMYFUNCTION("""COMPUTED_VALUE"""),"Umar Dalhatu")</f>
        <v>Umar Dalhatu</v>
      </c>
      <c r="D583" s="4"/>
      <c r="E583" s="4"/>
      <c r="F583" s="4"/>
      <c r="G583" s="4"/>
      <c r="H583" s="4"/>
      <c r="I583" s="4"/>
      <c r="J583" s="4" t="str">
        <f>IFERROR(__xludf.DUMMYFUNCTION("""COMPUTED_VALUE"""),"Cluster 1")</f>
        <v>Cluster 1</v>
      </c>
      <c r="K583" s="4" t="str">
        <f>IFERROR(__xludf.DUMMYFUNCTION("""COMPUTED_VALUE"""),"ENGR. GAMBO ABUBAKAR STREET")</f>
        <v>ENGR. GAMBO ABUBAKAR STREET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 t="str">
        <f>IFERROR(__xludf.DUMMYFUNCTION("""COMPUTED_VALUE"""),"Point 2")</f>
        <v>Point 2</v>
      </c>
      <c r="AC583" s="4">
        <f>IFERROR(__xludf.DUMMYFUNCTION("""COMPUTED_VALUE"""),11.9944163)</f>
        <v>11.9944163</v>
      </c>
      <c r="AD583" s="4">
        <f>IFERROR(__xludf.DUMMYFUNCTION("""COMPUTED_VALUE"""),8.572159484)</f>
        <v>8.572159484</v>
      </c>
      <c r="AE583" s="5" t="str">
        <f>IFERROR(__xludf.DUMMYFUNCTION("""COMPUTED_VALUE"""),"https://drive.google.com/open?id=12tOaR6fsyc1skaasCEoQ_ZSTcOB5yPqI")</f>
        <v>https://drive.google.com/open?id=12tOaR6fsyc1skaasCEoQ_ZSTcOB5yPqI</v>
      </c>
      <c r="AF583" s="4"/>
      <c r="AG583" s="4"/>
      <c r="AH583" s="4"/>
      <c r="AI583" s="4"/>
      <c r="AL583" s="4" t="str">
        <f t="shared" si="1"/>
        <v>Cluster 1</v>
      </c>
      <c r="AM583" s="4" t="str">
        <f t="shared" si="2"/>
        <v>ENGR. GAMBO ABUBAKAR STREET</v>
      </c>
    </row>
    <row r="584">
      <c r="A584" s="3">
        <f>IFERROR(__xludf.DUMMYFUNCTION("""COMPUTED_VALUE"""),45857.769516099535)</f>
        <v>45857.76952</v>
      </c>
      <c r="B584" s="4" t="str">
        <f>IFERROR(__xludf.DUMMYFUNCTION("""COMPUTED_VALUE"""),"umrdalhatu@gmail.com")</f>
        <v>umrdalhatu@gmail.com</v>
      </c>
      <c r="C584" s="4" t="str">
        <f>IFERROR(__xludf.DUMMYFUNCTION("""COMPUTED_VALUE"""),"Umar Dalhatu")</f>
        <v>Umar Dalhatu</v>
      </c>
      <c r="D584" s="4"/>
      <c r="E584" s="4"/>
      <c r="F584" s="4"/>
      <c r="G584" s="4"/>
      <c r="H584" s="4"/>
      <c r="I584" s="4"/>
      <c r="J584" s="4" t="str">
        <f>IFERROR(__xludf.DUMMYFUNCTION("""COMPUTED_VALUE"""),"Cluster 1")</f>
        <v>Cluster 1</v>
      </c>
      <c r="K584" s="4" t="str">
        <f>IFERROR(__xludf.DUMMYFUNCTION("""COMPUTED_VALUE"""),"ENGR. GAMBO ABUBAKAR STREET")</f>
        <v>ENGR. GAMBO ABUBAKAR STREET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 t="str">
        <f>IFERROR(__xludf.DUMMYFUNCTION("""COMPUTED_VALUE"""),"Point 1")</f>
        <v>Point 1</v>
      </c>
      <c r="AC584" s="4">
        <f>IFERROR(__xludf.DUMMYFUNCTION("""COMPUTED_VALUE"""),11.99410421)</f>
        <v>11.99410421</v>
      </c>
      <c r="AD584" s="4">
        <f>IFERROR(__xludf.DUMMYFUNCTION("""COMPUTED_VALUE"""),8.572088085)</f>
        <v>8.572088085</v>
      </c>
      <c r="AE584" s="5" t="str">
        <f>IFERROR(__xludf.DUMMYFUNCTION("""COMPUTED_VALUE"""),"https://drive.google.com/open?id=1QZxbuc5Mivi4-ZPyeV-pgYXP471WJnsW")</f>
        <v>https://drive.google.com/open?id=1QZxbuc5Mivi4-ZPyeV-pgYXP471WJnsW</v>
      </c>
      <c r="AF584" s="4"/>
      <c r="AG584" s="4"/>
      <c r="AH584" s="4"/>
      <c r="AI584" s="4"/>
      <c r="AL584" s="4" t="str">
        <f t="shared" si="1"/>
        <v>Cluster 1</v>
      </c>
      <c r="AM584" s="4" t="str">
        <f t="shared" si="2"/>
        <v>ENGR. GAMBO ABUBAKAR STREET</v>
      </c>
    </row>
    <row r="585">
      <c r="A585" s="3">
        <f>IFERROR(__xludf.DUMMYFUNCTION("""COMPUTED_VALUE"""),45857.768368923615)</f>
        <v>45857.76837</v>
      </c>
      <c r="B585" s="4" t="str">
        <f>IFERROR(__xludf.DUMMYFUNCTION("""COMPUTED_VALUE"""),"umrdalhatu@gmail.com")</f>
        <v>umrdalhatu@gmail.com</v>
      </c>
      <c r="C585" s="4" t="str">
        <f>IFERROR(__xludf.DUMMYFUNCTION("""COMPUTED_VALUE"""),"Umar Dalhatu")</f>
        <v>Umar Dalhatu</v>
      </c>
      <c r="D585" s="4"/>
      <c r="E585" s="4"/>
      <c r="F585" s="4"/>
      <c r="G585" s="4"/>
      <c r="H585" s="4"/>
      <c r="I585" s="4"/>
      <c r="J585" s="4" t="str">
        <f>IFERROR(__xludf.DUMMYFUNCTION("""COMPUTED_VALUE"""),"Cluster 1")</f>
        <v>Cluster 1</v>
      </c>
      <c r="K585" s="4" t="str">
        <f>IFERROR(__xludf.DUMMYFUNCTION("""COMPUTED_VALUE"""),"NATIONAL AVENUE")</f>
        <v>NATIONAL AVENUE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 t="str">
        <f>IFERROR(__xludf.DUMMYFUNCTION("""COMPUTED_VALUE"""),"Point 2")</f>
        <v>Point 2</v>
      </c>
      <c r="AC585" s="4">
        <f>IFERROR(__xludf.DUMMYFUNCTION("""COMPUTED_VALUE"""),11.99410421)</f>
        <v>11.99410421</v>
      </c>
      <c r="AD585" s="4">
        <f>IFERROR(__xludf.DUMMYFUNCTION("""COMPUTED_VALUE"""),8.572088085)</f>
        <v>8.572088085</v>
      </c>
      <c r="AE585" s="5" t="str">
        <f>IFERROR(__xludf.DUMMYFUNCTION("""COMPUTED_VALUE"""),"https://drive.google.com/open?id=1pELnS637txI2kYAlfITpBvgdtXwi6dMU")</f>
        <v>https://drive.google.com/open?id=1pELnS637txI2kYAlfITpBvgdtXwi6dMU</v>
      </c>
      <c r="AF585" s="4"/>
      <c r="AG585" s="4"/>
      <c r="AH585" s="4"/>
      <c r="AI585" s="4"/>
      <c r="AL585" s="4" t="str">
        <f t="shared" si="1"/>
        <v>Cluster 1</v>
      </c>
      <c r="AM585" s="4" t="str">
        <f t="shared" si="2"/>
        <v>NATIONAL AVENUE</v>
      </c>
    </row>
    <row r="586">
      <c r="A586" s="3">
        <f>IFERROR(__xludf.DUMMYFUNCTION("""COMPUTED_VALUE"""),45857.767629270835)</f>
        <v>45857.76763</v>
      </c>
      <c r="B586" s="4" t="str">
        <f>IFERROR(__xludf.DUMMYFUNCTION("""COMPUTED_VALUE"""),"umrdalhatu@gmail.com")</f>
        <v>umrdalhatu@gmail.com</v>
      </c>
      <c r="C586" s="4" t="str">
        <f>IFERROR(__xludf.DUMMYFUNCTION("""COMPUTED_VALUE"""),"Umar Dalhatu")</f>
        <v>Umar Dalhatu</v>
      </c>
      <c r="D586" s="4"/>
      <c r="E586" s="4"/>
      <c r="F586" s="4"/>
      <c r="G586" s="4"/>
      <c r="H586" s="4"/>
      <c r="I586" s="4"/>
      <c r="J586" s="4" t="str">
        <f>IFERROR(__xludf.DUMMYFUNCTION("""COMPUTED_VALUE"""),"Cluster 1")</f>
        <v>Cluster 1</v>
      </c>
      <c r="K586" s="4" t="str">
        <f>IFERROR(__xludf.DUMMYFUNCTION("""COMPUTED_VALUE"""),"NATIONAL AVENUE")</f>
        <v>NATIONAL AVENUE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 t="str">
        <f>IFERROR(__xludf.DUMMYFUNCTION("""COMPUTED_VALUE"""),"Point 1")</f>
        <v>Point 1</v>
      </c>
      <c r="AC586" s="4">
        <f>IFERROR(__xludf.DUMMYFUNCTION("""COMPUTED_VALUE"""),11.99385622)</f>
        <v>11.99385622</v>
      </c>
      <c r="AD586" s="4">
        <f>IFERROR(__xludf.DUMMYFUNCTION("""COMPUTED_VALUE"""),8.57215835)</f>
        <v>8.57215835</v>
      </c>
      <c r="AE586" s="5" t="str">
        <f>IFERROR(__xludf.DUMMYFUNCTION("""COMPUTED_VALUE"""),"https://drive.google.com/open?id=1Zv39C3Vb93IoF9R0h7QvEKztzbJyCIfU")</f>
        <v>https://drive.google.com/open?id=1Zv39C3Vb93IoF9R0h7QvEKztzbJyCIfU</v>
      </c>
      <c r="AF586" s="4"/>
      <c r="AG586" s="4"/>
      <c r="AH586" s="4"/>
      <c r="AI586" s="4"/>
      <c r="AL586" s="4" t="str">
        <f t="shared" si="1"/>
        <v>Cluster 1</v>
      </c>
      <c r="AM586" s="4" t="str">
        <f t="shared" si="2"/>
        <v>NATIONAL AVENUE</v>
      </c>
    </row>
    <row r="587">
      <c r="A587" s="3">
        <f>IFERROR(__xludf.DUMMYFUNCTION("""COMPUTED_VALUE"""),45857.766431412034)</f>
        <v>45857.76643</v>
      </c>
      <c r="B587" s="4" t="str">
        <f>IFERROR(__xludf.DUMMYFUNCTION("""COMPUTED_VALUE"""),"umrdalhatu@gmail.com")</f>
        <v>umrdalhatu@gmail.com</v>
      </c>
      <c r="C587" s="4" t="str">
        <f>IFERROR(__xludf.DUMMYFUNCTION("""COMPUTED_VALUE"""),"Umar Dalhatu")</f>
        <v>Umar Dalhatu</v>
      </c>
      <c r="D587" s="4"/>
      <c r="E587" s="4"/>
      <c r="F587" s="4"/>
      <c r="G587" s="4"/>
      <c r="H587" s="4"/>
      <c r="I587" s="4"/>
      <c r="J587" s="4" t="str">
        <f>IFERROR(__xludf.DUMMYFUNCTION("""COMPUTED_VALUE"""),"Cluster 1")</f>
        <v>Cluster 1</v>
      </c>
      <c r="K587" s="4" t="str">
        <f>IFERROR(__xludf.DUMMYFUNCTION("""COMPUTED_VALUE"""),"B Z TAGWAI STREET")</f>
        <v>B Z TAGWAI STREET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 t="str">
        <f>IFERROR(__xludf.DUMMYFUNCTION("""COMPUTED_VALUE"""),"Point 2")</f>
        <v>Point 2</v>
      </c>
      <c r="AC587" s="4">
        <f>IFERROR(__xludf.DUMMYFUNCTION("""COMPUTED_VALUE"""),11.99385622)</f>
        <v>11.99385622</v>
      </c>
      <c r="AD587" s="4">
        <f>IFERROR(__xludf.DUMMYFUNCTION("""COMPUTED_VALUE"""),8.57215835)</f>
        <v>8.57215835</v>
      </c>
      <c r="AE587" s="5" t="str">
        <f>IFERROR(__xludf.DUMMYFUNCTION("""COMPUTED_VALUE"""),"https://drive.google.com/open?id=1A2CBXxFsfEqRnM-kVIjQQRjca7NGTF01")</f>
        <v>https://drive.google.com/open?id=1A2CBXxFsfEqRnM-kVIjQQRjca7NGTF01</v>
      </c>
      <c r="AF587" s="4"/>
      <c r="AG587" s="4"/>
      <c r="AH587" s="4"/>
      <c r="AI587" s="4"/>
      <c r="AL587" s="4" t="str">
        <f t="shared" si="1"/>
        <v>Cluster 1</v>
      </c>
      <c r="AM587" s="4" t="str">
        <f t="shared" si="2"/>
        <v>B Z TAGWAI STREET</v>
      </c>
    </row>
    <row r="588">
      <c r="A588" s="3">
        <f>IFERROR(__xludf.DUMMYFUNCTION("""COMPUTED_VALUE"""),45857.76529976852)</f>
        <v>45857.7653</v>
      </c>
      <c r="B588" s="4" t="str">
        <f>IFERROR(__xludf.DUMMYFUNCTION("""COMPUTED_VALUE"""),"umrdalhatu@gmail.com")</f>
        <v>umrdalhatu@gmail.com</v>
      </c>
      <c r="C588" s="4" t="str">
        <f>IFERROR(__xludf.DUMMYFUNCTION("""COMPUTED_VALUE"""),"Umar Dalhatu")</f>
        <v>Umar Dalhatu</v>
      </c>
      <c r="D588" s="4"/>
      <c r="E588" s="4"/>
      <c r="F588" s="4"/>
      <c r="G588" s="4"/>
      <c r="H588" s="4"/>
      <c r="I588" s="4"/>
      <c r="J588" s="4" t="str">
        <f>IFERROR(__xludf.DUMMYFUNCTION("""COMPUTED_VALUE"""),"Cluster 1")</f>
        <v>Cluster 1</v>
      </c>
      <c r="K588" s="4" t="str">
        <f>IFERROR(__xludf.DUMMYFUNCTION("""COMPUTED_VALUE"""),"B Z TAGWAI STREET")</f>
        <v>B Z TAGWAI STREET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 t="str">
        <f>IFERROR(__xludf.DUMMYFUNCTION("""COMPUTED_VALUE"""),"Point 1")</f>
        <v>Point 1</v>
      </c>
      <c r="AC588" s="4">
        <f>IFERROR(__xludf.DUMMYFUNCTION("""COMPUTED_VALUE"""),11.99355)</f>
        <v>11.99355</v>
      </c>
      <c r="AD588" s="4">
        <f>IFERROR(__xludf.DUMMYFUNCTION("""COMPUTED_VALUE"""),8.575157)</f>
        <v>8.575157</v>
      </c>
      <c r="AE588" s="5" t="str">
        <f>IFERROR(__xludf.DUMMYFUNCTION("""COMPUTED_VALUE"""),"https://drive.google.com/open?id=1ox6NdhlTw4x81rA0VCW6LC6lUxMQMkTp")</f>
        <v>https://drive.google.com/open?id=1ox6NdhlTw4x81rA0VCW6LC6lUxMQMkTp</v>
      </c>
      <c r="AF588" s="4"/>
      <c r="AG588" s="4"/>
      <c r="AH588" s="4"/>
      <c r="AI588" s="4"/>
      <c r="AL588" s="4" t="str">
        <f t="shared" si="1"/>
        <v>Cluster 1</v>
      </c>
      <c r="AM588" s="4" t="str">
        <f t="shared" si="2"/>
        <v>B Z TAGWAI STREET</v>
      </c>
    </row>
    <row r="589">
      <c r="A589" s="3">
        <f>IFERROR(__xludf.DUMMYFUNCTION("""COMPUTED_VALUE"""),45857.76332488426)</f>
        <v>45857.76332</v>
      </c>
      <c r="B589" s="4" t="str">
        <f>IFERROR(__xludf.DUMMYFUNCTION("""COMPUTED_VALUE"""),"umrdalhatu@gmail.com")</f>
        <v>umrdalhatu@gmail.com</v>
      </c>
      <c r="C589" s="4" t="str">
        <f>IFERROR(__xludf.DUMMYFUNCTION("""COMPUTED_VALUE"""),"Umar Dalhatu")</f>
        <v>Umar Dalhatu</v>
      </c>
      <c r="D589" s="4"/>
      <c r="E589" s="4"/>
      <c r="F589" s="4"/>
      <c r="G589" s="4"/>
      <c r="H589" s="4"/>
      <c r="I589" s="4"/>
      <c r="J589" s="4" t="str">
        <f>IFERROR(__xludf.DUMMYFUNCTION("""COMPUTED_VALUE"""),"Cluster 1")</f>
        <v>Cluster 1</v>
      </c>
      <c r="K589" s="4" t="str">
        <f>IFERROR(__xludf.DUMMYFUNCTION("""COMPUTED_VALUE"""),"ALI ALI MUHAMMAD LINK")</f>
        <v>ALI ALI MUHAMMAD LINK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 t="str">
        <f>IFERROR(__xludf.DUMMYFUNCTION("""COMPUTED_VALUE"""),"Point 2")</f>
        <v>Point 2</v>
      </c>
      <c r="AC589" s="4">
        <f>IFERROR(__xludf.DUMMYFUNCTION("""COMPUTED_VALUE"""),11.99392454)</f>
        <v>11.99392454</v>
      </c>
      <c r="AD589" s="4">
        <f>IFERROR(__xludf.DUMMYFUNCTION("""COMPUTED_VALUE"""),8.573818338)</f>
        <v>8.573818338</v>
      </c>
      <c r="AE589" s="5" t="str">
        <f>IFERROR(__xludf.DUMMYFUNCTION("""COMPUTED_VALUE"""),"https://drive.google.com/open?id=1sTnokab-HzbvB-uI0gWdG3vTuOCQziBi")</f>
        <v>https://drive.google.com/open?id=1sTnokab-HzbvB-uI0gWdG3vTuOCQziBi</v>
      </c>
      <c r="AF589" s="4"/>
      <c r="AG589" s="4"/>
      <c r="AH589" s="4"/>
      <c r="AI589" s="4"/>
      <c r="AL589" s="4" t="str">
        <f t="shared" si="1"/>
        <v>Cluster 1</v>
      </c>
      <c r="AM589" s="4" t="str">
        <f t="shared" si="2"/>
        <v>ALI ALI MUHAMMAD LINK</v>
      </c>
    </row>
    <row r="590">
      <c r="A590" s="3">
        <f>IFERROR(__xludf.DUMMYFUNCTION("""COMPUTED_VALUE"""),45857.76245512732)</f>
        <v>45857.76246</v>
      </c>
      <c r="B590" s="4" t="str">
        <f>IFERROR(__xludf.DUMMYFUNCTION("""COMPUTED_VALUE"""),"umrdalhatu@gmail.com")</f>
        <v>umrdalhatu@gmail.com</v>
      </c>
      <c r="C590" s="4" t="str">
        <f>IFERROR(__xludf.DUMMYFUNCTION("""COMPUTED_VALUE"""),"Umar Dalhatu")</f>
        <v>Umar Dalhatu</v>
      </c>
      <c r="D590" s="4"/>
      <c r="E590" s="4"/>
      <c r="F590" s="4"/>
      <c r="G590" s="4"/>
      <c r="H590" s="4"/>
      <c r="I590" s="4"/>
      <c r="J590" s="4" t="str">
        <f>IFERROR(__xludf.DUMMYFUNCTION("""COMPUTED_VALUE"""),"Cluster 1")</f>
        <v>Cluster 1</v>
      </c>
      <c r="K590" s="4" t="str">
        <f>IFERROR(__xludf.DUMMYFUNCTION("""COMPUTED_VALUE"""),"ALI ALI MUHAMMAD LINK")</f>
        <v>ALI ALI MUHAMMAD LINK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 t="str">
        <f>IFERROR(__xludf.DUMMYFUNCTION("""COMPUTED_VALUE"""),"Point 1")</f>
        <v>Point 1</v>
      </c>
      <c r="AC590" s="4">
        <f>IFERROR(__xludf.DUMMYFUNCTION("""COMPUTED_VALUE"""),11.99463819)</f>
        <v>11.99463819</v>
      </c>
      <c r="AD590" s="4">
        <f>IFERROR(__xludf.DUMMYFUNCTION("""COMPUTED_VALUE"""),8.573816899)</f>
        <v>8.573816899</v>
      </c>
      <c r="AE590" s="5" t="str">
        <f>IFERROR(__xludf.DUMMYFUNCTION("""COMPUTED_VALUE"""),"https://drive.google.com/open?id=1edO9ymCd0vgKAemNquHBSHudSQif8VgP")</f>
        <v>https://drive.google.com/open?id=1edO9ymCd0vgKAemNquHBSHudSQif8VgP</v>
      </c>
      <c r="AF590" s="4"/>
      <c r="AG590" s="4"/>
      <c r="AH590" s="4"/>
      <c r="AI590" s="4"/>
      <c r="AL590" s="4" t="str">
        <f t="shared" si="1"/>
        <v>Cluster 1</v>
      </c>
      <c r="AM590" s="4" t="str">
        <f t="shared" si="2"/>
        <v>ALI ALI MUHAMMAD LINK</v>
      </c>
    </row>
    <row r="591">
      <c r="A591" s="3">
        <f>IFERROR(__xludf.DUMMYFUNCTION("""COMPUTED_VALUE"""),45857.76124525463)</f>
        <v>45857.76125</v>
      </c>
      <c r="B591" s="4" t="str">
        <f>IFERROR(__xludf.DUMMYFUNCTION("""COMPUTED_VALUE"""),"umrdalhatu@gmail.com")</f>
        <v>umrdalhatu@gmail.com</v>
      </c>
      <c r="C591" s="4" t="str">
        <f>IFERROR(__xludf.DUMMYFUNCTION("""COMPUTED_VALUE"""),"Umar Dalhatu")</f>
        <v>Umar Dalhatu</v>
      </c>
      <c r="D591" s="4"/>
      <c r="E591" s="4"/>
      <c r="F591" s="4"/>
      <c r="G591" s="4"/>
      <c r="H591" s="4"/>
      <c r="I591" s="4"/>
      <c r="J591" s="4" t="str">
        <f>IFERROR(__xludf.DUMMYFUNCTION("""COMPUTED_VALUE"""),"Cluster 1")</f>
        <v>Cluster 1</v>
      </c>
      <c r="K591" s="4" t="str">
        <f>IFERROR(__xludf.DUMMYFUNCTION("""COMPUTED_VALUE"""),"DR. ALI IDI LINK")</f>
        <v>DR. ALI IDI LINK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 t="str">
        <f>IFERROR(__xludf.DUMMYFUNCTION("""COMPUTED_VALUE"""),"Point 2")</f>
        <v>Point 2</v>
      </c>
      <c r="AC591" s="4">
        <f>IFERROR(__xludf.DUMMYFUNCTION("""COMPUTED_VALUE"""),11.99463819)</f>
        <v>11.99463819</v>
      </c>
      <c r="AD591" s="4">
        <f>IFERROR(__xludf.DUMMYFUNCTION("""COMPUTED_VALUE"""),8.573816899)</f>
        <v>8.573816899</v>
      </c>
      <c r="AE591" s="5" t="str">
        <f>IFERROR(__xludf.DUMMYFUNCTION("""COMPUTED_VALUE"""),"https://drive.google.com/open?id=1gwwoRfK4nChm7NdYi8xJ65bRtc6HDI-A")</f>
        <v>https://drive.google.com/open?id=1gwwoRfK4nChm7NdYi8xJ65bRtc6HDI-A</v>
      </c>
      <c r="AF591" s="4"/>
      <c r="AG591" s="4"/>
      <c r="AH591" s="4"/>
      <c r="AI591" s="4"/>
      <c r="AL591" s="4" t="str">
        <f t="shared" si="1"/>
        <v>Cluster 1</v>
      </c>
      <c r="AM591" s="4" t="str">
        <f t="shared" si="2"/>
        <v>DR. ALI IDI LINK</v>
      </c>
    </row>
    <row r="592">
      <c r="A592" s="3">
        <f>IFERROR(__xludf.DUMMYFUNCTION("""COMPUTED_VALUE"""),45857.76052578704)</f>
        <v>45857.76053</v>
      </c>
      <c r="B592" s="4" t="str">
        <f>IFERROR(__xludf.DUMMYFUNCTION("""COMPUTED_VALUE"""),"umrdalhatu@gmail.com")</f>
        <v>umrdalhatu@gmail.com</v>
      </c>
      <c r="C592" s="4" t="str">
        <f>IFERROR(__xludf.DUMMYFUNCTION("""COMPUTED_VALUE"""),"Umar Dalhatu")</f>
        <v>Umar Dalhatu</v>
      </c>
      <c r="D592" s="4"/>
      <c r="E592" s="4"/>
      <c r="F592" s="4"/>
      <c r="G592" s="4"/>
      <c r="H592" s="4"/>
      <c r="I592" s="4"/>
      <c r="J592" s="4" t="str">
        <f>IFERROR(__xludf.DUMMYFUNCTION("""COMPUTED_VALUE"""),"Cluster 1")</f>
        <v>Cluster 1</v>
      </c>
      <c r="K592" s="4" t="str">
        <f>IFERROR(__xludf.DUMMYFUNCTION("""COMPUTED_VALUE"""),"DR. ALI IDI LINK")</f>
        <v>DR. ALI IDI LINK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 t="str">
        <f>IFERROR(__xludf.DUMMYFUNCTION("""COMPUTED_VALUE"""),"Point 1")</f>
        <v>Point 1</v>
      </c>
      <c r="AC592" s="4">
        <f>IFERROR(__xludf.DUMMYFUNCTION("""COMPUTED_VALUE"""),11.99522271)</f>
        <v>11.99522271</v>
      </c>
      <c r="AD592" s="4">
        <f>IFERROR(__xludf.DUMMYFUNCTION("""COMPUTED_VALUE"""),8.575065686)</f>
        <v>8.575065686</v>
      </c>
      <c r="AE592" s="5" t="str">
        <f>IFERROR(__xludf.DUMMYFUNCTION("""COMPUTED_VALUE"""),"https://drive.google.com/open?id=1TX_4PKffPgF3r4ZhAgBYIEIfhIp41PC1")</f>
        <v>https://drive.google.com/open?id=1TX_4PKffPgF3r4ZhAgBYIEIfhIp41PC1</v>
      </c>
      <c r="AF592" s="4"/>
      <c r="AG592" s="4"/>
      <c r="AH592" s="4"/>
      <c r="AI592" s="4"/>
      <c r="AL592" s="4" t="str">
        <f t="shared" si="1"/>
        <v>Cluster 1</v>
      </c>
      <c r="AM592" s="4" t="str">
        <f t="shared" si="2"/>
        <v>DR. ALI IDI LINK</v>
      </c>
    </row>
    <row r="593">
      <c r="A593" s="3">
        <f>IFERROR(__xludf.DUMMYFUNCTION("""COMPUTED_VALUE"""),45857.75926315972)</f>
        <v>45857.75926</v>
      </c>
      <c r="B593" s="4" t="str">
        <f>IFERROR(__xludf.DUMMYFUNCTION("""COMPUTED_VALUE"""),"umrdalhatu@gmail.com")</f>
        <v>umrdalhatu@gmail.com</v>
      </c>
      <c r="C593" s="4" t="str">
        <f>IFERROR(__xludf.DUMMYFUNCTION("""COMPUTED_VALUE"""),"Umar Dalhatu")</f>
        <v>Umar Dalhatu</v>
      </c>
      <c r="D593" s="4"/>
      <c r="E593" s="4"/>
      <c r="F593" s="4"/>
      <c r="G593" s="4"/>
      <c r="H593" s="4"/>
      <c r="I593" s="4"/>
      <c r="J593" s="4" t="str">
        <f>IFERROR(__xludf.DUMMYFUNCTION("""COMPUTED_VALUE"""),"Cluster 1")</f>
        <v>Cluster 1</v>
      </c>
      <c r="K593" s="4" t="str">
        <f>IFERROR(__xludf.DUMMYFUNCTION("""COMPUTED_VALUE"""),"RENNER STREET")</f>
        <v>RENNER STREET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 t="str">
        <f>IFERROR(__xludf.DUMMYFUNCTION("""COMPUTED_VALUE"""),"Point 2")</f>
        <v>Point 2</v>
      </c>
      <c r="AC593" s="4">
        <f>IFERROR(__xludf.DUMMYFUNCTION("""COMPUTED_VALUE"""),11.99522271)</f>
        <v>11.99522271</v>
      </c>
      <c r="AD593" s="4">
        <f>IFERROR(__xludf.DUMMYFUNCTION("""COMPUTED_VALUE"""),8.575065686)</f>
        <v>8.575065686</v>
      </c>
      <c r="AE593" s="5" t="str">
        <f>IFERROR(__xludf.DUMMYFUNCTION("""COMPUTED_VALUE"""),"https://drive.google.com/open?id=1HdoYupTtd3U1mzWD0Q9N7I6u9aoFqz-a")</f>
        <v>https://drive.google.com/open?id=1HdoYupTtd3U1mzWD0Q9N7I6u9aoFqz-a</v>
      </c>
      <c r="AF593" s="4"/>
      <c r="AG593" s="4"/>
      <c r="AH593" s="4"/>
      <c r="AI593" s="4"/>
      <c r="AL593" s="4" t="str">
        <f t="shared" si="1"/>
        <v>Cluster 1</v>
      </c>
      <c r="AM593" s="4" t="str">
        <f t="shared" si="2"/>
        <v>RENNER STREET</v>
      </c>
    </row>
    <row r="594">
      <c r="A594" s="3">
        <f>IFERROR(__xludf.DUMMYFUNCTION("""COMPUTED_VALUE"""),45857.75841732639)</f>
        <v>45857.75842</v>
      </c>
      <c r="B594" s="4" t="str">
        <f>IFERROR(__xludf.DUMMYFUNCTION("""COMPUTED_VALUE"""),"umrdalhatu@gmail.com")</f>
        <v>umrdalhatu@gmail.com</v>
      </c>
      <c r="C594" s="4" t="str">
        <f>IFERROR(__xludf.DUMMYFUNCTION("""COMPUTED_VALUE"""),"Umar Dalhatu")</f>
        <v>Umar Dalhatu</v>
      </c>
      <c r="D594" s="4"/>
      <c r="E594" s="4"/>
      <c r="F594" s="4"/>
      <c r="G594" s="4"/>
      <c r="H594" s="4"/>
      <c r="I594" s="4"/>
      <c r="J594" s="4" t="str">
        <f>IFERROR(__xludf.DUMMYFUNCTION("""COMPUTED_VALUE"""),"Cluster 1")</f>
        <v>Cluster 1</v>
      </c>
      <c r="K594" s="4" t="str">
        <f>IFERROR(__xludf.DUMMYFUNCTION("""COMPUTED_VALUE"""),"RENNER STREET")</f>
        <v>RENNER STREET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 t="str">
        <f>IFERROR(__xludf.DUMMYFUNCTION("""COMPUTED_VALUE"""),"Point 1")</f>
        <v>Point 1</v>
      </c>
      <c r="AC594" s="4">
        <f>IFERROR(__xludf.DUMMYFUNCTION("""COMPUTED_VALUE"""),11.99474593)</f>
        <v>11.99474593</v>
      </c>
      <c r="AD594" s="4">
        <f>IFERROR(__xludf.DUMMYFUNCTION("""COMPUTED_VALUE"""),8.575148236)</f>
        <v>8.575148236</v>
      </c>
      <c r="AE594" s="5" t="str">
        <f>IFERROR(__xludf.DUMMYFUNCTION("""COMPUTED_VALUE"""),"https://drive.google.com/open?id=1SDNxM5s2E1Yj3-2f1o3a9XRkPGlPZ52s")</f>
        <v>https://drive.google.com/open?id=1SDNxM5s2E1Yj3-2f1o3a9XRkPGlPZ52s</v>
      </c>
      <c r="AF594" s="4"/>
      <c r="AG594" s="4"/>
      <c r="AH594" s="4"/>
      <c r="AI594" s="4"/>
      <c r="AL594" s="4" t="str">
        <f t="shared" si="1"/>
        <v>Cluster 1</v>
      </c>
      <c r="AM594" s="4" t="str">
        <f t="shared" si="2"/>
        <v>RENNER STREET</v>
      </c>
    </row>
    <row r="595">
      <c r="A595" s="3">
        <f>IFERROR(__xludf.DUMMYFUNCTION("""COMPUTED_VALUE"""),45857.75722003472)</f>
        <v>45857.75722</v>
      </c>
      <c r="B595" s="4" t="str">
        <f>IFERROR(__xludf.DUMMYFUNCTION("""COMPUTED_VALUE"""),"umrdalhatu@gmail.com")</f>
        <v>umrdalhatu@gmail.com</v>
      </c>
      <c r="C595" s="4" t="str">
        <f>IFERROR(__xludf.DUMMYFUNCTION("""COMPUTED_VALUE"""),"Umar Dalhatu")</f>
        <v>Umar Dalhatu</v>
      </c>
      <c r="D595" s="4"/>
      <c r="E595" s="4"/>
      <c r="F595" s="4"/>
      <c r="G595" s="4"/>
      <c r="H595" s="4"/>
      <c r="I595" s="4"/>
      <c r="J595" s="4" t="str">
        <f>IFERROR(__xludf.DUMMYFUNCTION("""COMPUTED_VALUE"""),"Cluster 1")</f>
        <v>Cluster 1</v>
      </c>
      <c r="K595" s="4" t="str">
        <f>IFERROR(__xludf.DUMMYFUNCTION("""COMPUTED_VALUE"""),"ADNAN BABAYOLA LINK")</f>
        <v>ADNAN BABAYOLA LINK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 t="str">
        <f>IFERROR(__xludf.DUMMYFUNCTION("""COMPUTED_VALUE"""),"Point 2")</f>
        <v>Point 2</v>
      </c>
      <c r="AC595" s="4">
        <f>IFERROR(__xludf.DUMMYFUNCTION("""COMPUTED_VALUE"""),11.9946441)</f>
        <v>11.9946441</v>
      </c>
      <c r="AD595" s="4">
        <f>IFERROR(__xludf.DUMMYFUNCTION("""COMPUTED_VALUE"""),8.577747732)</f>
        <v>8.577747732</v>
      </c>
      <c r="AE595" s="5" t="str">
        <f>IFERROR(__xludf.DUMMYFUNCTION("""COMPUTED_VALUE"""),"https://drive.google.com/open?id=1qOX5pl6c2q80SUR947PDn7Mr933273S2")</f>
        <v>https://drive.google.com/open?id=1qOX5pl6c2q80SUR947PDn7Mr933273S2</v>
      </c>
      <c r="AF595" s="4"/>
      <c r="AG595" s="4"/>
      <c r="AH595" s="4"/>
      <c r="AI595" s="4"/>
      <c r="AL595" s="4" t="str">
        <f t="shared" si="1"/>
        <v>Cluster 1</v>
      </c>
      <c r="AM595" s="4" t="str">
        <f t="shared" si="2"/>
        <v>ADNAN BABAYOLA LINK</v>
      </c>
    </row>
    <row r="596">
      <c r="A596" s="3">
        <f>IFERROR(__xludf.DUMMYFUNCTION("""COMPUTED_VALUE"""),45857.756330289354)</f>
        <v>45857.75633</v>
      </c>
      <c r="B596" s="4" t="str">
        <f>IFERROR(__xludf.DUMMYFUNCTION("""COMPUTED_VALUE"""),"umrdalhatu@gmail.com")</f>
        <v>umrdalhatu@gmail.com</v>
      </c>
      <c r="C596" s="4" t="str">
        <f>IFERROR(__xludf.DUMMYFUNCTION("""COMPUTED_VALUE"""),"Umar Dalhatu")</f>
        <v>Umar Dalhatu</v>
      </c>
      <c r="D596" s="4"/>
      <c r="E596" s="4"/>
      <c r="F596" s="4"/>
      <c r="G596" s="4"/>
      <c r="H596" s="4"/>
      <c r="I596" s="4"/>
      <c r="J596" s="4" t="str">
        <f>IFERROR(__xludf.DUMMYFUNCTION("""COMPUTED_VALUE"""),"Cluster 1")</f>
        <v>Cluster 1</v>
      </c>
      <c r="K596" s="4" t="str">
        <f>IFERROR(__xludf.DUMMYFUNCTION("""COMPUTED_VALUE"""),"ADNAN BABAYOLA LINK")</f>
        <v>ADNAN BABAYOLA LINK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 t="str">
        <f>IFERROR(__xludf.DUMMYFUNCTION("""COMPUTED_VALUE"""),"Point 1")</f>
        <v>Point 1</v>
      </c>
      <c r="AC596" s="4">
        <f>IFERROR(__xludf.DUMMYFUNCTION("""COMPUTED_VALUE"""),11.99515737)</f>
        <v>11.99515737</v>
      </c>
      <c r="AD596" s="4">
        <f>IFERROR(__xludf.DUMMYFUNCTION("""COMPUTED_VALUE"""),8.577638971)</f>
        <v>8.577638971</v>
      </c>
      <c r="AE596" s="5" t="str">
        <f>IFERROR(__xludf.DUMMYFUNCTION("""COMPUTED_VALUE"""),"https://drive.google.com/open?id=1atJhyRNrzjetWeT2v5BhS2MhW_L0vEaV")</f>
        <v>https://drive.google.com/open?id=1atJhyRNrzjetWeT2v5BhS2MhW_L0vEaV</v>
      </c>
      <c r="AF596" s="4"/>
      <c r="AG596" s="4"/>
      <c r="AH596" s="4"/>
      <c r="AI596" s="4"/>
      <c r="AL596" s="4" t="str">
        <f t="shared" si="1"/>
        <v>Cluster 1</v>
      </c>
      <c r="AM596" s="4" t="str">
        <f t="shared" si="2"/>
        <v>ADNAN BABAYOLA LINK</v>
      </c>
    </row>
    <row r="597">
      <c r="A597" s="3">
        <f>IFERROR(__xludf.DUMMYFUNCTION("""COMPUTED_VALUE"""),45857.75445800926)</f>
        <v>45857.75446</v>
      </c>
      <c r="B597" s="4" t="str">
        <f>IFERROR(__xludf.DUMMYFUNCTION("""COMPUTED_VALUE"""),"umrdalhatu@gmail.com")</f>
        <v>umrdalhatu@gmail.com</v>
      </c>
      <c r="C597" s="4" t="str">
        <f>IFERROR(__xludf.DUMMYFUNCTION("""COMPUTED_VALUE"""),"Umar Dalhatu")</f>
        <v>Umar Dalhatu</v>
      </c>
      <c r="D597" s="4"/>
      <c r="E597" s="4"/>
      <c r="F597" s="4"/>
      <c r="G597" s="4"/>
      <c r="H597" s="4"/>
      <c r="I597" s="4"/>
      <c r="J597" s="4" t="str">
        <f>IFERROR(__xludf.DUMMYFUNCTION("""COMPUTED_VALUE"""),"Cluster 1")</f>
        <v>Cluster 1</v>
      </c>
      <c r="K597" s="4" t="str">
        <f>IFERROR(__xludf.DUMMYFUNCTION("""COMPUTED_VALUE"""),"NASIRU ALI YAKASAI STREET")</f>
        <v>NASIRU ALI YAKASAI STREET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 t="str">
        <f>IFERROR(__xludf.DUMMYFUNCTION("""COMPUTED_VALUE"""),"Point 2")</f>
        <v>Point 2</v>
      </c>
      <c r="AC597" s="4">
        <f>IFERROR(__xludf.DUMMYFUNCTION("""COMPUTED_VALUE"""),11.99558742)</f>
        <v>11.99558742</v>
      </c>
      <c r="AD597" s="4">
        <f>IFERROR(__xludf.DUMMYFUNCTION("""COMPUTED_VALUE"""),8.576992003)</f>
        <v>8.576992003</v>
      </c>
      <c r="AE597" s="5" t="str">
        <f>IFERROR(__xludf.DUMMYFUNCTION("""COMPUTED_VALUE"""),"https://drive.google.com/open?id=1OAZugdnmcePNq6xO2Ge723Yw2i1ff5GM")</f>
        <v>https://drive.google.com/open?id=1OAZugdnmcePNq6xO2Ge723Yw2i1ff5GM</v>
      </c>
      <c r="AF597" s="4"/>
      <c r="AG597" s="4"/>
      <c r="AH597" s="4"/>
      <c r="AI597" s="4"/>
      <c r="AL597" s="4" t="str">
        <f t="shared" si="1"/>
        <v>Cluster 1</v>
      </c>
      <c r="AM597" s="4" t="str">
        <f t="shared" si="2"/>
        <v>NASIRU ALI YAKASAI STREET</v>
      </c>
    </row>
    <row r="598">
      <c r="A598" s="3">
        <f>IFERROR(__xludf.DUMMYFUNCTION("""COMPUTED_VALUE"""),45857.753352430555)</f>
        <v>45857.75335</v>
      </c>
      <c r="B598" s="4" t="str">
        <f>IFERROR(__xludf.DUMMYFUNCTION("""COMPUTED_VALUE"""),"umrdalhatu@gmail.com")</f>
        <v>umrdalhatu@gmail.com</v>
      </c>
      <c r="C598" s="4" t="str">
        <f>IFERROR(__xludf.DUMMYFUNCTION("""COMPUTED_VALUE"""),"Umar Dalhatu")</f>
        <v>Umar Dalhatu</v>
      </c>
      <c r="D598" s="4"/>
      <c r="E598" s="4"/>
      <c r="F598" s="4"/>
      <c r="G598" s="4"/>
      <c r="H598" s="4"/>
      <c r="I598" s="4"/>
      <c r="J598" s="4" t="str">
        <f>IFERROR(__xludf.DUMMYFUNCTION("""COMPUTED_VALUE"""),"Cluster 1")</f>
        <v>Cluster 1</v>
      </c>
      <c r="K598" s="4" t="str">
        <f>IFERROR(__xludf.DUMMYFUNCTION("""COMPUTED_VALUE"""),"NASIRU ALI YAKASAI STREET")</f>
        <v>NASIRU ALI YAKASAI STREET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 t="str">
        <f>IFERROR(__xludf.DUMMYFUNCTION("""COMPUTED_VALUE"""),"Point 1")</f>
        <v>Point 1</v>
      </c>
      <c r="AC598" s="4">
        <f>IFERROR(__xludf.DUMMYFUNCTION("""COMPUTED_VALUE"""),11.99566897)</f>
        <v>11.99566897</v>
      </c>
      <c r="AD598" s="4">
        <f>IFERROR(__xludf.DUMMYFUNCTION("""COMPUTED_VALUE"""),8.577530563)</f>
        <v>8.577530563</v>
      </c>
      <c r="AE598" s="5" t="str">
        <f>IFERROR(__xludf.DUMMYFUNCTION("""COMPUTED_VALUE"""),"https://drive.google.com/open?id=1i-JrbBCBmPPd8qhULzWfRB6LMKNwHz2-")</f>
        <v>https://drive.google.com/open?id=1i-JrbBCBmPPd8qhULzWfRB6LMKNwHz2-</v>
      </c>
      <c r="AF598" s="4"/>
      <c r="AG598" s="4"/>
      <c r="AH598" s="4"/>
      <c r="AI598" s="4"/>
      <c r="AL598" s="4" t="str">
        <f t="shared" si="1"/>
        <v>Cluster 1</v>
      </c>
      <c r="AM598" s="4" t="str">
        <f t="shared" si="2"/>
        <v>NASIRU ALI YAKASAI STREET</v>
      </c>
    </row>
    <row r="599">
      <c r="A599" s="3">
        <f>IFERROR(__xludf.DUMMYFUNCTION("""COMPUTED_VALUE"""),45857.7519341088)</f>
        <v>45857.75193</v>
      </c>
      <c r="B599" s="4" t="str">
        <f>IFERROR(__xludf.DUMMYFUNCTION("""COMPUTED_VALUE"""),"umrdalhatu@gmail.com")</f>
        <v>umrdalhatu@gmail.com</v>
      </c>
      <c r="C599" s="4" t="str">
        <f>IFERROR(__xludf.DUMMYFUNCTION("""COMPUTED_VALUE"""),"Umar Dalhatu")</f>
        <v>Umar Dalhatu</v>
      </c>
      <c r="D599" s="4"/>
      <c r="E599" s="4"/>
      <c r="F599" s="4"/>
      <c r="G599" s="4"/>
      <c r="H599" s="4"/>
      <c r="I599" s="4"/>
      <c r="J599" s="4" t="str">
        <f>IFERROR(__xludf.DUMMYFUNCTION("""COMPUTED_VALUE"""),"Cluster 1")</f>
        <v>Cluster 1</v>
      </c>
      <c r="K599" s="4" t="str">
        <f>IFERROR(__xludf.DUMMYFUNCTION("""COMPUTED_VALUE"""),"GIDAN KARA LINK")</f>
        <v>GIDAN KARA LINK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 t="str">
        <f>IFERROR(__xludf.DUMMYFUNCTION("""COMPUTED_VALUE"""),"Point 2")</f>
        <v>Point 2</v>
      </c>
      <c r="AC599" s="4">
        <f>IFERROR(__xludf.DUMMYFUNCTION("""COMPUTED_VALUE"""),11.99703724)</f>
        <v>11.99703724</v>
      </c>
      <c r="AD599" s="4">
        <f>IFERROR(__xludf.DUMMYFUNCTION("""COMPUTED_VALUE"""),8.575485903)</f>
        <v>8.575485903</v>
      </c>
      <c r="AE599" s="5" t="str">
        <f>IFERROR(__xludf.DUMMYFUNCTION("""COMPUTED_VALUE"""),"https://drive.google.com/open?id=128-7_hogHN1334ZW4tIrxN_ot7X88Eax")</f>
        <v>https://drive.google.com/open?id=128-7_hogHN1334ZW4tIrxN_ot7X88Eax</v>
      </c>
      <c r="AF599" s="4"/>
      <c r="AG599" s="4"/>
      <c r="AH599" s="4"/>
      <c r="AI599" s="4"/>
      <c r="AL599" s="4" t="str">
        <f t="shared" si="1"/>
        <v>Cluster 1</v>
      </c>
      <c r="AM599" s="4" t="str">
        <f t="shared" si="2"/>
        <v>GIDAN KARA LINK</v>
      </c>
    </row>
    <row r="600">
      <c r="A600" s="3">
        <f>IFERROR(__xludf.DUMMYFUNCTION("""COMPUTED_VALUE"""),45857.75101630787)</f>
        <v>45857.75102</v>
      </c>
      <c r="B600" s="4" t="str">
        <f>IFERROR(__xludf.DUMMYFUNCTION("""COMPUTED_VALUE"""),"umrdalhatu@gmail.com")</f>
        <v>umrdalhatu@gmail.com</v>
      </c>
      <c r="C600" s="4" t="str">
        <f>IFERROR(__xludf.DUMMYFUNCTION("""COMPUTED_VALUE"""),"Umar Dalhatu")</f>
        <v>Umar Dalhatu</v>
      </c>
      <c r="D600" s="4"/>
      <c r="E600" s="4"/>
      <c r="F600" s="4"/>
      <c r="G600" s="4"/>
      <c r="H600" s="4"/>
      <c r="I600" s="4"/>
      <c r="J600" s="4" t="str">
        <f>IFERROR(__xludf.DUMMYFUNCTION("""COMPUTED_VALUE"""),"Cluster 1")</f>
        <v>Cluster 1</v>
      </c>
      <c r="K600" s="4" t="str">
        <f>IFERROR(__xludf.DUMMYFUNCTION("""COMPUTED_VALUE"""),"GIDAN KARA LINK")</f>
        <v>GIDAN KARA LINK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 t="str">
        <f>IFERROR(__xludf.DUMMYFUNCTION("""COMPUTED_VALUE"""),"Point 1")</f>
        <v>Point 1</v>
      </c>
      <c r="AC600" s="4">
        <f>IFERROR(__xludf.DUMMYFUNCTION("""COMPUTED_VALUE"""),11.99758963)</f>
        <v>11.99758963</v>
      </c>
      <c r="AD600" s="4">
        <f>IFERROR(__xludf.DUMMYFUNCTION("""COMPUTED_VALUE"""),8.576544125)</f>
        <v>8.576544125</v>
      </c>
      <c r="AE600" s="5" t="str">
        <f>IFERROR(__xludf.DUMMYFUNCTION("""COMPUTED_VALUE"""),"https://drive.google.com/open?id=1t4fl2lzTqpi56m-zGnT8zXnvq8JI6mrN")</f>
        <v>https://drive.google.com/open?id=1t4fl2lzTqpi56m-zGnT8zXnvq8JI6mrN</v>
      </c>
      <c r="AF600" s="4"/>
      <c r="AG600" s="4"/>
      <c r="AH600" s="4"/>
      <c r="AI600" s="4"/>
      <c r="AL600" s="4" t="str">
        <f t="shared" si="1"/>
        <v>Cluster 1</v>
      </c>
      <c r="AM600" s="4" t="str">
        <f t="shared" si="2"/>
        <v>GIDAN KARA LINK</v>
      </c>
    </row>
    <row r="601">
      <c r="A601" s="3">
        <f>IFERROR(__xludf.DUMMYFUNCTION("""COMPUTED_VALUE"""),45857.74947520833)</f>
        <v>45857.74948</v>
      </c>
      <c r="B601" s="4" t="str">
        <f>IFERROR(__xludf.DUMMYFUNCTION("""COMPUTED_VALUE"""),"umrdalhatu@gmail.com")</f>
        <v>umrdalhatu@gmail.com</v>
      </c>
      <c r="C601" s="4" t="str">
        <f>IFERROR(__xludf.DUMMYFUNCTION("""COMPUTED_VALUE"""),"Umar Dalhatu")</f>
        <v>Umar Dalhatu</v>
      </c>
      <c r="D601" s="4"/>
      <c r="E601" s="4"/>
      <c r="F601" s="4"/>
      <c r="G601" s="4"/>
      <c r="H601" s="4"/>
      <c r="I601" s="4"/>
      <c r="J601" s="4" t="str">
        <f>IFERROR(__xludf.DUMMYFUNCTION("""COMPUTED_VALUE"""),"Cluster 1")</f>
        <v>Cluster 1</v>
      </c>
      <c r="K601" s="4" t="str">
        <f>IFERROR(__xludf.DUMMYFUNCTION("""COMPUTED_VALUE"""),"MALAM MADORI STREET")</f>
        <v>MALAM MADORI STREET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 t="str">
        <f>IFERROR(__xludf.DUMMYFUNCTION("""COMPUTED_VALUE"""),"Point 2")</f>
        <v>Point 2</v>
      </c>
      <c r="AC601" s="4">
        <f>IFERROR(__xludf.DUMMYFUNCTION("""COMPUTED_VALUE"""),11.99629225)</f>
        <v>11.99629225</v>
      </c>
      <c r="AD601" s="4">
        <f>IFERROR(__xludf.DUMMYFUNCTION("""COMPUTED_VALUE"""),8.574767172)</f>
        <v>8.574767172</v>
      </c>
      <c r="AE601" s="5" t="str">
        <f>IFERROR(__xludf.DUMMYFUNCTION("""COMPUTED_VALUE"""),"https://drive.google.com/open?id=1sUXVv73_a2FhMhSIOOscAyepW7jveMtF")</f>
        <v>https://drive.google.com/open?id=1sUXVv73_a2FhMhSIOOscAyepW7jveMtF</v>
      </c>
      <c r="AF601" s="4"/>
      <c r="AG601" s="4"/>
      <c r="AH601" s="4"/>
      <c r="AI601" s="4"/>
      <c r="AL601" s="4" t="str">
        <f t="shared" si="1"/>
        <v>Cluster 1</v>
      </c>
      <c r="AM601" s="4" t="str">
        <f t="shared" si="2"/>
        <v>MALAM MADORI STREET</v>
      </c>
    </row>
    <row r="602">
      <c r="A602" s="3">
        <f>IFERROR(__xludf.DUMMYFUNCTION("""COMPUTED_VALUE"""),45857.74818458333)</f>
        <v>45857.74818</v>
      </c>
      <c r="B602" s="4" t="str">
        <f>IFERROR(__xludf.DUMMYFUNCTION("""COMPUTED_VALUE"""),"umrdalhatu@gmail.com")</f>
        <v>umrdalhatu@gmail.com</v>
      </c>
      <c r="C602" s="4" t="str">
        <f>IFERROR(__xludf.DUMMYFUNCTION("""COMPUTED_VALUE"""),"Umar Dalhatu")</f>
        <v>Umar Dalhatu</v>
      </c>
      <c r="D602" s="4"/>
      <c r="E602" s="4"/>
      <c r="F602" s="4"/>
      <c r="G602" s="4"/>
      <c r="H602" s="4"/>
      <c r="I602" s="4"/>
      <c r="J602" s="4" t="str">
        <f>IFERROR(__xludf.DUMMYFUNCTION("""COMPUTED_VALUE"""),"Cluster 1")</f>
        <v>Cluster 1</v>
      </c>
      <c r="K602" s="4" t="str">
        <f>IFERROR(__xludf.DUMMYFUNCTION("""COMPUTED_VALUE"""),"MALAM MADORI STREET")</f>
        <v>MALAM MADORI STREET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 t="str">
        <f>IFERROR(__xludf.DUMMYFUNCTION("""COMPUTED_VALUE"""),"Point 1")</f>
        <v>Point 1</v>
      </c>
      <c r="AC602" s="4">
        <f>IFERROR(__xludf.DUMMYFUNCTION("""COMPUTED_VALUE"""),11.99703724)</f>
        <v>11.99703724</v>
      </c>
      <c r="AD602" s="4">
        <f>IFERROR(__xludf.DUMMYFUNCTION("""COMPUTED_VALUE"""),8.575485903)</f>
        <v>8.575485903</v>
      </c>
      <c r="AE602" s="5" t="str">
        <f>IFERROR(__xludf.DUMMYFUNCTION("""COMPUTED_VALUE"""),"https://drive.google.com/open?id=1vrqf0KTYT73kq6pTde7gmVpLW9CjoR6K")</f>
        <v>https://drive.google.com/open?id=1vrqf0KTYT73kq6pTde7gmVpLW9CjoR6K</v>
      </c>
      <c r="AF602" s="4"/>
      <c r="AG602" s="4"/>
      <c r="AH602" s="4"/>
      <c r="AI602" s="4"/>
      <c r="AL602" s="4" t="str">
        <f t="shared" si="1"/>
        <v>Cluster 1</v>
      </c>
      <c r="AM602" s="4" t="str">
        <f t="shared" si="2"/>
        <v>MALAM MADORI STREET</v>
      </c>
    </row>
    <row r="603">
      <c r="A603" s="3">
        <f>IFERROR(__xludf.DUMMYFUNCTION("""COMPUTED_VALUE"""),45857.74621158565)</f>
        <v>45857.74621</v>
      </c>
      <c r="B603" s="4" t="str">
        <f>IFERROR(__xludf.DUMMYFUNCTION("""COMPUTED_VALUE"""),"umrdalhatu@gmail.com")</f>
        <v>umrdalhatu@gmail.com</v>
      </c>
      <c r="C603" s="4" t="str">
        <f>IFERROR(__xludf.DUMMYFUNCTION("""COMPUTED_VALUE"""),"Umar Dalhatu")</f>
        <v>Umar Dalhatu</v>
      </c>
      <c r="D603" s="4"/>
      <c r="E603" s="4"/>
      <c r="F603" s="4"/>
      <c r="G603" s="4"/>
      <c r="H603" s="4"/>
      <c r="I603" s="4"/>
      <c r="J603" s="4" t="str">
        <f>IFERROR(__xludf.DUMMYFUNCTION("""COMPUTED_VALUE"""),"Cluster 1")</f>
        <v>Cluster 1</v>
      </c>
      <c r="K603" s="4" t="str">
        <f>IFERROR(__xludf.DUMMYFUNCTION("""COMPUTED_VALUE"""),"SANI IDI DAN FULANI STREET")</f>
        <v>SANI IDI DAN FULANI STREET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 t="str">
        <f>IFERROR(__xludf.DUMMYFUNCTION("""COMPUTED_VALUE"""),"Point 2")</f>
        <v>Point 2</v>
      </c>
      <c r="AC603" s="4">
        <f>IFERROR(__xludf.DUMMYFUNCTION("""COMPUTED_VALUE"""),11.99681771)</f>
        <v>11.99681771</v>
      </c>
      <c r="AD603" s="4">
        <f>IFERROR(__xludf.DUMMYFUNCTION("""COMPUTED_VALUE"""),8.573178985)</f>
        <v>8.573178985</v>
      </c>
      <c r="AE603" s="5" t="str">
        <f>IFERROR(__xludf.DUMMYFUNCTION("""COMPUTED_VALUE"""),"https://drive.google.com/open?id=16l99kZ8OrlRealOTWa5irVyQdNFjSUet")</f>
        <v>https://drive.google.com/open?id=16l99kZ8OrlRealOTWa5irVyQdNFjSUet</v>
      </c>
      <c r="AF603" s="4"/>
      <c r="AG603" s="4"/>
      <c r="AH603" s="4"/>
      <c r="AI603" s="4"/>
      <c r="AL603" s="4" t="str">
        <f t="shared" si="1"/>
        <v>Cluster 1</v>
      </c>
      <c r="AM603" s="4" t="str">
        <f t="shared" si="2"/>
        <v>SANI IDI DAN FULANI STREET</v>
      </c>
    </row>
    <row r="604">
      <c r="A604" s="3">
        <f>IFERROR(__xludf.DUMMYFUNCTION("""COMPUTED_VALUE"""),45857.74523108796)</f>
        <v>45857.74523</v>
      </c>
      <c r="B604" s="4" t="str">
        <f>IFERROR(__xludf.DUMMYFUNCTION("""COMPUTED_VALUE"""),"umrdalhatu@gmail.com")</f>
        <v>umrdalhatu@gmail.com</v>
      </c>
      <c r="C604" s="4" t="str">
        <f>IFERROR(__xludf.DUMMYFUNCTION("""COMPUTED_VALUE"""),"Umar Dalhatu")</f>
        <v>Umar Dalhatu</v>
      </c>
      <c r="D604" s="4"/>
      <c r="E604" s="4"/>
      <c r="F604" s="4"/>
      <c r="G604" s="4"/>
      <c r="H604" s="4"/>
      <c r="I604" s="4"/>
      <c r="J604" s="4" t="str">
        <f>IFERROR(__xludf.DUMMYFUNCTION("""COMPUTED_VALUE"""),"Cluster 1")</f>
        <v>Cluster 1</v>
      </c>
      <c r="K604" s="4" t="str">
        <f>IFERROR(__xludf.DUMMYFUNCTION("""COMPUTED_VALUE"""),"SANI IDI DAN FULANI STREET")</f>
        <v>SANI IDI DAN FULANI STREET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 t="str">
        <f>IFERROR(__xludf.DUMMYFUNCTION("""COMPUTED_VALUE"""),"Point 1")</f>
        <v>Point 1</v>
      </c>
      <c r="AC604" s="4">
        <f>IFERROR(__xludf.DUMMYFUNCTION("""COMPUTED_VALUE"""),11.99733428)</f>
        <v>11.99733428</v>
      </c>
      <c r="AD604" s="4">
        <f>IFERROR(__xludf.DUMMYFUNCTION("""COMPUTED_VALUE"""),8.574633653)</f>
        <v>8.574633653</v>
      </c>
      <c r="AE604" s="5" t="str">
        <f>IFERROR(__xludf.DUMMYFUNCTION("""COMPUTED_VALUE"""),"https://drive.google.com/open?id=1v8UcZLGUFhMY0IolYdqG8znYSdUNTPsr")</f>
        <v>https://drive.google.com/open?id=1v8UcZLGUFhMY0IolYdqG8znYSdUNTPsr</v>
      </c>
      <c r="AF604" s="4"/>
      <c r="AG604" s="4"/>
      <c r="AH604" s="4"/>
      <c r="AI604" s="4"/>
      <c r="AL604" s="4" t="str">
        <f t="shared" si="1"/>
        <v>Cluster 1</v>
      </c>
      <c r="AM604" s="4" t="str">
        <f t="shared" si="2"/>
        <v>SANI IDI DAN FULANI STREET</v>
      </c>
    </row>
    <row r="605">
      <c r="A605" s="3">
        <f>IFERROR(__xludf.DUMMYFUNCTION("""COMPUTED_VALUE"""),45856.95537981481)</f>
        <v>45856.95538</v>
      </c>
      <c r="B605" s="4" t="str">
        <f>IFERROR(__xludf.DUMMYFUNCTION("""COMPUTED_VALUE"""),"elhabs256@gmail.com")</f>
        <v>elhabs256@gmail.com</v>
      </c>
      <c r="C605" s="4" t="str">
        <f>IFERROR(__xludf.DUMMYFUNCTION("""COMPUTED_VALUE"""),"Abdullahi Elhabeeb")</f>
        <v>Abdullahi Elhabeeb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 t="str">
        <f>IFERROR(__xludf.DUMMYFUNCTION("""COMPUTED_VALUE"""),"Cluster 6")</f>
        <v>Cluster 6</v>
      </c>
      <c r="Q605" s="4" t="str">
        <f>IFERROR(__xludf.DUMMYFUNCTION("""COMPUTED_VALUE"""),"HAMZA ABDULLAHI ROAD")</f>
        <v>HAMZA ABDULLAHI ROAD</v>
      </c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 t="str">
        <f>IFERROR(__xludf.DUMMYFUNCTION("""COMPUTED_VALUE"""),"Point 2")</f>
        <v>Point 2</v>
      </c>
      <c r="AC605" s="4">
        <f>IFERROR(__xludf.DUMMYFUNCTION("""COMPUTED_VALUE"""),11.981597)</f>
        <v>11.981597</v>
      </c>
      <c r="AD605" s="4">
        <f>IFERROR(__xludf.DUMMYFUNCTION("""COMPUTED_VALUE"""),8.554994)</f>
        <v>8.554994</v>
      </c>
      <c r="AE605" s="5" t="str">
        <f>IFERROR(__xludf.DUMMYFUNCTION("""COMPUTED_VALUE"""),"https://drive.google.com/open?id=15nO81fDBMjFDfP2cJCVA7OxMzIQyMmsa")</f>
        <v>https://drive.google.com/open?id=15nO81fDBMjFDfP2cJCVA7OxMzIQyMmsa</v>
      </c>
      <c r="AF605" s="4"/>
      <c r="AG605" s="4"/>
      <c r="AH605" s="4"/>
      <c r="AI605" s="4"/>
      <c r="AL605" s="4" t="str">
        <f t="shared" si="1"/>
        <v>Cluster 6</v>
      </c>
      <c r="AM605" s="4" t="str">
        <f t="shared" si="2"/>
        <v>HAMZA ABDULLAHI ROAD</v>
      </c>
    </row>
    <row r="606">
      <c r="A606" s="3">
        <f>IFERROR(__xludf.DUMMYFUNCTION("""COMPUTED_VALUE"""),45856.95384766204)</f>
        <v>45856.95385</v>
      </c>
      <c r="B606" s="4" t="str">
        <f>IFERROR(__xludf.DUMMYFUNCTION("""COMPUTED_VALUE"""),"elhabs256@gmail.com")</f>
        <v>elhabs256@gmail.com</v>
      </c>
      <c r="C606" s="4" t="str">
        <f>IFERROR(__xludf.DUMMYFUNCTION("""COMPUTED_VALUE"""),"Abdullahi Elhabeeb")</f>
        <v>Abdullahi Elhabeeb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 t="str">
        <f>IFERROR(__xludf.DUMMYFUNCTION("""COMPUTED_VALUE"""),"Cluster 6")</f>
        <v>Cluster 6</v>
      </c>
      <c r="Q606" s="4" t="str">
        <f>IFERROR(__xludf.DUMMYFUNCTION("""COMPUTED_VALUE"""),"HAMZA ABDULLAHI ROAD")</f>
        <v>HAMZA ABDULLAHI ROAD</v>
      </c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 t="str">
        <f>IFERROR(__xludf.DUMMYFUNCTION("""COMPUTED_VALUE"""),"Point 1")</f>
        <v>Point 1</v>
      </c>
      <c r="AC606" s="4">
        <f>IFERROR(__xludf.DUMMYFUNCTION("""COMPUTED_VALUE"""),11.981581)</f>
        <v>11.981581</v>
      </c>
      <c r="AD606" s="4">
        <f>IFERROR(__xludf.DUMMYFUNCTION("""COMPUTED_VALUE"""),8.5549361)</f>
        <v>8.5549361</v>
      </c>
      <c r="AE606" s="5" t="str">
        <f>IFERROR(__xludf.DUMMYFUNCTION("""COMPUTED_VALUE"""),"https://drive.google.com/open?id=1_30COL_peTtNcuoYqiP2FKQc9nDmzi7S")</f>
        <v>https://drive.google.com/open?id=1_30COL_peTtNcuoYqiP2FKQc9nDmzi7S</v>
      </c>
      <c r="AF606" s="4"/>
      <c r="AG606" s="4"/>
      <c r="AH606" s="4"/>
      <c r="AI606" s="4"/>
      <c r="AL606" s="4" t="str">
        <f t="shared" si="1"/>
        <v>Cluster 6</v>
      </c>
      <c r="AM606" s="4" t="str">
        <f t="shared" si="2"/>
        <v>HAMZA ABDULLAHI ROAD</v>
      </c>
    </row>
    <row r="607">
      <c r="A607" s="3">
        <f>IFERROR(__xludf.DUMMYFUNCTION("""COMPUTED_VALUE"""),45856.95028302084)</f>
        <v>45856.95028</v>
      </c>
      <c r="B607" s="4" t="str">
        <f>IFERROR(__xludf.DUMMYFUNCTION("""COMPUTED_VALUE"""),"elhabs256@gmail.com")</f>
        <v>elhabs256@gmail.com</v>
      </c>
      <c r="C607" s="4" t="str">
        <f>IFERROR(__xludf.DUMMYFUNCTION("""COMPUTED_VALUE"""),"Abdullahi Elhabeeb")</f>
        <v>Abdullahi Elhabeeb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 t="str">
        <f>IFERROR(__xludf.DUMMYFUNCTION("""COMPUTED_VALUE"""),"Cluster 6")</f>
        <v>Cluster 6</v>
      </c>
      <c r="Q607" s="4" t="str">
        <f>IFERROR(__xludf.DUMMYFUNCTION("""COMPUTED_VALUE"""),"LAYIN FARIN GIDA STREET")</f>
        <v>LAYIN FARIN GIDA STREET</v>
      </c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 t="str">
        <f>IFERROR(__xludf.DUMMYFUNCTION("""COMPUTED_VALUE"""),"Point 1")</f>
        <v>Point 1</v>
      </c>
      <c r="AC607" s="4">
        <f>IFERROR(__xludf.DUMMYFUNCTION("""COMPUTED_VALUE"""),11.97456334)</f>
        <v>11.97456334</v>
      </c>
      <c r="AD607" s="4">
        <f>IFERROR(__xludf.DUMMYFUNCTION("""COMPUTED_VALUE"""),8.557185514)</f>
        <v>8.557185514</v>
      </c>
      <c r="AE607" s="5" t="str">
        <f>IFERROR(__xludf.DUMMYFUNCTION("""COMPUTED_VALUE"""),"https://drive.google.com/open?id=1o-_3pxPEWm5LaQnT5U5y_ic_DHdBuRnb")</f>
        <v>https://drive.google.com/open?id=1o-_3pxPEWm5LaQnT5U5y_ic_DHdBuRnb</v>
      </c>
      <c r="AF607" s="4"/>
      <c r="AG607" s="4"/>
      <c r="AH607" s="4"/>
      <c r="AI607" s="4"/>
      <c r="AL607" s="4" t="str">
        <f t="shared" si="1"/>
        <v>Cluster 6</v>
      </c>
      <c r="AM607" s="4" t="str">
        <f t="shared" si="2"/>
        <v>LAYIN FARIN GIDA STREET</v>
      </c>
    </row>
    <row r="608">
      <c r="A608" s="3">
        <f>IFERROR(__xludf.DUMMYFUNCTION("""COMPUTED_VALUE"""),45856.945339074075)</f>
        <v>45856.94534</v>
      </c>
      <c r="B608" s="4" t="str">
        <f>IFERROR(__xludf.DUMMYFUNCTION("""COMPUTED_VALUE"""),"elhabs256@gmail.com")</f>
        <v>elhabs256@gmail.com</v>
      </c>
      <c r="C608" s="4" t="str">
        <f>IFERROR(__xludf.DUMMYFUNCTION("""COMPUTED_VALUE"""),"Abdullahi Elhabeeb")</f>
        <v>Abdullahi Elhabeeb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 t="str">
        <f>IFERROR(__xludf.DUMMYFUNCTION("""COMPUTED_VALUE"""),"Cluster 6")</f>
        <v>Cluster 6</v>
      </c>
      <c r="Q608" s="4" t="str">
        <f>IFERROR(__xludf.DUMMYFUNCTION("""COMPUTED_VALUE"""),"SABBABU STREET")</f>
        <v>SABBABU STREET</v>
      </c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 t="str">
        <f>IFERROR(__xludf.DUMMYFUNCTION("""COMPUTED_VALUE"""),"Point 2")</f>
        <v>Point 2</v>
      </c>
      <c r="AC608" s="4">
        <f>IFERROR(__xludf.DUMMYFUNCTION("""COMPUTED_VALUE"""),11.970538)</f>
        <v>11.970538</v>
      </c>
      <c r="AD608" s="4">
        <f>IFERROR(__xludf.DUMMYFUNCTION("""COMPUTED_VALUE"""),8.556129)</f>
        <v>8.556129</v>
      </c>
      <c r="AE608" s="5" t="str">
        <f>IFERROR(__xludf.DUMMYFUNCTION("""COMPUTED_VALUE"""),"https://drive.google.com/open?id=1V09x5IpNvn90rmR0Oo5kIQqR0eVnRi1C")</f>
        <v>https://drive.google.com/open?id=1V09x5IpNvn90rmR0Oo5kIQqR0eVnRi1C</v>
      </c>
      <c r="AF608" s="4"/>
      <c r="AG608" s="4"/>
      <c r="AH608" s="4"/>
      <c r="AI608" s="4"/>
      <c r="AL608" s="4" t="str">
        <f t="shared" si="1"/>
        <v>Cluster 6</v>
      </c>
      <c r="AM608" s="4" t="str">
        <f t="shared" si="2"/>
        <v>SABBABU STREET</v>
      </c>
    </row>
    <row r="609">
      <c r="A609" s="3">
        <f>IFERROR(__xludf.DUMMYFUNCTION("""COMPUTED_VALUE"""),45856.94376736111)</f>
        <v>45856.94377</v>
      </c>
      <c r="B609" s="4" t="str">
        <f>IFERROR(__xludf.DUMMYFUNCTION("""COMPUTED_VALUE"""),"elhabs256@gmail.com")</f>
        <v>elhabs256@gmail.com</v>
      </c>
      <c r="C609" s="4" t="str">
        <f>IFERROR(__xludf.DUMMYFUNCTION("""COMPUTED_VALUE"""),"Abdullahi Elhabeeb")</f>
        <v>Abdullahi Elhabeeb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 t="str">
        <f>IFERROR(__xludf.DUMMYFUNCTION("""COMPUTED_VALUE"""),"Cluster 6")</f>
        <v>Cluster 6</v>
      </c>
      <c r="Q609" s="4" t="str">
        <f>IFERROR(__xludf.DUMMYFUNCTION("""COMPUTED_VALUE"""),"SABBABU STREET")</f>
        <v>SABBABU STREET</v>
      </c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 t="str">
        <f>IFERROR(__xludf.DUMMYFUNCTION("""COMPUTED_VALUE"""),"Point 1")</f>
        <v>Point 1</v>
      </c>
      <c r="AC609" s="4">
        <f>IFERROR(__xludf.DUMMYFUNCTION("""COMPUTED_VALUE"""),11.97069708)</f>
        <v>11.97069708</v>
      </c>
      <c r="AD609" s="4">
        <f>IFERROR(__xludf.DUMMYFUNCTION("""COMPUTED_VALUE"""),8.55660452)</f>
        <v>8.55660452</v>
      </c>
      <c r="AE609" s="5" t="str">
        <f>IFERROR(__xludf.DUMMYFUNCTION("""COMPUTED_VALUE"""),"https://drive.google.com/open?id=18OQ47W0gmSaxypeaDpN8HtjzznPc8wIY")</f>
        <v>https://drive.google.com/open?id=18OQ47W0gmSaxypeaDpN8HtjzznPc8wIY</v>
      </c>
      <c r="AF609" s="4"/>
      <c r="AG609" s="4"/>
      <c r="AH609" s="4"/>
      <c r="AI609" s="4"/>
      <c r="AL609" s="4" t="str">
        <f t="shared" si="1"/>
        <v>Cluster 6</v>
      </c>
      <c r="AM609" s="4" t="str">
        <f t="shared" si="2"/>
        <v>SABBABU STREET</v>
      </c>
    </row>
    <row r="610">
      <c r="A610" s="3">
        <f>IFERROR(__xludf.DUMMYFUNCTION("""COMPUTED_VALUE"""),45856.94200513889)</f>
        <v>45856.94201</v>
      </c>
      <c r="B610" s="4" t="str">
        <f>IFERROR(__xludf.DUMMYFUNCTION("""COMPUTED_VALUE"""),"elhabs256@gmail.com")</f>
        <v>elhabs256@gmail.com</v>
      </c>
      <c r="C610" s="4" t="str">
        <f>IFERROR(__xludf.DUMMYFUNCTION("""COMPUTED_VALUE"""),"Abdullahi Elhabeeb")</f>
        <v>Abdullahi Elhabeeb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 t="str">
        <f>IFERROR(__xludf.DUMMYFUNCTION("""COMPUTED_VALUE"""),"Cluster 6")</f>
        <v>Cluster 6</v>
      </c>
      <c r="Q610" s="4" t="str">
        <f>IFERROR(__xludf.DUMMYFUNCTION("""COMPUTED_VALUE"""),"SANI LAWAN STREET")</f>
        <v>SANI LAWAN STREET</v>
      </c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 t="str">
        <f>IFERROR(__xludf.DUMMYFUNCTION("""COMPUTED_VALUE"""),"Point 2")</f>
        <v>Point 2</v>
      </c>
      <c r="AC610" s="4">
        <f>IFERROR(__xludf.DUMMYFUNCTION("""COMPUTED_VALUE"""),11.971787)</f>
        <v>11.971787</v>
      </c>
      <c r="AD610" s="4">
        <f>IFERROR(__xludf.DUMMYFUNCTION("""COMPUTED_VALUE"""),8.558604)</f>
        <v>8.558604</v>
      </c>
      <c r="AE610" s="5" t="str">
        <f>IFERROR(__xludf.DUMMYFUNCTION("""COMPUTED_VALUE"""),"https://drive.google.com/open?id=1R1v1ZIv0AXQOOK_yMzQPm3l4NluckjUX")</f>
        <v>https://drive.google.com/open?id=1R1v1ZIv0AXQOOK_yMzQPm3l4NluckjUX</v>
      </c>
      <c r="AF610" s="4"/>
      <c r="AG610" s="4"/>
      <c r="AH610" s="4"/>
      <c r="AI610" s="4"/>
      <c r="AL610" s="4" t="str">
        <f t="shared" si="1"/>
        <v>Cluster 6</v>
      </c>
      <c r="AM610" s="4" t="str">
        <f t="shared" si="2"/>
        <v>SANI LAWAN STREET</v>
      </c>
    </row>
    <row r="611">
      <c r="A611" s="3">
        <f>IFERROR(__xludf.DUMMYFUNCTION("""COMPUTED_VALUE"""),45856.93813896991)</f>
        <v>45856.93814</v>
      </c>
      <c r="B611" s="4" t="str">
        <f>IFERROR(__xludf.DUMMYFUNCTION("""COMPUTED_VALUE"""),"elhabs256@gmail.com")</f>
        <v>elhabs256@gmail.com</v>
      </c>
      <c r="C611" s="4" t="str">
        <f>IFERROR(__xludf.DUMMYFUNCTION("""COMPUTED_VALUE"""),"Abdullahi Elhabeeb")</f>
        <v>Abdullahi Elhabeeb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 t="str">
        <f>IFERROR(__xludf.DUMMYFUNCTION("""COMPUTED_VALUE"""),"Cluster 6")</f>
        <v>Cluster 6</v>
      </c>
      <c r="Q611" s="4" t="str">
        <f>IFERROR(__xludf.DUMMYFUNCTION("""COMPUTED_VALUE"""),"SANI LAWAN STREET")</f>
        <v>SANI LAWAN STREET</v>
      </c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 t="str">
        <f>IFERROR(__xludf.DUMMYFUNCTION("""COMPUTED_VALUE"""),"Point 1")</f>
        <v>Point 1</v>
      </c>
      <c r="AC611" s="4">
        <f>IFERROR(__xludf.DUMMYFUNCTION("""COMPUTED_VALUE"""),11.97384281)</f>
        <v>11.97384281</v>
      </c>
      <c r="AD611" s="4">
        <f>IFERROR(__xludf.DUMMYFUNCTION("""COMPUTED_VALUE"""),8.560990795)</f>
        <v>8.560990795</v>
      </c>
      <c r="AE611" s="5" t="str">
        <f>IFERROR(__xludf.DUMMYFUNCTION("""COMPUTED_VALUE"""),"https://drive.google.com/open?id=1bI3x62eB-1-CekS-9-eaE8mtH5q4w4pa")</f>
        <v>https://drive.google.com/open?id=1bI3x62eB-1-CekS-9-eaE8mtH5q4w4pa</v>
      </c>
      <c r="AF611" s="4"/>
      <c r="AG611" s="4"/>
      <c r="AH611" s="4"/>
      <c r="AI611" s="4"/>
      <c r="AL611" s="4" t="str">
        <f t="shared" si="1"/>
        <v>Cluster 6</v>
      </c>
      <c r="AM611" s="4" t="str">
        <f t="shared" si="2"/>
        <v>SANI LAWAN STREET</v>
      </c>
    </row>
    <row r="612">
      <c r="A612" s="3">
        <f>IFERROR(__xludf.DUMMYFUNCTION("""COMPUTED_VALUE"""),45856.92442480324)</f>
        <v>45856.92442</v>
      </c>
      <c r="B612" s="4" t="str">
        <f>IFERROR(__xludf.DUMMYFUNCTION("""COMPUTED_VALUE"""),"elhabs256@gmail.com")</f>
        <v>elhabs256@gmail.com</v>
      </c>
      <c r="C612" s="4" t="str">
        <f>IFERROR(__xludf.DUMMYFUNCTION("""COMPUTED_VALUE"""),"Abdullahi Elhabeeb")</f>
        <v>Abdullahi Elhabeeb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 t="str">
        <f>IFERROR(__xludf.DUMMYFUNCTION("""COMPUTED_VALUE"""),"Cluster 6")</f>
        <v>Cluster 6</v>
      </c>
      <c r="Q612" s="4" t="str">
        <f>IFERROR(__xludf.DUMMYFUNCTION("""COMPUTED_VALUE"""),"GIDADO ROAD")</f>
        <v>GIDADO ROAD</v>
      </c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 t="str">
        <f>IFERROR(__xludf.DUMMYFUNCTION("""COMPUTED_VALUE"""),"Point 2")</f>
        <v>Point 2</v>
      </c>
      <c r="AC612" s="4">
        <f>IFERROR(__xludf.DUMMYFUNCTION("""COMPUTED_VALUE"""),11.985992)</f>
        <v>11.985992</v>
      </c>
      <c r="AD612" s="4">
        <f>IFERROR(__xludf.DUMMYFUNCTION("""COMPUTED_VALUE"""),8.558057)</f>
        <v>8.558057</v>
      </c>
      <c r="AE612" s="5" t="str">
        <f>IFERROR(__xludf.DUMMYFUNCTION("""COMPUTED_VALUE"""),"https://drive.google.com/open?id=1_JtoD2q-pasOzao4qb6iWUaVlLB70-5_")</f>
        <v>https://drive.google.com/open?id=1_JtoD2q-pasOzao4qb6iWUaVlLB70-5_</v>
      </c>
      <c r="AF612" s="4"/>
      <c r="AG612" s="4"/>
      <c r="AH612" s="4"/>
      <c r="AI612" s="4"/>
      <c r="AL612" s="4" t="str">
        <f t="shared" si="1"/>
        <v>Cluster 6</v>
      </c>
      <c r="AM612" s="4" t="str">
        <f t="shared" si="2"/>
        <v>GIDADO ROAD</v>
      </c>
    </row>
    <row r="613">
      <c r="A613" s="3">
        <f>IFERROR(__xludf.DUMMYFUNCTION("""COMPUTED_VALUE"""),45856.922558819446)</f>
        <v>45856.92256</v>
      </c>
      <c r="B613" s="4" t="str">
        <f>IFERROR(__xludf.DUMMYFUNCTION("""COMPUTED_VALUE"""),"elhabs256@gmail.com")</f>
        <v>elhabs256@gmail.com</v>
      </c>
      <c r="C613" s="4" t="str">
        <f>IFERROR(__xludf.DUMMYFUNCTION("""COMPUTED_VALUE"""),"Abdullahi Elhabeeb")</f>
        <v>Abdullahi Elhabeeb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 t="str">
        <f>IFERROR(__xludf.DUMMYFUNCTION("""COMPUTED_VALUE"""),"Cluster 6")</f>
        <v>Cluster 6</v>
      </c>
      <c r="Q613" s="4" t="str">
        <f>IFERROR(__xludf.DUMMYFUNCTION("""COMPUTED_VALUE"""),"GIDADO ROAD")</f>
        <v>GIDADO ROAD</v>
      </c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 t="str">
        <f>IFERROR(__xludf.DUMMYFUNCTION("""COMPUTED_VALUE"""),"Point 1")</f>
        <v>Point 1</v>
      </c>
      <c r="AC613" s="4">
        <f>IFERROR(__xludf.DUMMYFUNCTION("""COMPUTED_VALUE"""),11.987588)</f>
        <v>11.987588</v>
      </c>
      <c r="AD613" s="4">
        <f>IFERROR(__xludf.DUMMYFUNCTION("""COMPUTED_VALUE"""),8.552694)</f>
        <v>8.552694</v>
      </c>
      <c r="AE613" s="5" t="str">
        <f>IFERROR(__xludf.DUMMYFUNCTION("""COMPUTED_VALUE"""),"https://drive.google.com/open?id=1D7Oud-TIMeCW2Xxk6N2uulr5NOGbHZf0")</f>
        <v>https://drive.google.com/open?id=1D7Oud-TIMeCW2Xxk6N2uulr5NOGbHZf0</v>
      </c>
      <c r="AF613" s="4"/>
      <c r="AG613" s="4"/>
      <c r="AH613" s="4"/>
      <c r="AI613" s="4"/>
      <c r="AL613" s="4" t="str">
        <f t="shared" si="1"/>
        <v>Cluster 6</v>
      </c>
      <c r="AM613" s="4" t="str">
        <f t="shared" si="2"/>
        <v>GIDADO ROAD</v>
      </c>
    </row>
    <row r="614">
      <c r="A614" s="3">
        <f>IFERROR(__xludf.DUMMYFUNCTION("""COMPUTED_VALUE"""),45856.920704247685)</f>
        <v>45856.9207</v>
      </c>
      <c r="B614" s="4" t="str">
        <f>IFERROR(__xludf.DUMMYFUNCTION("""COMPUTED_VALUE"""),"elhabs256@gmail.com")</f>
        <v>elhabs256@gmail.com</v>
      </c>
      <c r="C614" s="4" t="str">
        <f>IFERROR(__xludf.DUMMYFUNCTION("""COMPUTED_VALUE"""),"Abdullahi Elhabeeb")</f>
        <v>Abdullahi Elhabeeb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 t="str">
        <f>IFERROR(__xludf.DUMMYFUNCTION("""COMPUTED_VALUE"""),"Cluster 6")</f>
        <v>Cluster 6</v>
      </c>
      <c r="Q614" s="4" t="str">
        <f>IFERROR(__xludf.DUMMYFUNCTION("""COMPUTED_VALUE"""),"JIBRIL WUDIL STREET")</f>
        <v>JIBRIL WUDIL STREET</v>
      </c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 t="str">
        <f>IFERROR(__xludf.DUMMYFUNCTION("""COMPUTED_VALUE"""),"Point 2")</f>
        <v>Point 2</v>
      </c>
      <c r="AC614" s="4">
        <f>IFERROR(__xludf.DUMMYFUNCTION("""COMPUTED_VALUE"""),11.975283)</f>
        <v>11.975283</v>
      </c>
      <c r="AD614" s="4">
        <f>IFERROR(__xludf.DUMMYFUNCTION("""COMPUTED_VALUE"""),8.561972)</f>
        <v>8.561972</v>
      </c>
      <c r="AE614" s="5" t="str">
        <f>IFERROR(__xludf.DUMMYFUNCTION("""COMPUTED_VALUE"""),"https://drive.google.com/open?id=1wq7gUhC5_oCL689dGW428Iw45E_G6IGY")</f>
        <v>https://drive.google.com/open?id=1wq7gUhC5_oCL689dGW428Iw45E_G6IGY</v>
      </c>
      <c r="AF614" s="4"/>
      <c r="AG614" s="4"/>
      <c r="AH614" s="4"/>
      <c r="AI614" s="4"/>
      <c r="AL614" s="4" t="str">
        <f t="shared" si="1"/>
        <v>Cluster 6</v>
      </c>
      <c r="AM614" s="4" t="str">
        <f t="shared" si="2"/>
        <v>JIBRIL WUDIL STREET</v>
      </c>
    </row>
    <row r="615">
      <c r="A615" s="3">
        <f>IFERROR(__xludf.DUMMYFUNCTION("""COMPUTED_VALUE"""),45856.918922083336)</f>
        <v>45856.91892</v>
      </c>
      <c r="B615" s="4" t="str">
        <f>IFERROR(__xludf.DUMMYFUNCTION("""COMPUTED_VALUE"""),"elhabs256@gmail.com")</f>
        <v>elhabs256@gmail.com</v>
      </c>
      <c r="C615" s="4" t="str">
        <f>IFERROR(__xludf.DUMMYFUNCTION("""COMPUTED_VALUE"""),"Abdullahi Elhabeeb")</f>
        <v>Abdullahi Elhabeeb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 t="str">
        <f>IFERROR(__xludf.DUMMYFUNCTION("""COMPUTED_VALUE"""),"Cluster 6")</f>
        <v>Cluster 6</v>
      </c>
      <c r="Q615" s="4" t="str">
        <f>IFERROR(__xludf.DUMMYFUNCTION("""COMPUTED_VALUE"""),"JIBRIL WUDIL STREET")</f>
        <v>JIBRIL WUDIL STREET</v>
      </c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 t="str">
        <f>IFERROR(__xludf.DUMMYFUNCTION("""COMPUTED_VALUE"""),"Point 1")</f>
        <v>Point 1</v>
      </c>
      <c r="AC615" s="4">
        <f>IFERROR(__xludf.DUMMYFUNCTION("""COMPUTED_VALUE"""),11.97597247)</f>
        <v>11.97597247</v>
      </c>
      <c r="AD615" s="4">
        <f>IFERROR(__xludf.DUMMYFUNCTION("""COMPUTED_VALUE"""),8.561058385)</f>
        <v>8.561058385</v>
      </c>
      <c r="AE615" s="5" t="str">
        <f>IFERROR(__xludf.DUMMYFUNCTION("""COMPUTED_VALUE"""),"https://drive.google.com/open?id=1V06SPXWgAxYsFBSzg_HvlUBFvClDFsw-")</f>
        <v>https://drive.google.com/open?id=1V06SPXWgAxYsFBSzg_HvlUBFvClDFsw-</v>
      </c>
      <c r="AF615" s="4"/>
      <c r="AG615" s="4"/>
      <c r="AH615" s="4"/>
      <c r="AI615" s="4"/>
      <c r="AL615" s="4" t="str">
        <f t="shared" si="1"/>
        <v>Cluster 6</v>
      </c>
      <c r="AM615" s="4" t="str">
        <f t="shared" si="2"/>
        <v>JIBRIL WUDIL STREET</v>
      </c>
    </row>
    <row r="616">
      <c r="A616" s="3">
        <f>IFERROR(__xludf.DUMMYFUNCTION("""COMPUTED_VALUE"""),45856.91593537037)</f>
        <v>45856.91594</v>
      </c>
      <c r="B616" s="4" t="str">
        <f>IFERROR(__xludf.DUMMYFUNCTION("""COMPUTED_VALUE"""),"elhabs256@gmail.com")</f>
        <v>elhabs256@gmail.com</v>
      </c>
      <c r="C616" s="4" t="str">
        <f>IFERROR(__xludf.DUMMYFUNCTION("""COMPUTED_VALUE"""),"Abdullahi Elhabeeb")</f>
        <v>Abdullahi Elhabeeb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 t="str">
        <f>IFERROR(__xludf.DUMMYFUNCTION("""COMPUTED_VALUE"""),"Cluster 6")</f>
        <v>Cluster 6</v>
      </c>
      <c r="Q616" s="4" t="str">
        <f>IFERROR(__xludf.DUMMYFUNCTION("""COMPUTED_VALUE"""),"SABO BAKIN ZUWO ROAD")</f>
        <v>SABO BAKIN ZUWO ROAD</v>
      </c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 t="str">
        <f>IFERROR(__xludf.DUMMYFUNCTION("""COMPUTED_VALUE"""),"Point 1")</f>
        <v>Point 1</v>
      </c>
      <c r="AC616" s="4">
        <f>IFERROR(__xludf.DUMMYFUNCTION("""COMPUTED_VALUE"""),11.985843)</f>
        <v>11.985843</v>
      </c>
      <c r="AD616" s="4">
        <f>IFERROR(__xludf.DUMMYFUNCTION("""COMPUTED_VALUE"""),8.551091)</f>
        <v>8.551091</v>
      </c>
      <c r="AE616" s="5" t="str">
        <f>IFERROR(__xludf.DUMMYFUNCTION("""COMPUTED_VALUE"""),"https://drive.google.com/open?id=1CqEgjc97ZAohru4tbtRVrzdOXwALzH3U")</f>
        <v>https://drive.google.com/open?id=1CqEgjc97ZAohru4tbtRVrzdOXwALzH3U</v>
      </c>
      <c r="AF616" s="4"/>
      <c r="AG616" s="4"/>
      <c r="AH616" s="4"/>
      <c r="AI616" s="4"/>
      <c r="AL616" s="4" t="str">
        <f t="shared" si="1"/>
        <v>Cluster 6</v>
      </c>
      <c r="AM616" s="4" t="str">
        <f t="shared" si="2"/>
        <v>SABO BAKIN ZUWO ROAD</v>
      </c>
    </row>
    <row r="617">
      <c r="A617" s="3">
        <f>IFERROR(__xludf.DUMMYFUNCTION("""COMPUTED_VALUE"""),45856.9142258912)</f>
        <v>45856.91423</v>
      </c>
      <c r="B617" s="4" t="str">
        <f>IFERROR(__xludf.DUMMYFUNCTION("""COMPUTED_VALUE"""),"elhabs256@gmail.com")</f>
        <v>elhabs256@gmail.com</v>
      </c>
      <c r="C617" s="4" t="str">
        <f>IFERROR(__xludf.DUMMYFUNCTION("""COMPUTED_VALUE"""),"Abdullahi Elhabeeb")</f>
        <v>Abdullahi Elhabeeb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 t="str">
        <f>IFERROR(__xludf.DUMMYFUNCTION("""COMPUTED_VALUE"""),"Cluster 6")</f>
        <v>Cluster 6</v>
      </c>
      <c r="Q617" s="4" t="str">
        <f>IFERROR(__xludf.DUMMYFUNCTION("""COMPUTED_VALUE"""),"TUKUR ROAD")</f>
        <v>TUKUR ROAD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 t="str">
        <f>IFERROR(__xludf.DUMMYFUNCTION("""COMPUTED_VALUE"""),"Point 2")</f>
        <v>Point 2</v>
      </c>
      <c r="AC617" s="4">
        <f>IFERROR(__xludf.DUMMYFUNCTION("""COMPUTED_VALUE"""),12.000738)</f>
        <v>12.000738</v>
      </c>
      <c r="AD617" s="4">
        <f>IFERROR(__xludf.DUMMYFUNCTION("""COMPUTED_VALUE"""),8.560751)</f>
        <v>8.560751</v>
      </c>
      <c r="AE617" s="5" t="str">
        <f>IFERROR(__xludf.DUMMYFUNCTION("""COMPUTED_VALUE"""),"https://drive.google.com/open?id=1x5Cfsw42XPKcIFk95xHGhQAUcLhkEHeY")</f>
        <v>https://drive.google.com/open?id=1x5Cfsw42XPKcIFk95xHGhQAUcLhkEHeY</v>
      </c>
      <c r="AF617" s="4"/>
      <c r="AG617" s="4"/>
      <c r="AH617" s="4"/>
      <c r="AI617" s="4"/>
      <c r="AL617" s="4" t="str">
        <f t="shared" si="1"/>
        <v>Cluster 6</v>
      </c>
      <c r="AM617" s="4" t="str">
        <f t="shared" si="2"/>
        <v>TUKUR ROAD</v>
      </c>
    </row>
    <row r="618">
      <c r="A618" s="3">
        <f>IFERROR(__xludf.DUMMYFUNCTION("""COMPUTED_VALUE"""),45856.91294231481)</f>
        <v>45856.91294</v>
      </c>
      <c r="B618" s="4" t="str">
        <f>IFERROR(__xludf.DUMMYFUNCTION("""COMPUTED_VALUE"""),"elhabs256@gmail.com")</f>
        <v>elhabs256@gmail.com</v>
      </c>
      <c r="C618" s="4" t="str">
        <f>IFERROR(__xludf.DUMMYFUNCTION("""COMPUTED_VALUE"""),"Abdullahi Elhabeeb")</f>
        <v>Abdullahi Elhabeeb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 t="str">
        <f>IFERROR(__xludf.DUMMYFUNCTION("""COMPUTED_VALUE"""),"Cluster 6")</f>
        <v>Cluster 6</v>
      </c>
      <c r="Q618" s="4" t="str">
        <f>IFERROR(__xludf.DUMMYFUNCTION("""COMPUTED_VALUE"""),"TUKUR ROAD")</f>
        <v>TUKUR ROAD</v>
      </c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 t="str">
        <f>IFERROR(__xludf.DUMMYFUNCTION("""COMPUTED_VALUE"""),"Point 1")</f>
        <v>Point 1</v>
      </c>
      <c r="AC618" s="4">
        <f>IFERROR(__xludf.DUMMYFUNCTION("""COMPUTED_VALUE"""),12.00084)</f>
        <v>12.00084</v>
      </c>
      <c r="AD618" s="4">
        <f>IFERROR(__xludf.DUMMYFUNCTION("""COMPUTED_VALUE"""),8.552981)</f>
        <v>8.552981</v>
      </c>
      <c r="AE618" s="5" t="str">
        <f>IFERROR(__xludf.DUMMYFUNCTION("""COMPUTED_VALUE"""),"https://drive.google.com/open?id=1CVQv5pazoIMQiynddzDL9MJsB0CItzos")</f>
        <v>https://drive.google.com/open?id=1CVQv5pazoIMQiynddzDL9MJsB0CItzos</v>
      </c>
      <c r="AF618" s="4"/>
      <c r="AG618" s="4"/>
      <c r="AH618" s="4"/>
      <c r="AI618" s="4"/>
      <c r="AL618" s="4" t="str">
        <f t="shared" si="1"/>
        <v>Cluster 6</v>
      </c>
      <c r="AM618" s="4" t="str">
        <f t="shared" si="2"/>
        <v>TUKUR ROAD</v>
      </c>
    </row>
    <row r="619">
      <c r="A619" s="3">
        <f>IFERROR(__xludf.DUMMYFUNCTION("""COMPUTED_VALUE"""),45856.91118047453)</f>
        <v>45856.91118</v>
      </c>
      <c r="B619" s="4" t="str">
        <f>IFERROR(__xludf.DUMMYFUNCTION("""COMPUTED_VALUE"""),"elhabs256@gmail.com")</f>
        <v>elhabs256@gmail.com</v>
      </c>
      <c r="C619" s="4" t="str">
        <f>IFERROR(__xludf.DUMMYFUNCTION("""COMPUTED_VALUE"""),"Abdullahi Elhabeeb")</f>
        <v>Abdullahi Elhabeeb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 t="str">
        <f>IFERROR(__xludf.DUMMYFUNCTION("""COMPUTED_VALUE"""),"Cluster 6")</f>
        <v>Cluster 6</v>
      </c>
      <c r="Q619" s="4" t="str">
        <f>IFERROR(__xludf.DUMMYFUNCTION("""COMPUTED_VALUE"""),"AHMED DAKU ROAD")</f>
        <v>AHMED DAKU ROAD</v>
      </c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 t="str">
        <f>IFERROR(__xludf.DUMMYFUNCTION("""COMPUTED_VALUE"""),"Point 2")</f>
        <v>Point 2</v>
      </c>
      <c r="AC619" s="4">
        <f>IFERROR(__xludf.DUMMYFUNCTION("""COMPUTED_VALUE"""),11.980294)</f>
        <v>11.980294</v>
      </c>
      <c r="AD619" s="4">
        <f>IFERROR(__xludf.DUMMYFUNCTION("""COMPUTED_VALUE"""),8.555686)</f>
        <v>8.555686</v>
      </c>
      <c r="AE619" s="5" t="str">
        <f>IFERROR(__xludf.DUMMYFUNCTION("""COMPUTED_VALUE"""),"https://drive.google.com/open?id=1U4X8J18aiP0dolkKDitug6tIXmknGPZc")</f>
        <v>https://drive.google.com/open?id=1U4X8J18aiP0dolkKDitug6tIXmknGPZc</v>
      </c>
      <c r="AF619" s="4"/>
      <c r="AG619" s="4"/>
      <c r="AH619" s="4"/>
      <c r="AI619" s="4"/>
      <c r="AL619" s="4" t="str">
        <f t="shared" si="1"/>
        <v>Cluster 6</v>
      </c>
      <c r="AM619" s="4" t="str">
        <f t="shared" si="2"/>
        <v>AHMED DAKU ROAD</v>
      </c>
    </row>
    <row r="620">
      <c r="A620" s="3">
        <f>IFERROR(__xludf.DUMMYFUNCTION("""COMPUTED_VALUE"""),45856.90945770833)</f>
        <v>45856.90946</v>
      </c>
      <c r="B620" s="4" t="str">
        <f>IFERROR(__xludf.DUMMYFUNCTION("""COMPUTED_VALUE"""),"elhabs256@gmail.com")</f>
        <v>elhabs256@gmail.com</v>
      </c>
      <c r="C620" s="4" t="str">
        <f>IFERROR(__xludf.DUMMYFUNCTION("""COMPUTED_VALUE"""),"Abdullahi Elhabeeb")</f>
        <v>Abdullahi Elhabeeb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 t="str">
        <f>IFERROR(__xludf.DUMMYFUNCTION("""COMPUTED_VALUE"""),"Cluster 6")</f>
        <v>Cluster 6</v>
      </c>
      <c r="Q620" s="4" t="str">
        <f>IFERROR(__xludf.DUMMYFUNCTION("""COMPUTED_VALUE"""),"AHMED DAKU ROAD")</f>
        <v>AHMED DAKU ROAD</v>
      </c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 t="str">
        <f>IFERROR(__xludf.DUMMYFUNCTION("""COMPUTED_VALUE"""),"Point 1")</f>
        <v>Point 1</v>
      </c>
      <c r="AC620" s="4">
        <f>IFERROR(__xludf.DUMMYFUNCTION("""COMPUTED_VALUE"""),11.9778)</f>
        <v>11.9778</v>
      </c>
      <c r="AD620" s="4">
        <f>IFERROR(__xludf.DUMMYFUNCTION("""COMPUTED_VALUE"""),8.551113889)</f>
        <v>8.551113889</v>
      </c>
      <c r="AE620" s="5" t="str">
        <f>IFERROR(__xludf.DUMMYFUNCTION("""COMPUTED_VALUE"""),"https://drive.google.com/open?id=1c6e6RMxDyX6O-7o6awqccm1jmQETmj9z")</f>
        <v>https://drive.google.com/open?id=1c6e6RMxDyX6O-7o6awqccm1jmQETmj9z</v>
      </c>
      <c r="AF620" s="4"/>
      <c r="AG620" s="4"/>
      <c r="AH620" s="4"/>
      <c r="AI620" s="4"/>
      <c r="AL620" s="4" t="str">
        <f t="shared" si="1"/>
        <v>Cluster 6</v>
      </c>
      <c r="AM620" s="4" t="str">
        <f t="shared" si="2"/>
        <v>AHMED DAKU ROAD</v>
      </c>
    </row>
    <row r="621">
      <c r="A621" s="3">
        <f>IFERROR(__xludf.DUMMYFUNCTION("""COMPUTED_VALUE"""),45856.9047509838)</f>
        <v>45856.90475</v>
      </c>
      <c r="B621" s="4" t="str">
        <f>IFERROR(__xludf.DUMMYFUNCTION("""COMPUTED_VALUE"""),"elhabs256@gmail.com")</f>
        <v>elhabs256@gmail.com</v>
      </c>
      <c r="C621" s="4" t="str">
        <f>IFERROR(__xludf.DUMMYFUNCTION("""COMPUTED_VALUE"""),"Abdullahi Elhabeeb")</f>
        <v>Abdullahi Elhabeeb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 t="str">
        <f>IFERROR(__xludf.DUMMYFUNCTION("""COMPUTED_VALUE"""),"Cluster 6")</f>
        <v>Cluster 6</v>
      </c>
      <c r="Q621" s="4" t="str">
        <f>IFERROR(__xludf.DUMMYFUNCTION("""COMPUTED_VALUE"""),"SEN. ISA KACHAKO ROAD")</f>
        <v>SEN. ISA KACHAKO ROAD</v>
      </c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 t="str">
        <f>IFERROR(__xludf.DUMMYFUNCTION("""COMPUTED_VALUE"""),"Point 2")</f>
        <v>Point 2</v>
      </c>
      <c r="AC621" s="4">
        <f>IFERROR(__xludf.DUMMYFUNCTION("""COMPUTED_VALUE"""),11.977771)</f>
        <v>11.977771</v>
      </c>
      <c r="AD621" s="4">
        <f>IFERROR(__xludf.DUMMYFUNCTION("""COMPUTED_VALUE"""),8.553006)</f>
        <v>8.553006</v>
      </c>
      <c r="AE621" s="5" t="str">
        <f>IFERROR(__xludf.DUMMYFUNCTION("""COMPUTED_VALUE"""),"https://drive.google.com/open?id=1b6AchqthYWaevi2daXVqUrv_Tj34o6wH")</f>
        <v>https://drive.google.com/open?id=1b6AchqthYWaevi2daXVqUrv_Tj34o6wH</v>
      </c>
      <c r="AF621" s="4"/>
      <c r="AG621" s="4"/>
      <c r="AH621" s="4"/>
      <c r="AI621" s="4"/>
      <c r="AL621" s="4" t="str">
        <f t="shared" si="1"/>
        <v>Cluster 6</v>
      </c>
      <c r="AM621" s="4" t="str">
        <f t="shared" si="2"/>
        <v>SEN. ISA KACHAKO ROAD</v>
      </c>
    </row>
    <row r="622">
      <c r="A622" s="3">
        <f>IFERROR(__xludf.DUMMYFUNCTION("""COMPUTED_VALUE"""),45856.900923900466)</f>
        <v>45856.90092</v>
      </c>
      <c r="B622" s="4" t="str">
        <f>IFERROR(__xludf.DUMMYFUNCTION("""COMPUTED_VALUE"""),"elhabs256@gmail.com")</f>
        <v>elhabs256@gmail.com</v>
      </c>
      <c r="C622" s="4" t="str">
        <f>IFERROR(__xludf.DUMMYFUNCTION("""COMPUTED_VALUE"""),"Abdullahi Elhabeeb")</f>
        <v>Abdullahi Elhabeeb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 t="str">
        <f>IFERROR(__xludf.DUMMYFUNCTION("""COMPUTED_VALUE"""),"Cluster 6")</f>
        <v>Cluster 6</v>
      </c>
      <c r="Q622" s="4" t="str">
        <f>IFERROR(__xludf.DUMMYFUNCTION("""COMPUTED_VALUE"""),"ADO GWARAM ROAD")</f>
        <v>ADO GWARAM ROAD</v>
      </c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 t="str">
        <f>IFERROR(__xludf.DUMMYFUNCTION("""COMPUTED_VALUE"""),"Point 2")</f>
        <v>Point 2</v>
      </c>
      <c r="AC622" s="4">
        <f>IFERROR(__xludf.DUMMYFUNCTION("""COMPUTED_VALUE"""),11.977793)</f>
        <v>11.977793</v>
      </c>
      <c r="AD622" s="4">
        <f>IFERROR(__xludf.DUMMYFUNCTION("""COMPUTED_VALUE"""),8.552058)</f>
        <v>8.552058</v>
      </c>
      <c r="AE622" s="5" t="str">
        <f>IFERROR(__xludf.DUMMYFUNCTION("""COMPUTED_VALUE"""),"https://drive.google.com/open?id=1jcGrbQ8nwllzRQOIjt7HVnF1vyDAaTf_")</f>
        <v>https://drive.google.com/open?id=1jcGrbQ8nwllzRQOIjt7HVnF1vyDAaTf_</v>
      </c>
      <c r="AF622" s="4"/>
      <c r="AG622" s="4"/>
      <c r="AH622" s="4"/>
      <c r="AI622" s="4"/>
      <c r="AL622" s="4" t="str">
        <f t="shared" si="1"/>
        <v>Cluster 6</v>
      </c>
      <c r="AM622" s="4" t="str">
        <f t="shared" si="2"/>
        <v>ADO GWARAM ROAD</v>
      </c>
    </row>
    <row r="623">
      <c r="A623" s="3">
        <f>IFERROR(__xludf.DUMMYFUNCTION("""COMPUTED_VALUE"""),45856.898380625)</f>
        <v>45856.89838</v>
      </c>
      <c r="B623" s="4" t="str">
        <f>IFERROR(__xludf.DUMMYFUNCTION("""COMPUTED_VALUE"""),"elhabs256@gmail.com")</f>
        <v>elhabs256@gmail.com</v>
      </c>
      <c r="C623" s="4" t="str">
        <f>IFERROR(__xludf.DUMMYFUNCTION("""COMPUTED_VALUE"""),"Abdullahi Elhabeeb")</f>
        <v>Abdullahi Elhabeeb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 t="str">
        <f>IFERROR(__xludf.DUMMYFUNCTION("""COMPUTED_VALUE"""),"Cluster 6")</f>
        <v>Cluster 6</v>
      </c>
      <c r="Q623" s="4" t="str">
        <f>IFERROR(__xludf.DUMMYFUNCTION("""COMPUTED_VALUE"""),"ADO GWARAM ROAD")</f>
        <v>ADO GWARAM ROAD</v>
      </c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 t="str">
        <f>IFERROR(__xludf.DUMMYFUNCTION("""COMPUTED_VALUE"""),"Point 1")</f>
        <v>Point 1</v>
      </c>
      <c r="AC623" s="4">
        <f>IFERROR(__xludf.DUMMYFUNCTION("""COMPUTED_VALUE"""),11.97931)</f>
        <v>11.97931</v>
      </c>
      <c r="AD623" s="4">
        <f>IFERROR(__xludf.DUMMYFUNCTION("""COMPUTED_VALUE"""),8.552098)</f>
        <v>8.552098</v>
      </c>
      <c r="AE623" s="5" t="str">
        <f>IFERROR(__xludf.DUMMYFUNCTION("""COMPUTED_VALUE"""),"https://drive.google.com/open?id=1RBzHbXUVNov3P6q8v2Cu2GvIyJQuSWmC")</f>
        <v>https://drive.google.com/open?id=1RBzHbXUVNov3P6q8v2Cu2GvIyJQuSWmC</v>
      </c>
      <c r="AF623" s="4"/>
      <c r="AG623" s="4"/>
      <c r="AH623" s="4"/>
      <c r="AI623" s="4"/>
      <c r="AL623" s="4" t="str">
        <f t="shared" si="1"/>
        <v>Cluster 6</v>
      </c>
      <c r="AM623" s="4" t="str">
        <f t="shared" si="2"/>
        <v>ADO GWARAM ROAD</v>
      </c>
    </row>
    <row r="624">
      <c r="A624" s="3">
        <f>IFERROR(__xludf.DUMMYFUNCTION("""COMPUTED_VALUE"""),45856.88431375)</f>
        <v>45856.88431</v>
      </c>
      <c r="B624" s="4" t="str">
        <f>IFERROR(__xludf.DUMMYFUNCTION("""COMPUTED_VALUE"""),"elhabs256@gmail.com")</f>
        <v>elhabs256@gmail.com</v>
      </c>
      <c r="C624" s="4" t="str">
        <f>IFERROR(__xludf.DUMMYFUNCTION("""COMPUTED_VALUE"""),"Abdullahi Elhabeeb")</f>
        <v>Abdullahi Elhabeeb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 t="str">
        <f>IFERROR(__xludf.DUMMYFUNCTION("""COMPUTED_VALUE"""),"Cluster 6")</f>
        <v>Cluster 6</v>
      </c>
      <c r="Q624" s="4" t="str">
        <f>IFERROR(__xludf.DUMMYFUNCTION("""COMPUTED_VALUE"""),"SEN. ISA KACHAKO ROAD")</f>
        <v>SEN. ISA KACHAKO ROAD</v>
      </c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 t="str">
        <f>IFERROR(__xludf.DUMMYFUNCTION("""COMPUTED_VALUE"""),"Point 2")</f>
        <v>Point 2</v>
      </c>
      <c r="AC624" s="4">
        <f>IFERROR(__xludf.DUMMYFUNCTION("""COMPUTED_VALUE"""),11.977771)</f>
        <v>11.977771</v>
      </c>
      <c r="AD624" s="4">
        <f>IFERROR(__xludf.DUMMYFUNCTION("""COMPUTED_VALUE"""),8.553006)</f>
        <v>8.553006</v>
      </c>
      <c r="AE624" s="5" t="str">
        <f>IFERROR(__xludf.DUMMYFUNCTION("""COMPUTED_VALUE"""),"https://drive.google.com/open?id=1C9wtLnoOF77FBCAlL8ZOFhSWz2VeAnf5")</f>
        <v>https://drive.google.com/open?id=1C9wtLnoOF77FBCAlL8ZOFhSWz2VeAnf5</v>
      </c>
      <c r="AF624" s="4"/>
      <c r="AG624" s="4"/>
      <c r="AH624" s="4"/>
      <c r="AI624" s="4"/>
      <c r="AL624" s="4" t="str">
        <f t="shared" si="1"/>
        <v>Cluster 6</v>
      </c>
      <c r="AM624" s="4" t="str">
        <f t="shared" si="2"/>
        <v>SEN. ISA KACHAKO ROAD</v>
      </c>
    </row>
    <row r="625">
      <c r="A625" s="3">
        <f>IFERROR(__xludf.DUMMYFUNCTION("""COMPUTED_VALUE"""),45856.88261502315)</f>
        <v>45856.88262</v>
      </c>
      <c r="B625" s="4" t="str">
        <f>IFERROR(__xludf.DUMMYFUNCTION("""COMPUTED_VALUE"""),"elhabs256@gmail.com")</f>
        <v>elhabs256@gmail.com</v>
      </c>
      <c r="C625" s="4" t="str">
        <f>IFERROR(__xludf.DUMMYFUNCTION("""COMPUTED_VALUE"""),"Abdullahi Elhabeeb")</f>
        <v>Abdullahi Elhabeeb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 t="str">
        <f>IFERROR(__xludf.DUMMYFUNCTION("""COMPUTED_VALUE"""),"Cluster 6")</f>
        <v>Cluster 6</v>
      </c>
      <c r="Q625" s="4" t="str">
        <f>IFERROR(__xludf.DUMMYFUNCTION("""COMPUTED_VALUE"""),"SEN. ISA KACHAKO ROAD")</f>
        <v>SEN. ISA KACHAKO ROAD</v>
      </c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 t="str">
        <f>IFERROR(__xludf.DUMMYFUNCTION("""COMPUTED_VALUE"""),"Point 1")</f>
        <v>Point 1</v>
      </c>
      <c r="AC625" s="4">
        <f>IFERROR(__xludf.DUMMYFUNCTION("""COMPUTED_VALUE"""),11.97944)</f>
        <v>11.97944</v>
      </c>
      <c r="AD625" s="4">
        <f>IFERROR(__xludf.DUMMYFUNCTION("""COMPUTED_VALUE"""),8.553151)</f>
        <v>8.553151</v>
      </c>
      <c r="AE625" s="5" t="str">
        <f>IFERROR(__xludf.DUMMYFUNCTION("""COMPUTED_VALUE"""),"https://drive.google.com/open?id=1XVUhiv72vZcesPHkFCUggkqESbKcMUE0")</f>
        <v>https://drive.google.com/open?id=1XVUhiv72vZcesPHkFCUggkqESbKcMUE0</v>
      </c>
      <c r="AF625" s="4"/>
      <c r="AG625" s="4"/>
      <c r="AH625" s="4"/>
      <c r="AI625" s="4"/>
      <c r="AL625" s="4" t="str">
        <f t="shared" si="1"/>
        <v>Cluster 6</v>
      </c>
      <c r="AM625" s="4" t="str">
        <f t="shared" si="2"/>
        <v>SEN. ISA KACHAKO ROAD</v>
      </c>
    </row>
    <row r="626">
      <c r="A626" s="3">
        <f>IFERROR(__xludf.DUMMYFUNCTION("""COMPUTED_VALUE"""),45856.87738814815)</f>
        <v>45856.87739</v>
      </c>
      <c r="B626" s="4" t="str">
        <f>IFERROR(__xludf.DUMMYFUNCTION("""COMPUTED_VALUE"""),"elhabs256@gmail.com")</f>
        <v>elhabs256@gmail.com</v>
      </c>
      <c r="C626" s="4" t="str">
        <f>IFERROR(__xludf.DUMMYFUNCTION("""COMPUTED_VALUE"""),"Abdullahi Elhabeeb")</f>
        <v>Abdullahi Elhabeeb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 t="str">
        <f>IFERROR(__xludf.DUMMYFUNCTION("""COMPUTED_VALUE"""),"Cluster 6")</f>
        <v>Cluster 6</v>
      </c>
      <c r="Q626" s="4" t="str">
        <f>IFERROR(__xludf.DUMMYFUNCTION("""COMPUTED_VALUE"""),"AHMED YEKEDIMA ROAD")</f>
        <v>AHMED YEKEDIMA ROAD</v>
      </c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 t="str">
        <f>IFERROR(__xludf.DUMMYFUNCTION("""COMPUTED_VALUE"""),"Point 2")</f>
        <v>Point 2</v>
      </c>
      <c r="AC626" s="4">
        <f>IFERROR(__xludf.DUMMYFUNCTION("""COMPUTED_VALUE"""),11.978737)</f>
        <v>11.978737</v>
      </c>
      <c r="AD626" s="4">
        <f>IFERROR(__xludf.DUMMYFUNCTION("""COMPUTED_VALUE"""),8.553091)</f>
        <v>8.553091</v>
      </c>
      <c r="AE626" s="5" t="str">
        <f>IFERROR(__xludf.DUMMYFUNCTION("""COMPUTED_VALUE"""),"https://drive.google.com/open?id=1qpO0JfB5Vja90kI_OahqhwrCVFvbXfye")</f>
        <v>https://drive.google.com/open?id=1qpO0JfB5Vja90kI_OahqhwrCVFvbXfye</v>
      </c>
      <c r="AF626" s="4"/>
      <c r="AG626" s="4"/>
      <c r="AH626" s="4"/>
      <c r="AI626" s="4"/>
      <c r="AL626" s="4" t="str">
        <f t="shared" si="1"/>
        <v>Cluster 6</v>
      </c>
      <c r="AM626" s="4" t="str">
        <f t="shared" si="2"/>
        <v>AHMED YEKEDIMA ROAD</v>
      </c>
    </row>
    <row r="627">
      <c r="A627" s="3">
        <f>IFERROR(__xludf.DUMMYFUNCTION("""COMPUTED_VALUE"""),45856.87347640046)</f>
        <v>45856.87348</v>
      </c>
      <c r="B627" s="4" t="str">
        <f>IFERROR(__xludf.DUMMYFUNCTION("""COMPUTED_VALUE"""),"elhabs256@gmail.com")</f>
        <v>elhabs256@gmail.com</v>
      </c>
      <c r="C627" s="4" t="str">
        <f>IFERROR(__xludf.DUMMYFUNCTION("""COMPUTED_VALUE"""),"Abdullahi Elhabeeb")</f>
        <v>Abdullahi Elhabeeb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 t="str">
        <f>IFERROR(__xludf.DUMMYFUNCTION("""COMPUTED_VALUE"""),"Cluster 6")</f>
        <v>Cluster 6</v>
      </c>
      <c r="Q627" s="4" t="str">
        <f>IFERROR(__xludf.DUMMYFUNCTION("""COMPUTED_VALUE"""),"AHMED YEKEDIMA ROAD")</f>
        <v>AHMED YEKEDIMA ROAD</v>
      </c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 t="str">
        <f>IFERROR(__xludf.DUMMYFUNCTION("""COMPUTED_VALUE"""),"Point 1")</f>
        <v>Point 1</v>
      </c>
      <c r="AC627" s="4">
        <f>IFERROR(__xludf.DUMMYFUNCTION("""COMPUTED_VALUE"""),11.980294)</f>
        <v>11.980294</v>
      </c>
      <c r="AD627" s="4">
        <f>IFERROR(__xludf.DUMMYFUNCTION("""COMPUTED_VALUE"""),8.555686)</f>
        <v>8.555686</v>
      </c>
      <c r="AE627" s="5" t="str">
        <f>IFERROR(__xludf.DUMMYFUNCTION("""COMPUTED_VALUE"""),"https://drive.google.com/open?id=1LF6T6C2skJHAloCg1vLg7ejN0iMQYPia")</f>
        <v>https://drive.google.com/open?id=1LF6T6C2skJHAloCg1vLg7ejN0iMQYPia</v>
      </c>
      <c r="AF627" s="4"/>
      <c r="AG627" s="4"/>
      <c r="AH627" s="4"/>
      <c r="AI627" s="4"/>
      <c r="AL627" s="4" t="str">
        <f t="shared" si="1"/>
        <v>Cluster 6</v>
      </c>
      <c r="AM627" s="4" t="str">
        <f t="shared" si="2"/>
        <v>AHMED YEKEDIMA ROAD</v>
      </c>
    </row>
    <row r="628">
      <c r="A628" s="3">
        <f>IFERROR(__xludf.DUMMYFUNCTION("""COMPUTED_VALUE"""),45856.87095642361)</f>
        <v>45856.87096</v>
      </c>
      <c r="B628" s="4" t="str">
        <f>IFERROR(__xludf.DUMMYFUNCTION("""COMPUTED_VALUE"""),"elhabs256@gmail.com")</f>
        <v>elhabs256@gmail.com</v>
      </c>
      <c r="C628" s="4" t="str">
        <f>IFERROR(__xludf.DUMMYFUNCTION("""COMPUTED_VALUE"""),"Abdullahi Elhabeeb")</f>
        <v>Abdullahi Elhabeeb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 t="str">
        <f>IFERROR(__xludf.DUMMYFUNCTION("""COMPUTED_VALUE"""),"Cluster 6")</f>
        <v>Cluster 6</v>
      </c>
      <c r="Q628" s="4" t="str">
        <f>IFERROR(__xludf.DUMMYFUNCTION("""COMPUTED_VALUE"""),"NUHU ALPA ROAD")</f>
        <v>NUHU ALPA ROAD</v>
      </c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 t="str">
        <f>IFERROR(__xludf.DUMMYFUNCTION("""COMPUTED_VALUE"""),"Point 2")</f>
        <v>Point 2</v>
      </c>
      <c r="AC628" s="4">
        <f>IFERROR(__xludf.DUMMYFUNCTION("""COMPUTED_VALUE"""),11.978796)</f>
        <v>11.978796</v>
      </c>
      <c r="AD628" s="4">
        <f>IFERROR(__xludf.DUMMYFUNCTION("""COMPUTED_VALUE"""),8.554918)</f>
        <v>8.554918</v>
      </c>
      <c r="AE628" s="5" t="str">
        <f>IFERROR(__xludf.DUMMYFUNCTION("""COMPUTED_VALUE"""),"https://drive.google.com/open?id=1eo1F9C7Tk1lHRRZR6ZZ-oEeHWHQ4OyTJ")</f>
        <v>https://drive.google.com/open?id=1eo1F9C7Tk1lHRRZR6ZZ-oEeHWHQ4OyTJ</v>
      </c>
      <c r="AF628" s="4"/>
      <c r="AG628" s="4"/>
      <c r="AH628" s="4"/>
      <c r="AI628" s="4"/>
      <c r="AL628" s="4" t="str">
        <f t="shared" si="1"/>
        <v>Cluster 6</v>
      </c>
      <c r="AM628" s="4" t="str">
        <f t="shared" si="2"/>
        <v>NUHU ALPA ROAD</v>
      </c>
    </row>
    <row r="629">
      <c r="A629" s="3">
        <f>IFERROR(__xludf.DUMMYFUNCTION("""COMPUTED_VALUE"""),45856.74345032407)</f>
        <v>45856.74345</v>
      </c>
      <c r="B629" s="4" t="str">
        <f>IFERROR(__xludf.DUMMYFUNCTION("""COMPUTED_VALUE"""),"elhabs256@gmail.com")</f>
        <v>elhabs256@gmail.com</v>
      </c>
      <c r="C629" s="4" t="str">
        <f>IFERROR(__xludf.DUMMYFUNCTION("""COMPUTED_VALUE"""),"Abdullahi Elhabeeb")</f>
        <v>Abdullahi Elhabeeb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 t="str">
        <f>IFERROR(__xludf.DUMMYFUNCTION("""COMPUTED_VALUE"""),"Cluster 6")</f>
        <v>Cluster 6</v>
      </c>
      <c r="Q629" s="4" t="str">
        <f>IFERROR(__xludf.DUMMYFUNCTION("""COMPUTED_VALUE"""),"NUHU ALPA ROAD")</f>
        <v>NUHU ALPA ROAD</v>
      </c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 t="str">
        <f>IFERROR(__xludf.DUMMYFUNCTION("""COMPUTED_VALUE"""),"Point 1")</f>
        <v>Point 1</v>
      </c>
      <c r="AC629" s="4">
        <f>IFERROR(__xludf.DUMMYFUNCTION("""COMPUTED_VALUE"""),11.978796)</f>
        <v>11.978796</v>
      </c>
      <c r="AD629" s="4">
        <f>IFERROR(__xludf.DUMMYFUNCTION("""COMPUTED_VALUE"""),8.554918)</f>
        <v>8.554918</v>
      </c>
      <c r="AE629" s="5" t="str">
        <f>IFERROR(__xludf.DUMMYFUNCTION("""COMPUTED_VALUE"""),"https://drive.google.com/open?id=1cW1_hS8f3QAKBY4RE1UN2aFy2c9xTc1_")</f>
        <v>https://drive.google.com/open?id=1cW1_hS8f3QAKBY4RE1UN2aFy2c9xTc1_</v>
      </c>
      <c r="AF629" s="4"/>
      <c r="AG629" s="4"/>
      <c r="AH629" s="4"/>
      <c r="AI629" s="4"/>
      <c r="AL629" s="4" t="str">
        <f t="shared" si="1"/>
        <v>Cluster 6</v>
      </c>
      <c r="AM629" s="4" t="str">
        <f t="shared" si="2"/>
        <v>NUHU ALPA ROAD</v>
      </c>
    </row>
    <row r="630">
      <c r="A630" s="3">
        <f>IFERROR(__xludf.DUMMYFUNCTION("""COMPUTED_VALUE"""),45856.73858450232)</f>
        <v>45856.73858</v>
      </c>
      <c r="B630" s="4" t="str">
        <f>IFERROR(__xludf.DUMMYFUNCTION("""COMPUTED_VALUE"""),"elhabs256@gmail.com")</f>
        <v>elhabs256@gmail.com</v>
      </c>
      <c r="C630" s="4" t="str">
        <f>IFERROR(__xludf.DUMMYFUNCTION("""COMPUTED_VALUE"""),"Abdullahi Elhabeeb")</f>
        <v>Abdullahi Elhabeeb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 t="str">
        <f>IFERROR(__xludf.DUMMYFUNCTION("""COMPUTED_VALUE"""),"Cluster 6")</f>
        <v>Cluster 6</v>
      </c>
      <c r="Q630" s="4" t="str">
        <f>IFERROR(__xludf.DUMMYFUNCTION("""COMPUTED_VALUE"""),"MAL. HUSSAINI STREET")</f>
        <v>MAL. HUSSAINI STREET</v>
      </c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 t="str">
        <f>IFERROR(__xludf.DUMMYFUNCTION("""COMPUTED_VALUE"""),"Point 2")</f>
        <v>Point 2</v>
      </c>
      <c r="AC630" s="4">
        <f>IFERROR(__xludf.DUMMYFUNCTION("""COMPUTED_VALUE"""),11.977492)</f>
        <v>11.977492</v>
      </c>
      <c r="AD630" s="4">
        <f>IFERROR(__xludf.DUMMYFUNCTION("""COMPUTED_VALUE"""),8.558792)</f>
        <v>8.558792</v>
      </c>
      <c r="AE630" s="5" t="str">
        <f>IFERROR(__xludf.DUMMYFUNCTION("""COMPUTED_VALUE"""),"https://drive.google.com/open?id=1FUMhRbH_zORxAih2NXUU4rAkLeCe4Jzb")</f>
        <v>https://drive.google.com/open?id=1FUMhRbH_zORxAih2NXUU4rAkLeCe4Jzb</v>
      </c>
      <c r="AF630" s="4"/>
      <c r="AG630" s="4"/>
      <c r="AH630" s="4"/>
      <c r="AI630" s="4"/>
      <c r="AL630" s="4" t="str">
        <f t="shared" si="1"/>
        <v>Cluster 6</v>
      </c>
      <c r="AM630" s="4" t="str">
        <f t="shared" si="2"/>
        <v>MAL. HUSSAINI STREET</v>
      </c>
    </row>
    <row r="631">
      <c r="A631" s="3">
        <f>IFERROR(__xludf.DUMMYFUNCTION("""COMPUTED_VALUE"""),45856.73130878472)</f>
        <v>45856.73131</v>
      </c>
      <c r="B631" s="4" t="str">
        <f>IFERROR(__xludf.DUMMYFUNCTION("""COMPUTED_VALUE"""),"m.salisushehu18@gmail.com")</f>
        <v>m.salisushehu18@gmail.com</v>
      </c>
      <c r="C631" s="4" t="str">
        <f>IFERROR(__xludf.DUMMYFUNCTION("""COMPUTED_VALUE"""),"Umar Dalhatu")</f>
        <v>Umar Dalhatu</v>
      </c>
      <c r="D631" s="4"/>
      <c r="E631" s="4"/>
      <c r="F631" s="4"/>
      <c r="G631" s="4"/>
      <c r="H631" s="4"/>
      <c r="I631" s="4"/>
      <c r="J631" s="4" t="str">
        <f>IFERROR(__xludf.DUMMYFUNCTION("""COMPUTED_VALUE"""),"Cluster 7")</f>
        <v>Cluster 7</v>
      </c>
      <c r="K631" s="4"/>
      <c r="L631" s="4" t="str">
        <f>IFERROR(__xludf.DUMMYFUNCTION("""COMPUTED_VALUE"""),"SANI YARO STREET")</f>
        <v>SANI YARO STREET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 t="str">
        <f>IFERROR(__xludf.DUMMYFUNCTION("""COMPUTED_VALUE"""),"Point 2")</f>
        <v>Point 2</v>
      </c>
      <c r="AC631" s="4">
        <f>IFERROR(__xludf.DUMMYFUNCTION("""COMPUTED_VALUE"""),12.011298)</f>
        <v>12.011298</v>
      </c>
      <c r="AD631" s="4">
        <f>IFERROR(__xludf.DUMMYFUNCTION("""COMPUTED_VALUE"""),8.581513)</f>
        <v>8.581513</v>
      </c>
      <c r="AE631" s="5" t="str">
        <f>IFERROR(__xludf.DUMMYFUNCTION("""COMPUTED_VALUE"""),"https://drive.google.com/open?id=12eq8GWAcOess4EgnDTxeDfTFlZfWIG6Y")</f>
        <v>https://drive.google.com/open?id=12eq8GWAcOess4EgnDTxeDfTFlZfWIG6Y</v>
      </c>
      <c r="AF631" s="4"/>
      <c r="AG631" s="4"/>
      <c r="AH631" s="4"/>
      <c r="AI631" s="4"/>
      <c r="AL631" s="4" t="str">
        <f t="shared" si="1"/>
        <v>Cluster 7</v>
      </c>
      <c r="AM631" s="4" t="str">
        <f t="shared" si="2"/>
        <v>SANI YARO STREET</v>
      </c>
    </row>
    <row r="632">
      <c r="A632" s="3">
        <f>IFERROR(__xludf.DUMMYFUNCTION("""COMPUTED_VALUE"""),45856.730501087965)</f>
        <v>45856.7305</v>
      </c>
      <c r="B632" s="4" t="str">
        <f>IFERROR(__xludf.DUMMYFUNCTION("""COMPUTED_VALUE"""),"umrdalhatu@gmail.com")</f>
        <v>umrdalhatu@gmail.com</v>
      </c>
      <c r="C632" s="4" t="str">
        <f>IFERROR(__xludf.DUMMYFUNCTION("""COMPUTED_VALUE"""),"Umar Dalhatu")</f>
        <v>Umar Dalhatu</v>
      </c>
      <c r="D632" s="4"/>
      <c r="E632" s="4"/>
      <c r="F632" s="4"/>
      <c r="G632" s="4"/>
      <c r="H632" s="4"/>
      <c r="I632" s="4"/>
      <c r="J632" s="4" t="str">
        <f>IFERROR(__xludf.DUMMYFUNCTION("""COMPUTED_VALUE"""),"Cluster 7")</f>
        <v>Cluster 7</v>
      </c>
      <c r="K632" s="4"/>
      <c r="L632" s="4" t="str">
        <f>IFERROR(__xludf.DUMMYFUNCTION("""COMPUTED_VALUE"""),"WASHIR HOSPITAL ROAD")</f>
        <v>WASHIR HOSPITAL ROAD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 t="str">
        <f>IFERROR(__xludf.DUMMYFUNCTION("""COMPUTED_VALUE"""),"Point 2")</f>
        <v>Point 2</v>
      </c>
      <c r="AC632" s="4">
        <f>IFERROR(__xludf.DUMMYFUNCTION("""COMPUTED_VALUE"""),12.01532302)</f>
        <v>12.01532302</v>
      </c>
      <c r="AD632" s="4">
        <f>IFERROR(__xludf.DUMMYFUNCTION("""COMPUTED_VALUE"""),8.576187334)</f>
        <v>8.576187334</v>
      </c>
      <c r="AE632" s="5" t="str">
        <f>IFERROR(__xludf.DUMMYFUNCTION("""COMPUTED_VALUE"""),"https://drive.google.com/open?id=1OSfv8_HdLHtNrMO8raQzg6ijK2wlXLAs")</f>
        <v>https://drive.google.com/open?id=1OSfv8_HdLHtNrMO8raQzg6ijK2wlXLAs</v>
      </c>
      <c r="AF632" s="4"/>
      <c r="AG632" s="4"/>
      <c r="AH632" s="4"/>
      <c r="AI632" s="4"/>
      <c r="AL632" s="4" t="str">
        <f t="shared" si="1"/>
        <v>Cluster 7</v>
      </c>
      <c r="AM632" s="4" t="str">
        <f t="shared" si="2"/>
        <v>WASHIR HOSPITAL ROAD</v>
      </c>
    </row>
    <row r="633">
      <c r="A633" s="3">
        <f>IFERROR(__xludf.DUMMYFUNCTION("""COMPUTED_VALUE"""),45856.730280856485)</f>
        <v>45856.73028</v>
      </c>
      <c r="B633" s="4" t="str">
        <f>IFERROR(__xludf.DUMMYFUNCTION("""COMPUTED_VALUE"""),"m.salisushehu18@gmail.com")</f>
        <v>m.salisushehu18@gmail.com</v>
      </c>
      <c r="C633" s="4" t="str">
        <f>IFERROR(__xludf.DUMMYFUNCTION("""COMPUTED_VALUE"""),"Umar Dalhatu")</f>
        <v>Umar Dalhatu</v>
      </c>
      <c r="D633" s="4"/>
      <c r="E633" s="4"/>
      <c r="F633" s="4"/>
      <c r="G633" s="4"/>
      <c r="H633" s="4"/>
      <c r="I633" s="4"/>
      <c r="J633" s="4" t="str">
        <f>IFERROR(__xludf.DUMMYFUNCTION("""COMPUTED_VALUE"""),"Cluster 7")</f>
        <v>Cluster 7</v>
      </c>
      <c r="K633" s="4"/>
      <c r="L633" s="4" t="str">
        <f>IFERROR(__xludf.DUMMYFUNCTION("""COMPUTED_VALUE"""),"SANI YARO STREET")</f>
        <v>SANI YARO STREET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 t="str">
        <f>IFERROR(__xludf.DUMMYFUNCTION("""COMPUTED_VALUE"""),"Point 1")</f>
        <v>Point 1</v>
      </c>
      <c r="AC633" s="4">
        <f>IFERROR(__xludf.DUMMYFUNCTION("""COMPUTED_VALUE"""),12.00525287)</f>
        <v>12.00525287</v>
      </c>
      <c r="AD633" s="4">
        <f>IFERROR(__xludf.DUMMYFUNCTION("""COMPUTED_VALUE"""),8.583973364)</f>
        <v>8.583973364</v>
      </c>
      <c r="AE633" s="5" t="str">
        <f>IFERROR(__xludf.DUMMYFUNCTION("""COMPUTED_VALUE"""),"https://drive.google.com/open?id=1Rl7XP0lYfNqItY6UDKMqAw7nKUs1Pi3D")</f>
        <v>https://drive.google.com/open?id=1Rl7XP0lYfNqItY6UDKMqAw7nKUs1Pi3D</v>
      </c>
      <c r="AF633" s="4"/>
      <c r="AG633" s="4"/>
      <c r="AH633" s="4"/>
      <c r="AI633" s="4"/>
      <c r="AL633" s="4" t="str">
        <f t="shared" si="1"/>
        <v>Cluster 7</v>
      </c>
      <c r="AM633" s="4" t="str">
        <f t="shared" si="2"/>
        <v>SANI YARO STREET</v>
      </c>
    </row>
    <row r="634">
      <c r="A634" s="3">
        <f>IFERROR(__xludf.DUMMYFUNCTION("""COMPUTED_VALUE"""),45856.72972387732)</f>
        <v>45856.72972</v>
      </c>
      <c r="B634" s="4" t="str">
        <f>IFERROR(__xludf.DUMMYFUNCTION("""COMPUTED_VALUE"""),"umrdalhatu@gmail.com")</f>
        <v>umrdalhatu@gmail.com</v>
      </c>
      <c r="C634" s="4" t="str">
        <f>IFERROR(__xludf.DUMMYFUNCTION("""COMPUTED_VALUE"""),"Umar Dalhatu")</f>
        <v>Umar Dalhatu</v>
      </c>
      <c r="D634" s="4"/>
      <c r="E634" s="4"/>
      <c r="F634" s="4"/>
      <c r="G634" s="4"/>
      <c r="H634" s="4"/>
      <c r="I634" s="4"/>
      <c r="J634" s="4" t="str">
        <f>IFERROR(__xludf.DUMMYFUNCTION("""COMPUTED_VALUE"""),"Cluster 7")</f>
        <v>Cluster 7</v>
      </c>
      <c r="K634" s="4"/>
      <c r="L634" s="4" t="str">
        <f>IFERROR(__xludf.DUMMYFUNCTION("""COMPUTED_VALUE"""),"WASHIR HOSPITAL ROAD")</f>
        <v>WASHIR HOSPITAL ROAD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 t="str">
        <f>IFERROR(__xludf.DUMMYFUNCTION("""COMPUTED_VALUE"""),"Point 1")</f>
        <v>Point 1</v>
      </c>
      <c r="AC634" s="4">
        <f>IFERROR(__xludf.DUMMYFUNCTION("""COMPUTED_VALUE"""),12.01900101)</f>
        <v>12.01900101</v>
      </c>
      <c r="AD634" s="4">
        <f>IFERROR(__xludf.DUMMYFUNCTION("""COMPUTED_VALUE"""),8.581625466)</f>
        <v>8.581625466</v>
      </c>
      <c r="AE634" s="5" t="str">
        <f>IFERROR(__xludf.DUMMYFUNCTION("""COMPUTED_VALUE"""),"https://drive.google.com/open?id=1BnUdM_JxKApiY72AdGuqda0RM7cP-y0l")</f>
        <v>https://drive.google.com/open?id=1BnUdM_JxKApiY72AdGuqda0RM7cP-y0l</v>
      </c>
      <c r="AF634" s="4"/>
      <c r="AG634" s="4"/>
      <c r="AH634" s="4"/>
      <c r="AI634" s="4"/>
      <c r="AL634" s="4" t="str">
        <f t="shared" si="1"/>
        <v>Cluster 7</v>
      </c>
      <c r="AM634" s="4" t="str">
        <f t="shared" si="2"/>
        <v>WASHIR HOSPITAL ROAD</v>
      </c>
    </row>
    <row r="635">
      <c r="A635" s="3">
        <f>IFERROR(__xludf.DUMMYFUNCTION("""COMPUTED_VALUE"""),45856.729194189815)</f>
        <v>45856.72919</v>
      </c>
      <c r="B635" s="4" t="str">
        <f>IFERROR(__xludf.DUMMYFUNCTION("""COMPUTED_VALUE"""),"m.salisushehu18@gmail.com")</f>
        <v>m.salisushehu18@gmail.com</v>
      </c>
      <c r="C635" s="4" t="str">
        <f>IFERROR(__xludf.DUMMYFUNCTION("""COMPUTED_VALUE"""),"Umar Dalhatu")</f>
        <v>Umar Dalhatu</v>
      </c>
      <c r="D635" s="4"/>
      <c r="E635" s="4"/>
      <c r="F635" s="4"/>
      <c r="G635" s="4"/>
      <c r="H635" s="4"/>
      <c r="I635" s="4"/>
      <c r="J635" s="4" t="str">
        <f>IFERROR(__xludf.DUMMYFUNCTION("""COMPUTED_VALUE"""),"Cluster 7")</f>
        <v>Cluster 7</v>
      </c>
      <c r="K635" s="4"/>
      <c r="L635" s="4" t="str">
        <f>IFERROR(__xludf.DUMMYFUNCTION("""COMPUTED_VALUE"""),"SANI GARBA STREET")</f>
        <v>SANI GARBA STREET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 t="str">
        <f>IFERROR(__xludf.DUMMYFUNCTION("""COMPUTED_VALUE"""),"Point 2")</f>
        <v>Point 2</v>
      </c>
      <c r="AC635" s="4">
        <f>IFERROR(__xludf.DUMMYFUNCTION("""COMPUTED_VALUE"""),12.01260693)</f>
        <v>12.01260693</v>
      </c>
      <c r="AD635" s="4">
        <f>IFERROR(__xludf.DUMMYFUNCTION("""COMPUTED_VALUE"""),8.584768125)</f>
        <v>8.584768125</v>
      </c>
      <c r="AE635" s="5" t="str">
        <f>IFERROR(__xludf.DUMMYFUNCTION("""COMPUTED_VALUE"""),"https://drive.google.com/open?id=1EGTJ-CFXnwGshUx-sRtfCXlkWHilyF-L")</f>
        <v>https://drive.google.com/open?id=1EGTJ-CFXnwGshUx-sRtfCXlkWHilyF-L</v>
      </c>
      <c r="AF635" s="4"/>
      <c r="AG635" s="4"/>
      <c r="AH635" s="4"/>
      <c r="AI635" s="4"/>
      <c r="AL635" s="4" t="str">
        <f t="shared" si="1"/>
        <v>Cluster 7</v>
      </c>
      <c r="AM635" s="4" t="str">
        <f t="shared" si="2"/>
        <v>SANI GARBA STREET</v>
      </c>
    </row>
    <row r="636">
      <c r="A636" s="3">
        <f>IFERROR(__xludf.DUMMYFUNCTION("""COMPUTED_VALUE"""),45856.72823679398)</f>
        <v>45856.72824</v>
      </c>
      <c r="B636" s="4" t="str">
        <f>IFERROR(__xludf.DUMMYFUNCTION("""COMPUTED_VALUE"""),"m.salisushehu18@gmail.com")</f>
        <v>m.salisushehu18@gmail.com</v>
      </c>
      <c r="C636" s="4" t="str">
        <f>IFERROR(__xludf.DUMMYFUNCTION("""COMPUTED_VALUE"""),"Umar Dalhatu")</f>
        <v>Umar Dalhatu</v>
      </c>
      <c r="D636" s="4"/>
      <c r="E636" s="4"/>
      <c r="F636" s="4"/>
      <c r="G636" s="4"/>
      <c r="H636" s="4"/>
      <c r="I636" s="4"/>
      <c r="J636" s="4" t="str">
        <f>IFERROR(__xludf.DUMMYFUNCTION("""COMPUTED_VALUE"""),"Cluster 7")</f>
        <v>Cluster 7</v>
      </c>
      <c r="K636" s="4"/>
      <c r="L636" s="4" t="str">
        <f>IFERROR(__xludf.DUMMYFUNCTION("""COMPUTED_VALUE"""),"SANI GARBA STREET")</f>
        <v>SANI GARBA STREET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 t="str">
        <f>IFERROR(__xludf.DUMMYFUNCTION("""COMPUTED_VALUE"""),"Point 1")</f>
        <v>Point 1</v>
      </c>
      <c r="AC636" s="4">
        <f>IFERROR(__xludf.DUMMYFUNCTION("""COMPUTED_VALUE"""),12.01315122)</f>
        <v>12.01315122</v>
      </c>
      <c r="AD636" s="4">
        <f>IFERROR(__xludf.DUMMYFUNCTION("""COMPUTED_VALUE"""),8.583331358)</f>
        <v>8.583331358</v>
      </c>
      <c r="AE636" s="5" t="str">
        <f>IFERROR(__xludf.DUMMYFUNCTION("""COMPUTED_VALUE"""),"https://drive.google.com/open?id=1quoEWb93jnp-cM91d_SQ6v-w5EWPEYV4")</f>
        <v>https://drive.google.com/open?id=1quoEWb93jnp-cM91d_SQ6v-w5EWPEYV4</v>
      </c>
      <c r="AF636" s="4"/>
      <c r="AG636" s="4"/>
      <c r="AH636" s="4"/>
      <c r="AI636" s="4"/>
      <c r="AL636" s="4" t="str">
        <f t="shared" si="1"/>
        <v>Cluster 7</v>
      </c>
      <c r="AM636" s="4" t="str">
        <f t="shared" si="2"/>
        <v>SANI GARBA STREET</v>
      </c>
    </row>
    <row r="637">
      <c r="A637" s="3">
        <f>IFERROR(__xludf.DUMMYFUNCTION("""COMPUTED_VALUE"""),45856.72688255787)</f>
        <v>45856.72688</v>
      </c>
      <c r="B637" s="4" t="str">
        <f>IFERROR(__xludf.DUMMYFUNCTION("""COMPUTED_VALUE"""),"umrdalhatu@gmail.com")</f>
        <v>umrdalhatu@gmail.com</v>
      </c>
      <c r="C637" s="4" t="str">
        <f>IFERROR(__xludf.DUMMYFUNCTION("""COMPUTED_VALUE"""),"Umar Dalhatu")</f>
        <v>Umar Dalhatu</v>
      </c>
      <c r="D637" s="4"/>
      <c r="E637" s="4"/>
      <c r="F637" s="4"/>
      <c r="G637" s="4"/>
      <c r="H637" s="4"/>
      <c r="I637" s="4"/>
      <c r="J637" s="4" t="str">
        <f>IFERROR(__xludf.DUMMYFUNCTION("""COMPUTED_VALUE"""),"Cluster 7")</f>
        <v>Cluster 7</v>
      </c>
      <c r="K637" s="4"/>
      <c r="L637" s="4" t="str">
        <f>IFERROR(__xludf.DUMMYFUNCTION("""COMPUTED_VALUE"""),"KURA MUHAMMED STREET")</f>
        <v>KURA MUHAMMED STREET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 t="str">
        <f>IFERROR(__xludf.DUMMYFUNCTION("""COMPUTED_VALUE"""),"Point 2")</f>
        <v>Point 2</v>
      </c>
      <c r="AC637" s="4">
        <f>IFERROR(__xludf.DUMMYFUNCTION("""COMPUTED_VALUE"""),12.01900101)</f>
        <v>12.01900101</v>
      </c>
      <c r="AD637" s="4">
        <f>IFERROR(__xludf.DUMMYFUNCTION("""COMPUTED_VALUE"""),8.581625466)</f>
        <v>8.581625466</v>
      </c>
      <c r="AE637" s="5" t="str">
        <f>IFERROR(__xludf.DUMMYFUNCTION("""COMPUTED_VALUE"""),"https://drive.google.com/open?id=11KjY9IiYNOTxn0jaNY3odvWqHcaQCHwO")</f>
        <v>https://drive.google.com/open?id=11KjY9IiYNOTxn0jaNY3odvWqHcaQCHwO</v>
      </c>
      <c r="AF637" s="4"/>
      <c r="AG637" s="4"/>
      <c r="AH637" s="4"/>
      <c r="AI637" s="4"/>
      <c r="AL637" s="4" t="str">
        <f t="shared" si="1"/>
        <v>Cluster 7</v>
      </c>
      <c r="AM637" s="4" t="str">
        <f t="shared" si="2"/>
        <v>KURA MUHAMMED STREET</v>
      </c>
    </row>
    <row r="638">
      <c r="A638" s="3">
        <f>IFERROR(__xludf.DUMMYFUNCTION("""COMPUTED_VALUE"""),45856.72682653935)</f>
        <v>45856.72683</v>
      </c>
      <c r="B638" s="4" t="str">
        <f>IFERROR(__xludf.DUMMYFUNCTION("""COMPUTED_VALUE"""),"m.salisushehu18@gmail.com")</f>
        <v>m.salisushehu18@gmail.com</v>
      </c>
      <c r="C638" s="4" t="str">
        <f>IFERROR(__xludf.DUMMYFUNCTION("""COMPUTED_VALUE"""),"Umar Dalhatu")</f>
        <v>Umar Dalhatu</v>
      </c>
      <c r="D638" s="4"/>
      <c r="E638" s="4"/>
      <c r="F638" s="4"/>
      <c r="G638" s="4"/>
      <c r="H638" s="4"/>
      <c r="I638" s="4"/>
      <c r="J638" s="4" t="str">
        <f>IFERROR(__xludf.DUMMYFUNCTION("""COMPUTED_VALUE"""),"Cluster 7")</f>
        <v>Cluster 7</v>
      </c>
      <c r="K638" s="4"/>
      <c r="L638" s="4" t="str">
        <f>IFERROR(__xludf.DUMMYFUNCTION("""COMPUTED_VALUE"""),"YANKABA COURT ROAD")</f>
        <v>YANKABA COURT ROAD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 t="str">
        <f>IFERROR(__xludf.DUMMYFUNCTION("""COMPUTED_VALUE"""),"Point 2")</f>
        <v>Point 2</v>
      </c>
      <c r="AC638" s="4">
        <f>IFERROR(__xludf.DUMMYFUNCTION("""COMPUTED_VALUE"""),12.00757803)</f>
        <v>12.00757803</v>
      </c>
      <c r="AD638" s="4">
        <f>IFERROR(__xludf.DUMMYFUNCTION("""COMPUTED_VALUE"""),8.580983076)</f>
        <v>8.580983076</v>
      </c>
      <c r="AE638" s="5" t="str">
        <f>IFERROR(__xludf.DUMMYFUNCTION("""COMPUTED_VALUE"""),"https://drive.google.com/open?id=12jHTNxUtHgsZeQQQ3EHudES2p1ZMUNVD")</f>
        <v>https://drive.google.com/open?id=12jHTNxUtHgsZeQQQ3EHudES2p1ZMUNVD</v>
      </c>
      <c r="AF638" s="4"/>
      <c r="AG638" s="4"/>
      <c r="AH638" s="4"/>
      <c r="AI638" s="4"/>
      <c r="AL638" s="4" t="str">
        <f t="shared" si="1"/>
        <v>Cluster 7</v>
      </c>
      <c r="AM638" s="4" t="str">
        <f t="shared" si="2"/>
        <v>YANKABA COURT ROAD</v>
      </c>
    </row>
    <row r="639">
      <c r="A639" s="3">
        <f>IFERROR(__xludf.DUMMYFUNCTION("""COMPUTED_VALUE"""),45856.72616451389)</f>
        <v>45856.72616</v>
      </c>
      <c r="B639" s="4" t="str">
        <f>IFERROR(__xludf.DUMMYFUNCTION("""COMPUTED_VALUE"""),"umrdalhatu@gmail.com")</f>
        <v>umrdalhatu@gmail.com</v>
      </c>
      <c r="C639" s="4" t="str">
        <f>IFERROR(__xludf.DUMMYFUNCTION("""COMPUTED_VALUE"""),"Umar Dalhatu")</f>
        <v>Umar Dalhatu</v>
      </c>
      <c r="D639" s="4"/>
      <c r="E639" s="4"/>
      <c r="F639" s="4"/>
      <c r="G639" s="4"/>
      <c r="H639" s="4"/>
      <c r="I639" s="4"/>
      <c r="J639" s="4" t="str">
        <f>IFERROR(__xludf.DUMMYFUNCTION("""COMPUTED_VALUE"""),"Cluster 7")</f>
        <v>Cluster 7</v>
      </c>
      <c r="K639" s="4"/>
      <c r="L639" s="4" t="str">
        <f>IFERROR(__xludf.DUMMYFUNCTION("""COMPUTED_VALUE"""),"KURA MUHAMMED STREET")</f>
        <v>KURA MUHAMMED STREET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 t="str">
        <f>IFERROR(__xludf.DUMMYFUNCTION("""COMPUTED_VALUE"""),"Point 1")</f>
        <v>Point 1</v>
      </c>
      <c r="AC639" s="4">
        <f>IFERROR(__xludf.DUMMYFUNCTION("""COMPUTED_VALUE"""),12.011298)</f>
        <v>12.011298</v>
      </c>
      <c r="AD639" s="4">
        <f>IFERROR(__xludf.DUMMYFUNCTION("""COMPUTED_VALUE"""),8.581513)</f>
        <v>8.581513</v>
      </c>
      <c r="AE639" s="5" t="str">
        <f>IFERROR(__xludf.DUMMYFUNCTION("""COMPUTED_VALUE"""),"https://drive.google.com/open?id=1tI_w6dnH-7lrOcqzSxGr-r7fyBwtJv6O")</f>
        <v>https://drive.google.com/open?id=1tI_w6dnH-7lrOcqzSxGr-r7fyBwtJv6O</v>
      </c>
      <c r="AF639" s="4"/>
      <c r="AG639" s="4"/>
      <c r="AH639" s="4"/>
      <c r="AI639" s="4"/>
      <c r="AL639" s="4" t="str">
        <f t="shared" si="1"/>
        <v>Cluster 7</v>
      </c>
      <c r="AM639" s="4" t="str">
        <f t="shared" si="2"/>
        <v>KURA MUHAMMED STREET</v>
      </c>
    </row>
    <row r="640">
      <c r="A640" s="3">
        <f>IFERROR(__xludf.DUMMYFUNCTION("""COMPUTED_VALUE"""),45856.726035520835)</f>
        <v>45856.72604</v>
      </c>
      <c r="B640" s="4" t="str">
        <f>IFERROR(__xludf.DUMMYFUNCTION("""COMPUTED_VALUE"""),"m.salisushehu18@gmail.com")</f>
        <v>m.salisushehu18@gmail.com</v>
      </c>
      <c r="C640" s="4" t="str">
        <f>IFERROR(__xludf.DUMMYFUNCTION("""COMPUTED_VALUE"""),"Umar Dalhatu")</f>
        <v>Umar Dalhatu</v>
      </c>
      <c r="D640" s="4"/>
      <c r="E640" s="4"/>
      <c r="F640" s="4"/>
      <c r="G640" s="4"/>
      <c r="H640" s="4"/>
      <c r="I640" s="4"/>
      <c r="J640" s="4" t="str">
        <f>IFERROR(__xludf.DUMMYFUNCTION("""COMPUTED_VALUE"""),"Cluster 7")</f>
        <v>Cluster 7</v>
      </c>
      <c r="K640" s="4"/>
      <c r="L640" s="4" t="str">
        <f>IFERROR(__xludf.DUMMYFUNCTION("""COMPUTED_VALUE"""),"YANKABA COURT ROAD")</f>
        <v>YANKABA COURT ROAD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 t="str">
        <f>IFERROR(__xludf.DUMMYFUNCTION("""COMPUTED_VALUE"""),"Point 1")</f>
        <v>Point 1</v>
      </c>
      <c r="AC640" s="4">
        <f>IFERROR(__xludf.DUMMYFUNCTION("""COMPUTED_VALUE"""),12.007482)</f>
        <v>12.007482</v>
      </c>
      <c r="AD640" s="4">
        <f>IFERROR(__xludf.DUMMYFUNCTION("""COMPUTED_VALUE"""),8.579565)</f>
        <v>8.579565</v>
      </c>
      <c r="AE640" s="5" t="str">
        <f>IFERROR(__xludf.DUMMYFUNCTION("""COMPUTED_VALUE"""),"https://drive.google.com/open?id=1Hml6GHS0m8IBkpn5qlbVJXhCv-Zg3SQM")</f>
        <v>https://drive.google.com/open?id=1Hml6GHS0m8IBkpn5qlbVJXhCv-Zg3SQM</v>
      </c>
      <c r="AF640" s="4"/>
      <c r="AG640" s="4"/>
      <c r="AH640" s="4"/>
      <c r="AI640" s="4"/>
      <c r="AL640" s="4" t="str">
        <f t="shared" si="1"/>
        <v>Cluster 7</v>
      </c>
      <c r="AM640" s="4" t="str">
        <f t="shared" si="2"/>
        <v>YANKABA COURT ROAD</v>
      </c>
    </row>
    <row r="641">
      <c r="A641" s="3">
        <f>IFERROR(__xludf.DUMMYFUNCTION("""COMPUTED_VALUE"""),45856.723545914356)</f>
        <v>45856.72355</v>
      </c>
      <c r="B641" s="4" t="str">
        <f>IFERROR(__xludf.DUMMYFUNCTION("""COMPUTED_VALUE"""),"m.salisushehu18@gmail.com")</f>
        <v>m.salisushehu18@gmail.com</v>
      </c>
      <c r="C641" s="4" t="str">
        <f>IFERROR(__xludf.DUMMYFUNCTION("""COMPUTED_VALUE"""),"Umar Dalhatu")</f>
        <v>Umar Dalhatu</v>
      </c>
      <c r="D641" s="4"/>
      <c r="E641" s="4"/>
      <c r="F641" s="4"/>
      <c r="G641" s="4"/>
      <c r="H641" s="4"/>
      <c r="I641" s="4"/>
      <c r="J641" s="4" t="str">
        <f>IFERROR(__xludf.DUMMYFUNCTION("""COMPUTED_VALUE"""),"Cluster 7")</f>
        <v>Cluster 7</v>
      </c>
      <c r="K641" s="4"/>
      <c r="L641" s="4" t="str">
        <f>IFERROR(__xludf.DUMMYFUNCTION("""COMPUTED_VALUE"""),"ALH BATURE ABDULAZIZ STREET")</f>
        <v>ALH BATURE ABDULAZIZ STREET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 t="str">
        <f>IFERROR(__xludf.DUMMYFUNCTION("""COMPUTED_VALUE"""),"Point 2")</f>
        <v>Point 2</v>
      </c>
      <c r="AC641" s="4">
        <f>IFERROR(__xludf.DUMMYFUNCTION("""COMPUTED_VALUE"""),12.008848)</f>
        <v>12.008848</v>
      </c>
      <c r="AD641" s="4">
        <f>IFERROR(__xludf.DUMMYFUNCTION("""COMPUTED_VALUE"""),8.576071)</f>
        <v>8.576071</v>
      </c>
      <c r="AE641" s="5" t="str">
        <f>IFERROR(__xludf.DUMMYFUNCTION("""COMPUTED_VALUE"""),"https://drive.google.com/open?id=1DZGpQh3gQXFheX9IQLtmdmA_L0tcTO3X")</f>
        <v>https://drive.google.com/open?id=1DZGpQh3gQXFheX9IQLtmdmA_L0tcTO3X</v>
      </c>
      <c r="AF641" s="4"/>
      <c r="AG641" s="4"/>
      <c r="AH641" s="4"/>
      <c r="AI641" s="4"/>
      <c r="AL641" s="4" t="str">
        <f t="shared" si="1"/>
        <v>Cluster 7</v>
      </c>
      <c r="AM641" s="4" t="str">
        <f t="shared" si="2"/>
        <v>ALH BATURE ABDULAZIZ STREET</v>
      </c>
    </row>
    <row r="642">
      <c r="A642" s="3">
        <f>IFERROR(__xludf.DUMMYFUNCTION("""COMPUTED_VALUE"""),45856.72321074074)</f>
        <v>45856.72321</v>
      </c>
      <c r="B642" s="4" t="str">
        <f>IFERROR(__xludf.DUMMYFUNCTION("""COMPUTED_VALUE"""),"umrdalhatu@gmail.com")</f>
        <v>umrdalhatu@gmail.com</v>
      </c>
      <c r="C642" s="4" t="str">
        <f>IFERROR(__xludf.DUMMYFUNCTION("""COMPUTED_VALUE"""),"Umar Dalhatu")</f>
        <v>Umar Dalhatu</v>
      </c>
      <c r="D642" s="4"/>
      <c r="E642" s="4"/>
      <c r="F642" s="4"/>
      <c r="G642" s="4"/>
      <c r="H642" s="4"/>
      <c r="I642" s="4"/>
      <c r="J642" s="4" t="str">
        <f>IFERROR(__xludf.DUMMYFUNCTION("""COMPUTED_VALUE"""),"Cluster 7")</f>
        <v>Cluster 7</v>
      </c>
      <c r="K642" s="4"/>
      <c r="L642" s="4" t="str">
        <f>IFERROR(__xludf.DUMMYFUNCTION("""COMPUTED_VALUE"""),"YANKABA STREET")</f>
        <v>YANKABA STREET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 t="str">
        <f>IFERROR(__xludf.DUMMYFUNCTION("""COMPUTED_VALUE"""),"Point 2")</f>
        <v>Point 2</v>
      </c>
      <c r="AC642" s="4">
        <f>IFERROR(__xludf.DUMMYFUNCTION("""COMPUTED_VALUE"""),12.01013057)</f>
        <v>12.01013057</v>
      </c>
      <c r="AD642" s="4">
        <f>IFERROR(__xludf.DUMMYFUNCTION("""COMPUTED_VALUE"""),8.5782424)</f>
        <v>8.5782424</v>
      </c>
      <c r="AE642" s="5" t="str">
        <f>IFERROR(__xludf.DUMMYFUNCTION("""COMPUTED_VALUE"""),"https://drive.google.com/open?id=1tYZwkPMjNTMpiLxdEAs4RdTHdn1AGJ_p")</f>
        <v>https://drive.google.com/open?id=1tYZwkPMjNTMpiLxdEAs4RdTHdn1AGJ_p</v>
      </c>
      <c r="AF642" s="4"/>
      <c r="AG642" s="4"/>
      <c r="AH642" s="4"/>
      <c r="AI642" s="4"/>
      <c r="AL642" s="4" t="str">
        <f t="shared" si="1"/>
        <v>Cluster 7</v>
      </c>
      <c r="AM642" s="4" t="str">
        <f t="shared" si="2"/>
        <v>YANKABA STREET</v>
      </c>
    </row>
    <row r="643">
      <c r="A643" s="3">
        <f>IFERROR(__xludf.DUMMYFUNCTION("""COMPUTED_VALUE"""),45856.722577175926)</f>
        <v>45856.72258</v>
      </c>
      <c r="B643" s="4" t="str">
        <f>IFERROR(__xludf.DUMMYFUNCTION("""COMPUTED_VALUE"""),"m.salisushehu18@gmail.com")</f>
        <v>m.salisushehu18@gmail.com</v>
      </c>
      <c r="C643" s="4" t="str">
        <f>IFERROR(__xludf.DUMMYFUNCTION("""COMPUTED_VALUE"""),"Umar Dalhatu")</f>
        <v>Umar Dalhatu</v>
      </c>
      <c r="D643" s="4"/>
      <c r="E643" s="4"/>
      <c r="F643" s="4"/>
      <c r="G643" s="4"/>
      <c r="H643" s="4"/>
      <c r="I643" s="4"/>
      <c r="J643" s="4" t="str">
        <f>IFERROR(__xludf.DUMMYFUNCTION("""COMPUTED_VALUE"""),"Cluster 7")</f>
        <v>Cluster 7</v>
      </c>
      <c r="K643" s="4"/>
      <c r="L643" s="4" t="str">
        <f>IFERROR(__xludf.DUMMYFUNCTION("""COMPUTED_VALUE"""),"ALH BATURE ABDULAZIZ STREET")</f>
        <v>ALH BATURE ABDULAZIZ STREET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 t="str">
        <f>IFERROR(__xludf.DUMMYFUNCTION("""COMPUTED_VALUE"""),"Point 1")</f>
        <v>Point 1</v>
      </c>
      <c r="AC643" s="4">
        <f>IFERROR(__xludf.DUMMYFUNCTION("""COMPUTED_VALUE"""),12.0075823)</f>
        <v>12.0075823</v>
      </c>
      <c r="AD643" s="4">
        <f>IFERROR(__xludf.DUMMYFUNCTION("""COMPUTED_VALUE"""),8.576498611)</f>
        <v>8.576498611</v>
      </c>
      <c r="AE643" s="5" t="str">
        <f>IFERROR(__xludf.DUMMYFUNCTION("""COMPUTED_VALUE"""),"https://drive.google.com/open?id=1Ag7hKgkjrMzBwOZxgnYwSgYjlnSjPIbm")</f>
        <v>https://drive.google.com/open?id=1Ag7hKgkjrMzBwOZxgnYwSgYjlnSjPIbm</v>
      </c>
      <c r="AF643" s="4"/>
      <c r="AG643" s="4"/>
      <c r="AH643" s="4"/>
      <c r="AI643" s="4"/>
      <c r="AL643" s="4" t="str">
        <f t="shared" si="1"/>
        <v>Cluster 7</v>
      </c>
      <c r="AM643" s="4" t="str">
        <f t="shared" si="2"/>
        <v>ALH BATURE ABDULAZIZ STREET</v>
      </c>
    </row>
    <row r="644">
      <c r="A644" s="3">
        <f>IFERROR(__xludf.DUMMYFUNCTION("""COMPUTED_VALUE"""),45856.72129998842)</f>
        <v>45856.7213</v>
      </c>
      <c r="B644" s="4" t="str">
        <f>IFERROR(__xludf.DUMMYFUNCTION("""COMPUTED_VALUE"""),"m.salisushehu18@gmail.com")</f>
        <v>m.salisushehu18@gmail.com</v>
      </c>
      <c r="C644" s="4" t="str">
        <f>IFERROR(__xludf.DUMMYFUNCTION("""COMPUTED_VALUE"""),"Umar Dalhatu")</f>
        <v>Umar Dalhatu</v>
      </c>
      <c r="D644" s="4"/>
      <c r="E644" s="4"/>
      <c r="F644" s="4"/>
      <c r="G644" s="4"/>
      <c r="H644" s="4"/>
      <c r="I644" s="4"/>
      <c r="J644" s="4" t="str">
        <f>IFERROR(__xludf.DUMMYFUNCTION("""COMPUTED_VALUE"""),"Cluster 7")</f>
        <v>Cluster 7</v>
      </c>
      <c r="K644" s="4"/>
      <c r="L644" s="4" t="str">
        <f>IFERROR(__xludf.DUMMYFUNCTION("""COMPUTED_VALUE"""),"MUAZU HAMZA STREET")</f>
        <v>MUAZU HAMZA STREET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 t="str">
        <f>IFERROR(__xludf.DUMMYFUNCTION("""COMPUTED_VALUE"""),"Point 2")</f>
        <v>Point 2</v>
      </c>
      <c r="AC644" s="4">
        <f>IFERROR(__xludf.DUMMYFUNCTION("""COMPUTED_VALUE"""),12.01376586)</f>
        <v>12.01376586</v>
      </c>
      <c r="AD644" s="4">
        <f>IFERROR(__xludf.DUMMYFUNCTION("""COMPUTED_VALUE"""),8.580250266)</f>
        <v>8.580250266</v>
      </c>
      <c r="AE644" s="5" t="str">
        <f>IFERROR(__xludf.DUMMYFUNCTION("""COMPUTED_VALUE"""),"https://drive.google.com/open?id=1kxr2OPmy_JM3Umn4pQBGxSbkJ0qs8arK")</f>
        <v>https://drive.google.com/open?id=1kxr2OPmy_JM3Umn4pQBGxSbkJ0qs8arK</v>
      </c>
      <c r="AF644" s="4"/>
      <c r="AG644" s="4"/>
      <c r="AH644" s="4"/>
      <c r="AI644" s="4"/>
      <c r="AL644" s="4" t="str">
        <f t="shared" si="1"/>
        <v>Cluster 7</v>
      </c>
      <c r="AM644" s="4" t="str">
        <f t="shared" si="2"/>
        <v>MUAZU HAMZA STREET</v>
      </c>
    </row>
    <row r="645">
      <c r="A645" s="3">
        <f>IFERROR(__xludf.DUMMYFUNCTION("""COMPUTED_VALUE"""),45856.72044096065)</f>
        <v>45856.72044</v>
      </c>
      <c r="B645" s="4" t="str">
        <f>IFERROR(__xludf.DUMMYFUNCTION("""COMPUTED_VALUE"""),"m.salisushehu18@gmail.com")</f>
        <v>m.salisushehu18@gmail.com</v>
      </c>
      <c r="C645" s="4" t="str">
        <f>IFERROR(__xludf.DUMMYFUNCTION("""COMPUTED_VALUE"""),"Umar Dalhatu")</f>
        <v>Umar Dalhatu</v>
      </c>
      <c r="D645" s="4"/>
      <c r="E645" s="4"/>
      <c r="F645" s="4"/>
      <c r="G645" s="4"/>
      <c r="H645" s="4"/>
      <c r="I645" s="4"/>
      <c r="J645" s="4" t="str">
        <f>IFERROR(__xludf.DUMMYFUNCTION("""COMPUTED_VALUE"""),"Cluster 7")</f>
        <v>Cluster 7</v>
      </c>
      <c r="K645" s="4"/>
      <c r="L645" s="4" t="str">
        <f>IFERROR(__xludf.DUMMYFUNCTION("""COMPUTED_VALUE"""),"MUAZU HAMZA STREET")</f>
        <v>MUAZU HAMZA STREET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 t="str">
        <f>IFERROR(__xludf.DUMMYFUNCTION("""COMPUTED_VALUE"""),"Point 1")</f>
        <v>Point 1</v>
      </c>
      <c r="AC645" s="4">
        <f>IFERROR(__xludf.DUMMYFUNCTION("""COMPUTED_VALUE"""),12.01362301)</f>
        <v>12.01362301</v>
      </c>
      <c r="AD645" s="4">
        <f>IFERROR(__xludf.DUMMYFUNCTION("""COMPUTED_VALUE"""),8.578965098)</f>
        <v>8.578965098</v>
      </c>
      <c r="AE645" s="5" t="str">
        <f>IFERROR(__xludf.DUMMYFUNCTION("""COMPUTED_VALUE"""),"https://drive.google.com/open?id=1nYzvbH4TMIlRUovTBVNwE3jW7bsRQWrZ")</f>
        <v>https://drive.google.com/open?id=1nYzvbH4TMIlRUovTBVNwE3jW7bsRQWrZ</v>
      </c>
      <c r="AF645" s="4"/>
      <c r="AG645" s="4"/>
      <c r="AH645" s="4"/>
      <c r="AI645" s="4"/>
      <c r="AL645" s="4" t="str">
        <f t="shared" si="1"/>
        <v>Cluster 7</v>
      </c>
      <c r="AM645" s="4" t="str">
        <f t="shared" si="2"/>
        <v>MUAZU HAMZA STREET</v>
      </c>
    </row>
    <row r="646">
      <c r="A646" s="3">
        <f>IFERROR(__xludf.DUMMYFUNCTION("""COMPUTED_VALUE"""),45856.719928819446)</f>
        <v>45856.71993</v>
      </c>
      <c r="B646" s="4" t="str">
        <f>IFERROR(__xludf.DUMMYFUNCTION("""COMPUTED_VALUE"""),"umrdalhatu@gmail.com")</f>
        <v>umrdalhatu@gmail.com</v>
      </c>
      <c r="C646" s="4" t="str">
        <f>IFERROR(__xludf.DUMMYFUNCTION("""COMPUTED_VALUE"""),"Umar Dalhatu")</f>
        <v>Umar Dalhatu</v>
      </c>
      <c r="D646" s="4"/>
      <c r="E646" s="4"/>
      <c r="F646" s="4"/>
      <c r="G646" s="4"/>
      <c r="H646" s="4"/>
      <c r="I646" s="4"/>
      <c r="J646" s="4" t="str">
        <f>IFERROR(__xludf.DUMMYFUNCTION("""COMPUTED_VALUE"""),"Cluster 7")</f>
        <v>Cluster 7</v>
      </c>
      <c r="K646" s="4"/>
      <c r="L646" s="4" t="str">
        <f>IFERROR(__xludf.DUMMYFUNCTION("""COMPUTED_VALUE"""),"YANKABA STREET")</f>
        <v>YANKABA STREET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 t="str">
        <f>IFERROR(__xludf.DUMMYFUNCTION("""COMPUTED_VALUE"""),"Point 1")</f>
        <v>Point 1</v>
      </c>
      <c r="AC646" s="4">
        <f>IFERROR(__xludf.DUMMYFUNCTION("""COMPUTED_VALUE"""),12.008848)</f>
        <v>12.008848</v>
      </c>
      <c r="AD646" s="4">
        <f>IFERROR(__xludf.DUMMYFUNCTION("""COMPUTED_VALUE"""),8.576071)</f>
        <v>8.576071</v>
      </c>
      <c r="AE646" s="5" t="str">
        <f>IFERROR(__xludf.DUMMYFUNCTION("""COMPUTED_VALUE"""),"https://drive.google.com/open?id=1lPmtQ4olBgE5g621fVM0pcXqHfPJQw1P")</f>
        <v>https://drive.google.com/open?id=1lPmtQ4olBgE5g621fVM0pcXqHfPJQw1P</v>
      </c>
      <c r="AF646" s="4"/>
      <c r="AG646" s="4"/>
      <c r="AH646" s="4"/>
      <c r="AI646" s="4"/>
      <c r="AL646" s="4" t="str">
        <f t="shared" si="1"/>
        <v>Cluster 7</v>
      </c>
      <c r="AM646" s="4" t="str">
        <f t="shared" si="2"/>
        <v>YANKABA STREET</v>
      </c>
    </row>
    <row r="647">
      <c r="A647" s="3">
        <f>IFERROR(__xludf.DUMMYFUNCTION("""COMPUTED_VALUE"""),45856.71825012732)</f>
        <v>45856.71825</v>
      </c>
      <c r="B647" s="4" t="str">
        <f>IFERROR(__xludf.DUMMYFUNCTION("""COMPUTED_VALUE"""),"umrdalhatu@gmail.com")</f>
        <v>umrdalhatu@gmail.com</v>
      </c>
      <c r="C647" s="4" t="str">
        <f>IFERROR(__xludf.DUMMYFUNCTION("""COMPUTED_VALUE"""),"Umar Dalhatu")</f>
        <v>Umar Dalhatu</v>
      </c>
      <c r="D647" s="4"/>
      <c r="E647" s="4"/>
      <c r="F647" s="4"/>
      <c r="G647" s="4"/>
      <c r="H647" s="4"/>
      <c r="I647" s="4"/>
      <c r="J647" s="4" t="str">
        <f>IFERROR(__xludf.DUMMYFUNCTION("""COMPUTED_VALUE"""),"Cluster 7")</f>
        <v>Cluster 7</v>
      </c>
      <c r="K647" s="4"/>
      <c r="L647" s="4" t="str">
        <f>IFERROR(__xludf.DUMMYFUNCTION("""COMPUTED_VALUE"""),"ROYAL STREET")</f>
        <v>ROYAL STREET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 t="str">
        <f>IFERROR(__xludf.DUMMYFUNCTION("""COMPUTED_VALUE"""),"Point 2")</f>
        <v>Point 2</v>
      </c>
      <c r="AC647" s="4">
        <f>IFERROR(__xludf.DUMMYFUNCTION("""COMPUTED_VALUE"""),12.01391958)</f>
        <v>12.01391958</v>
      </c>
      <c r="AD647" s="4">
        <f>IFERROR(__xludf.DUMMYFUNCTION("""COMPUTED_VALUE"""),8.583296396)</f>
        <v>8.583296396</v>
      </c>
      <c r="AE647" s="5" t="str">
        <f>IFERROR(__xludf.DUMMYFUNCTION("""COMPUTED_VALUE"""),"https://drive.google.com/open?id=1C2Mav7g1fXa95nODmhdl5CPXfKi9_sAu")</f>
        <v>https://drive.google.com/open?id=1C2Mav7g1fXa95nODmhdl5CPXfKi9_sAu</v>
      </c>
      <c r="AF647" s="4"/>
      <c r="AG647" s="4"/>
      <c r="AH647" s="4"/>
      <c r="AI647" s="4"/>
      <c r="AL647" s="4" t="str">
        <f t="shared" si="1"/>
        <v>Cluster 7</v>
      </c>
      <c r="AM647" s="4" t="str">
        <f t="shared" si="2"/>
        <v>ROYAL STREET</v>
      </c>
    </row>
    <row r="648">
      <c r="A648" s="3">
        <f>IFERROR(__xludf.DUMMYFUNCTION("""COMPUTED_VALUE"""),45856.71812116898)</f>
        <v>45856.71812</v>
      </c>
      <c r="B648" s="4" t="str">
        <f>IFERROR(__xludf.DUMMYFUNCTION("""COMPUTED_VALUE"""),"m.salisushehu18@gmail.com")</f>
        <v>m.salisushehu18@gmail.com</v>
      </c>
      <c r="C648" s="4" t="str">
        <f>IFERROR(__xludf.DUMMYFUNCTION("""COMPUTED_VALUE"""),"Umar Dalhatu")</f>
        <v>Umar Dalhatu</v>
      </c>
      <c r="D648" s="4"/>
      <c r="E648" s="4"/>
      <c r="F648" s="4"/>
      <c r="G648" s="4"/>
      <c r="H648" s="4"/>
      <c r="I648" s="4"/>
      <c r="J648" s="4" t="str">
        <f>IFERROR(__xludf.DUMMYFUNCTION("""COMPUTED_VALUE"""),"Cluster 7")</f>
        <v>Cluster 7</v>
      </c>
      <c r="K648" s="4"/>
      <c r="L648" s="4" t="str">
        <f>IFERROR(__xludf.DUMMYFUNCTION("""COMPUTED_VALUE"""),"SHEHU NA ALLAH STREET")</f>
        <v>SHEHU NA ALLAH STREET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 t="str">
        <f>IFERROR(__xludf.DUMMYFUNCTION("""COMPUTED_VALUE"""),"Point 2")</f>
        <v>Point 2</v>
      </c>
      <c r="AC648" s="4">
        <f>IFERROR(__xludf.DUMMYFUNCTION("""COMPUTED_VALUE"""),12.01427019)</f>
        <v>12.01427019</v>
      </c>
      <c r="AD648" s="4">
        <f>IFERROR(__xludf.DUMMYFUNCTION("""COMPUTED_VALUE"""),8.580254962)</f>
        <v>8.580254962</v>
      </c>
      <c r="AE648" s="5" t="str">
        <f>IFERROR(__xludf.DUMMYFUNCTION("""COMPUTED_VALUE"""),"https://drive.google.com/open?id=1E9NEr2Tt-GtPt07j4RCbcWw7mY2hQbhK")</f>
        <v>https://drive.google.com/open?id=1E9NEr2Tt-GtPt07j4RCbcWw7mY2hQbhK</v>
      </c>
      <c r="AF648" s="4"/>
      <c r="AG648" s="4"/>
      <c r="AH648" s="4"/>
      <c r="AI648" s="4"/>
      <c r="AL648" s="4" t="str">
        <f t="shared" si="1"/>
        <v>Cluster 7</v>
      </c>
      <c r="AM648" s="4" t="str">
        <f t="shared" si="2"/>
        <v>SHEHU NA ALLAH STREET</v>
      </c>
    </row>
    <row r="649">
      <c r="A649" s="3">
        <f>IFERROR(__xludf.DUMMYFUNCTION("""COMPUTED_VALUE"""),45856.717175868056)</f>
        <v>45856.71718</v>
      </c>
      <c r="B649" s="4" t="str">
        <f>IFERROR(__xludf.DUMMYFUNCTION("""COMPUTED_VALUE"""),"m.salisushehu18@gmail.com")</f>
        <v>m.salisushehu18@gmail.com</v>
      </c>
      <c r="C649" s="4" t="str">
        <f>IFERROR(__xludf.DUMMYFUNCTION("""COMPUTED_VALUE"""),"Umar Dalhatu")</f>
        <v>Umar Dalhatu</v>
      </c>
      <c r="D649" s="4"/>
      <c r="E649" s="4"/>
      <c r="F649" s="4"/>
      <c r="G649" s="4"/>
      <c r="H649" s="4"/>
      <c r="I649" s="4"/>
      <c r="J649" s="4" t="str">
        <f>IFERROR(__xludf.DUMMYFUNCTION("""COMPUTED_VALUE"""),"Cluster 7")</f>
        <v>Cluster 7</v>
      </c>
      <c r="K649" s="4"/>
      <c r="L649" s="4" t="str">
        <f>IFERROR(__xludf.DUMMYFUNCTION("""COMPUTED_VALUE"""),"SHEHU NA ALLAH STREET")</f>
        <v>SHEHU NA ALLAH STREET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 t="str">
        <f>IFERROR(__xludf.DUMMYFUNCTION("""COMPUTED_VALUE"""),"Point 1")</f>
        <v>Point 1</v>
      </c>
      <c r="AC649" s="4">
        <f>IFERROR(__xludf.DUMMYFUNCTION("""COMPUTED_VALUE"""),12.01376586)</f>
        <v>12.01376586</v>
      </c>
      <c r="AD649" s="4">
        <f>IFERROR(__xludf.DUMMYFUNCTION("""COMPUTED_VALUE"""),8.580250266)</f>
        <v>8.580250266</v>
      </c>
      <c r="AE649" s="5" t="str">
        <f>IFERROR(__xludf.DUMMYFUNCTION("""COMPUTED_VALUE"""),"https://drive.google.com/open?id=11YaugSwqTAMu-Hk25eImKnsmfBzLE_7E")</f>
        <v>https://drive.google.com/open?id=11YaugSwqTAMu-Hk25eImKnsmfBzLE_7E</v>
      </c>
      <c r="AF649" s="4"/>
      <c r="AG649" s="4"/>
      <c r="AH649" s="4"/>
      <c r="AI649" s="4"/>
      <c r="AL649" s="4" t="str">
        <f t="shared" si="1"/>
        <v>Cluster 7</v>
      </c>
      <c r="AM649" s="4" t="str">
        <f t="shared" si="2"/>
        <v>SHEHU NA ALLAH STREET</v>
      </c>
    </row>
    <row r="650">
      <c r="A650" s="3">
        <f>IFERROR(__xludf.DUMMYFUNCTION("""COMPUTED_VALUE"""),45856.716177581024)</f>
        <v>45856.71618</v>
      </c>
      <c r="B650" s="4" t="str">
        <f>IFERROR(__xludf.DUMMYFUNCTION("""COMPUTED_VALUE"""),"umrdalhatu@gmail.com")</f>
        <v>umrdalhatu@gmail.com</v>
      </c>
      <c r="C650" s="4" t="str">
        <f>IFERROR(__xludf.DUMMYFUNCTION("""COMPUTED_VALUE"""),"Umar Dalhatu")</f>
        <v>Umar Dalhatu</v>
      </c>
      <c r="D650" s="4"/>
      <c r="E650" s="4"/>
      <c r="F650" s="4"/>
      <c r="G650" s="4"/>
      <c r="H650" s="4"/>
      <c r="I650" s="4"/>
      <c r="J650" s="4" t="str">
        <f>IFERROR(__xludf.DUMMYFUNCTION("""COMPUTED_VALUE"""),"Cluster 7")</f>
        <v>Cluster 7</v>
      </c>
      <c r="K650" s="4"/>
      <c r="L650" s="4" t="str">
        <f>IFERROR(__xludf.DUMMYFUNCTION("""COMPUTED_VALUE"""),"ROYAL STREET")</f>
        <v>ROYAL STREET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 t="str">
        <f>IFERROR(__xludf.DUMMYFUNCTION("""COMPUTED_VALUE"""),"Point 1")</f>
        <v>Point 1</v>
      </c>
      <c r="AC650" s="4">
        <f>IFERROR(__xludf.DUMMYFUNCTION("""COMPUTED_VALUE"""),12.01526793)</f>
        <v>12.01526793</v>
      </c>
      <c r="AD650" s="4">
        <f>IFERROR(__xludf.DUMMYFUNCTION("""COMPUTED_VALUE"""),8.582385261)</f>
        <v>8.582385261</v>
      </c>
      <c r="AE650" s="5" t="str">
        <f>IFERROR(__xludf.DUMMYFUNCTION("""COMPUTED_VALUE"""),"https://drive.google.com/open?id=1f-_JzavGv0MxsnDQ0r2BDTEID6zm5SfX")</f>
        <v>https://drive.google.com/open?id=1f-_JzavGv0MxsnDQ0r2BDTEID6zm5SfX</v>
      </c>
      <c r="AF650" s="4"/>
      <c r="AG650" s="4"/>
      <c r="AH650" s="4"/>
      <c r="AI650" s="4"/>
      <c r="AL650" s="4" t="str">
        <f t="shared" si="1"/>
        <v>Cluster 7</v>
      </c>
      <c r="AM650" s="4" t="str">
        <f t="shared" si="2"/>
        <v>ROYAL STREET</v>
      </c>
    </row>
    <row r="651">
      <c r="A651" s="3">
        <f>IFERROR(__xludf.DUMMYFUNCTION("""COMPUTED_VALUE"""),45856.71596277777)</f>
        <v>45856.71596</v>
      </c>
      <c r="B651" s="4" t="str">
        <f>IFERROR(__xludf.DUMMYFUNCTION("""COMPUTED_VALUE"""),"m.salisushehu18@gmail.com")</f>
        <v>m.salisushehu18@gmail.com</v>
      </c>
      <c r="C651" s="4" t="str">
        <f>IFERROR(__xludf.DUMMYFUNCTION("""COMPUTED_VALUE"""),"Umar Dalhatu")</f>
        <v>Umar Dalhatu</v>
      </c>
      <c r="D651" s="4"/>
      <c r="E651" s="4"/>
      <c r="F651" s="4"/>
      <c r="G651" s="4"/>
      <c r="H651" s="4"/>
      <c r="I651" s="4"/>
      <c r="J651" s="4" t="str">
        <f>IFERROR(__xludf.DUMMYFUNCTION("""COMPUTED_VALUE"""),"Cluster 7")</f>
        <v>Cluster 7</v>
      </c>
      <c r="K651" s="4"/>
      <c r="L651" s="4" t="str">
        <f>IFERROR(__xludf.DUMMYFUNCTION("""COMPUTED_VALUE"""),"UMAR KAWAJI STREET")</f>
        <v>UMAR KAWAJI STREET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 t="str">
        <f>IFERROR(__xludf.DUMMYFUNCTION("""COMPUTED_VALUE"""),"Point 2")</f>
        <v>Point 2</v>
      </c>
      <c r="AC651" s="4">
        <f>IFERROR(__xludf.DUMMYFUNCTION("""COMPUTED_VALUE"""),12.01315122)</f>
        <v>12.01315122</v>
      </c>
      <c r="AD651" s="4">
        <f>IFERROR(__xludf.DUMMYFUNCTION("""COMPUTED_VALUE"""),8.583331358)</f>
        <v>8.583331358</v>
      </c>
      <c r="AE651" s="5" t="str">
        <f>IFERROR(__xludf.DUMMYFUNCTION("""COMPUTED_VALUE"""),"https://drive.google.com/open?id=1R7uBc2bMRjZz7t5sVTPk1zAfBJ5d6J7A")</f>
        <v>https://drive.google.com/open?id=1R7uBc2bMRjZz7t5sVTPk1zAfBJ5d6J7A</v>
      </c>
      <c r="AF651" s="4"/>
      <c r="AG651" s="4"/>
      <c r="AH651" s="4"/>
      <c r="AI651" s="4"/>
      <c r="AL651" s="4" t="str">
        <f t="shared" si="1"/>
        <v>Cluster 7</v>
      </c>
      <c r="AM651" s="4" t="str">
        <f t="shared" si="2"/>
        <v>UMAR KAWAJI STREET</v>
      </c>
    </row>
    <row r="652">
      <c r="A652" s="3">
        <f>IFERROR(__xludf.DUMMYFUNCTION("""COMPUTED_VALUE"""),45856.71441635417)</f>
        <v>45856.71442</v>
      </c>
      <c r="B652" s="4" t="str">
        <f>IFERROR(__xludf.DUMMYFUNCTION("""COMPUTED_VALUE"""),"m.salisushehu18@gmail.com")</f>
        <v>m.salisushehu18@gmail.com</v>
      </c>
      <c r="C652" s="4" t="str">
        <f>IFERROR(__xludf.DUMMYFUNCTION("""COMPUTED_VALUE"""),"Umar Dalhatu")</f>
        <v>Umar Dalhatu</v>
      </c>
      <c r="D652" s="4"/>
      <c r="E652" s="4"/>
      <c r="F652" s="4"/>
      <c r="G652" s="4"/>
      <c r="H652" s="4"/>
      <c r="I652" s="4"/>
      <c r="J652" s="4" t="str">
        <f>IFERROR(__xludf.DUMMYFUNCTION("""COMPUTED_VALUE"""),"Cluster 7")</f>
        <v>Cluster 7</v>
      </c>
      <c r="K652" s="4"/>
      <c r="L652" s="4" t="str">
        <f>IFERROR(__xludf.DUMMYFUNCTION("""COMPUTED_VALUE"""),"UMAR KAWAJI STREET")</f>
        <v>UMAR KAWAJI STREET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 t="str">
        <f>IFERROR(__xludf.DUMMYFUNCTION("""COMPUTED_VALUE"""),"Point 1")</f>
        <v>Point 1</v>
      </c>
      <c r="AC652" s="4">
        <f>IFERROR(__xludf.DUMMYFUNCTION("""COMPUTED_VALUE"""),12.01391958)</f>
        <v>12.01391958</v>
      </c>
      <c r="AD652" s="4">
        <f>IFERROR(__xludf.DUMMYFUNCTION("""COMPUTED_VALUE"""),8.583296396)</f>
        <v>8.583296396</v>
      </c>
      <c r="AE652" s="5" t="str">
        <f>IFERROR(__xludf.DUMMYFUNCTION("""COMPUTED_VALUE"""),"https://drive.google.com/open?id=1lB829plrKP7tH8MzDN6THr4fpjosUeXC")</f>
        <v>https://drive.google.com/open?id=1lB829plrKP7tH8MzDN6THr4fpjosUeXC</v>
      </c>
      <c r="AF652" s="4"/>
      <c r="AG652" s="4"/>
      <c r="AH652" s="4"/>
      <c r="AI652" s="4"/>
      <c r="AL652" s="4" t="str">
        <f t="shared" si="1"/>
        <v>Cluster 7</v>
      </c>
      <c r="AM652" s="4" t="str">
        <f t="shared" si="2"/>
        <v>UMAR KAWAJI STREET</v>
      </c>
    </row>
    <row r="653">
      <c r="A653" s="3">
        <f>IFERROR(__xludf.DUMMYFUNCTION("""COMPUTED_VALUE"""),45856.714364444444)</f>
        <v>45856.71436</v>
      </c>
      <c r="B653" s="4" t="str">
        <f>IFERROR(__xludf.DUMMYFUNCTION("""COMPUTED_VALUE"""),"umrdalhatu@gmail.com")</f>
        <v>umrdalhatu@gmail.com</v>
      </c>
      <c r="C653" s="4" t="str">
        <f>IFERROR(__xludf.DUMMYFUNCTION("""COMPUTED_VALUE"""),"Umar Dalhatu")</f>
        <v>Umar Dalhatu</v>
      </c>
      <c r="D653" s="4"/>
      <c r="E653" s="4"/>
      <c r="F653" s="4"/>
      <c r="G653" s="4"/>
      <c r="H653" s="4"/>
      <c r="I653" s="4"/>
      <c r="J653" s="4" t="str">
        <f>IFERROR(__xludf.DUMMYFUNCTION("""COMPUTED_VALUE"""),"Cluster 7")</f>
        <v>Cluster 7</v>
      </c>
      <c r="K653" s="4"/>
      <c r="L653" s="4" t="str">
        <f>IFERROR(__xludf.DUMMYFUNCTION("""COMPUTED_VALUE"""),"SAMADI STREET")</f>
        <v>SAMADI STREET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 t="str">
        <f>IFERROR(__xludf.DUMMYFUNCTION("""COMPUTED_VALUE"""),"Point 2")</f>
        <v>Point 2</v>
      </c>
      <c r="AC653" s="4">
        <f>IFERROR(__xludf.DUMMYFUNCTION("""COMPUTED_VALUE"""),12.01026851)</f>
        <v>12.01026851</v>
      </c>
      <c r="AD653" s="4">
        <f>IFERROR(__xludf.DUMMYFUNCTION("""COMPUTED_VALUE"""),8.584834023)</f>
        <v>8.584834023</v>
      </c>
      <c r="AE653" s="5" t="str">
        <f>IFERROR(__xludf.DUMMYFUNCTION("""COMPUTED_VALUE"""),"https://drive.google.com/open?id=1Nj3UyMtg4HbePvV_9BJjtX0l0yjYPyQe")</f>
        <v>https://drive.google.com/open?id=1Nj3UyMtg4HbePvV_9BJjtX0l0yjYPyQe</v>
      </c>
      <c r="AF653" s="4"/>
      <c r="AG653" s="4"/>
      <c r="AH653" s="4"/>
      <c r="AI653" s="4"/>
      <c r="AL653" s="4" t="str">
        <f t="shared" si="1"/>
        <v>Cluster 7</v>
      </c>
      <c r="AM653" s="4" t="str">
        <f t="shared" si="2"/>
        <v>SAMADI STREET</v>
      </c>
    </row>
    <row r="654">
      <c r="A654" s="3">
        <f>IFERROR(__xludf.DUMMYFUNCTION("""COMPUTED_VALUE"""),45856.71308715278)</f>
        <v>45856.71309</v>
      </c>
      <c r="B654" s="4" t="str">
        <f>IFERROR(__xludf.DUMMYFUNCTION("""COMPUTED_VALUE"""),"umrdalhatu@gmail.com")</f>
        <v>umrdalhatu@gmail.com</v>
      </c>
      <c r="C654" s="4" t="str">
        <f>IFERROR(__xludf.DUMMYFUNCTION("""COMPUTED_VALUE"""),"Umar Dalhatu")</f>
        <v>Umar Dalhatu</v>
      </c>
      <c r="D654" s="4"/>
      <c r="E654" s="4"/>
      <c r="F654" s="4"/>
      <c r="G654" s="4"/>
      <c r="H654" s="4"/>
      <c r="I654" s="4"/>
      <c r="J654" s="4" t="str">
        <f>IFERROR(__xludf.DUMMYFUNCTION("""COMPUTED_VALUE"""),"Cluster 7")</f>
        <v>Cluster 7</v>
      </c>
      <c r="K654" s="4"/>
      <c r="L654" s="4" t="str">
        <f>IFERROR(__xludf.DUMMYFUNCTION("""COMPUTED_VALUE"""),"SAMADI STREET")</f>
        <v>SAMADI STREET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 t="str">
        <f>IFERROR(__xludf.DUMMYFUNCTION("""COMPUTED_VALUE"""),"Point 1")</f>
        <v>Point 1</v>
      </c>
      <c r="AC654" s="4">
        <f>IFERROR(__xludf.DUMMYFUNCTION("""COMPUTED_VALUE"""),12.01260693)</f>
        <v>12.01260693</v>
      </c>
      <c r="AD654" s="4">
        <f>IFERROR(__xludf.DUMMYFUNCTION("""COMPUTED_VALUE"""),8.584768125)</f>
        <v>8.584768125</v>
      </c>
      <c r="AE654" s="5" t="str">
        <f>IFERROR(__xludf.DUMMYFUNCTION("""COMPUTED_VALUE"""),"https://drive.google.com/open?id=1BW-3beBHeg26oBcwC4I_LWkWxLzpj9cv")</f>
        <v>https://drive.google.com/open?id=1BW-3beBHeg26oBcwC4I_LWkWxLzpj9cv</v>
      </c>
      <c r="AF654" s="4"/>
      <c r="AG654" s="4"/>
      <c r="AH654" s="4"/>
      <c r="AI654" s="4"/>
      <c r="AL654" s="4" t="str">
        <f t="shared" si="1"/>
        <v>Cluster 7</v>
      </c>
      <c r="AM654" s="4" t="str">
        <f t="shared" si="2"/>
        <v>SAMADI STREET</v>
      </c>
    </row>
    <row r="655">
      <c r="A655" s="3">
        <f>IFERROR(__xludf.DUMMYFUNCTION("""COMPUTED_VALUE"""),45856.71100643519)</f>
        <v>45856.71101</v>
      </c>
      <c r="B655" s="4" t="str">
        <f>IFERROR(__xludf.DUMMYFUNCTION("""COMPUTED_VALUE"""),"m.salisushehu18@gmail.com")</f>
        <v>m.salisushehu18@gmail.com</v>
      </c>
      <c r="C655" s="4" t="str">
        <f>IFERROR(__xludf.DUMMYFUNCTION("""COMPUTED_VALUE"""),"Umar Dalhatu")</f>
        <v>Umar Dalhatu</v>
      </c>
      <c r="D655" s="4"/>
      <c r="E655" s="4"/>
      <c r="F655" s="4"/>
      <c r="G655" s="4"/>
      <c r="H655" s="4"/>
      <c r="I655" s="4"/>
      <c r="J655" s="4" t="str">
        <f>IFERROR(__xludf.DUMMYFUNCTION("""COMPUTED_VALUE"""),"Cluster 7")</f>
        <v>Cluster 7</v>
      </c>
      <c r="K655" s="4"/>
      <c r="L655" s="4" t="str">
        <f>IFERROR(__xludf.DUMMYFUNCTION("""COMPUTED_VALUE"""),"KANYA STREET")</f>
        <v>KANYA STREET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 t="str">
        <f>IFERROR(__xludf.DUMMYFUNCTION("""COMPUTED_VALUE"""),"Point 2")</f>
        <v>Point 2</v>
      </c>
      <c r="AC655" s="4">
        <f>IFERROR(__xludf.DUMMYFUNCTION("""COMPUTED_VALUE"""),12.00886496)</f>
        <v>12.00886496</v>
      </c>
      <c r="AD655" s="4">
        <f>IFERROR(__xludf.DUMMYFUNCTION("""COMPUTED_VALUE"""),8.584879093)</f>
        <v>8.584879093</v>
      </c>
      <c r="AE655" s="5" t="str">
        <f>IFERROR(__xludf.DUMMYFUNCTION("""COMPUTED_VALUE"""),"https://drive.google.com/open?id=1qtCKE5YEzkPrVqHzhsXAG1ib5kAdAfyA")</f>
        <v>https://drive.google.com/open?id=1qtCKE5YEzkPrVqHzhsXAG1ib5kAdAfyA</v>
      </c>
      <c r="AF655" s="4"/>
      <c r="AG655" s="4"/>
      <c r="AH655" s="4"/>
      <c r="AI655" s="4"/>
      <c r="AL655" s="4" t="str">
        <f t="shared" si="1"/>
        <v>Cluster 7</v>
      </c>
      <c r="AM655" s="4" t="str">
        <f t="shared" si="2"/>
        <v>KANYA STREET</v>
      </c>
    </row>
    <row r="656">
      <c r="A656" s="3">
        <f>IFERROR(__xludf.DUMMYFUNCTION("""COMPUTED_VALUE"""),45856.70997326389)</f>
        <v>45856.70997</v>
      </c>
      <c r="B656" s="4" t="str">
        <f>IFERROR(__xludf.DUMMYFUNCTION("""COMPUTED_VALUE"""),"umrdalhatu@gmail.com")</f>
        <v>umrdalhatu@gmail.com</v>
      </c>
      <c r="C656" s="4" t="str">
        <f>IFERROR(__xludf.DUMMYFUNCTION("""COMPUTED_VALUE"""),"Umar Dalhatu")</f>
        <v>Umar Dalhatu</v>
      </c>
      <c r="D656" s="4"/>
      <c r="E656" s="4"/>
      <c r="F656" s="4"/>
      <c r="G656" s="4"/>
      <c r="H656" s="4"/>
      <c r="I656" s="4"/>
      <c r="J656" s="4" t="str">
        <f>IFERROR(__xludf.DUMMYFUNCTION("""COMPUTED_VALUE"""),"Cluster 7")</f>
        <v>Cluster 7</v>
      </c>
      <c r="K656" s="4"/>
      <c r="L656" s="4" t="str">
        <f>IFERROR(__xludf.DUMMYFUNCTION("""COMPUTED_VALUE"""),"UMAR DAN AZUMI STREET")</f>
        <v>UMAR DAN AZUMI STREET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 t="str">
        <f>IFERROR(__xludf.DUMMYFUNCTION("""COMPUTED_VALUE"""),"Point 2")</f>
        <v>Point 2</v>
      </c>
      <c r="AC656" s="4">
        <f>IFERROR(__xludf.DUMMYFUNCTION("""COMPUTED_VALUE"""),12.00884832)</f>
        <v>12.00884832</v>
      </c>
      <c r="AD656" s="4">
        <f>IFERROR(__xludf.DUMMYFUNCTION("""COMPUTED_VALUE"""),8.583467756)</f>
        <v>8.583467756</v>
      </c>
      <c r="AE656" s="5" t="str">
        <f>IFERROR(__xludf.DUMMYFUNCTION("""COMPUTED_VALUE"""),"https://drive.google.com/open?id=1009oRYjHAavb6BENmti9BgF9utXoB4NX")</f>
        <v>https://drive.google.com/open?id=1009oRYjHAavb6BENmti9BgF9utXoB4NX</v>
      </c>
      <c r="AF656" s="4"/>
      <c r="AG656" s="4"/>
      <c r="AH656" s="4"/>
      <c r="AI656" s="4"/>
      <c r="AL656" s="4" t="str">
        <f t="shared" si="1"/>
        <v>Cluster 7</v>
      </c>
      <c r="AM656" s="4" t="str">
        <f t="shared" si="2"/>
        <v>UMAR DAN AZUMI STREET</v>
      </c>
    </row>
    <row r="657">
      <c r="A657" s="3">
        <f>IFERROR(__xludf.DUMMYFUNCTION("""COMPUTED_VALUE"""),45856.709554189816)</f>
        <v>45856.70955</v>
      </c>
      <c r="B657" s="4" t="str">
        <f>IFERROR(__xludf.DUMMYFUNCTION("""COMPUTED_VALUE"""),"m.salisushehu18@gmail.com")</f>
        <v>m.salisushehu18@gmail.com</v>
      </c>
      <c r="C657" s="4" t="str">
        <f>IFERROR(__xludf.DUMMYFUNCTION("""COMPUTED_VALUE"""),"Umar Dalhatu")</f>
        <v>Umar Dalhatu</v>
      </c>
      <c r="D657" s="4"/>
      <c r="E657" s="4"/>
      <c r="F657" s="4"/>
      <c r="G657" s="4"/>
      <c r="H657" s="4"/>
      <c r="I657" s="4"/>
      <c r="J657" s="4" t="str">
        <f>IFERROR(__xludf.DUMMYFUNCTION("""COMPUTED_VALUE"""),"Cluster 7")</f>
        <v>Cluster 7</v>
      </c>
      <c r="K657" s="4"/>
      <c r="L657" s="4" t="str">
        <f>IFERROR(__xludf.DUMMYFUNCTION("""COMPUTED_VALUE"""),"KANYA STREET")</f>
        <v>KANYA STREET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 t="str">
        <f>IFERROR(__xludf.DUMMYFUNCTION("""COMPUTED_VALUE"""),"Point 1")</f>
        <v>Point 1</v>
      </c>
      <c r="AC657" s="4">
        <f>IFERROR(__xludf.DUMMYFUNCTION("""COMPUTED_VALUE"""),12.01026851)</f>
        <v>12.01026851</v>
      </c>
      <c r="AD657" s="4">
        <f>IFERROR(__xludf.DUMMYFUNCTION("""COMPUTED_VALUE"""),8.584834023)</f>
        <v>8.584834023</v>
      </c>
      <c r="AE657" s="5" t="str">
        <f>IFERROR(__xludf.DUMMYFUNCTION("""COMPUTED_VALUE"""),"https://drive.google.com/open?id=1gsD34hbxLoYlcJ0toaqbv9VU3LhA8u0f")</f>
        <v>https://drive.google.com/open?id=1gsD34hbxLoYlcJ0toaqbv9VU3LhA8u0f</v>
      </c>
      <c r="AF657" s="4"/>
      <c r="AG657" s="4"/>
      <c r="AH657" s="4"/>
      <c r="AI657" s="4"/>
      <c r="AL657" s="4" t="str">
        <f t="shared" si="1"/>
        <v>Cluster 7</v>
      </c>
      <c r="AM657" s="4" t="str">
        <f t="shared" si="2"/>
        <v>KANYA STREET</v>
      </c>
    </row>
    <row r="658">
      <c r="A658" s="3">
        <f>IFERROR(__xludf.DUMMYFUNCTION("""COMPUTED_VALUE"""),45856.70910886574)</f>
        <v>45856.70911</v>
      </c>
      <c r="B658" s="4" t="str">
        <f>IFERROR(__xludf.DUMMYFUNCTION("""COMPUTED_VALUE"""),"umrdalhatu@gmail.com")</f>
        <v>umrdalhatu@gmail.com</v>
      </c>
      <c r="C658" s="4" t="str">
        <f>IFERROR(__xludf.DUMMYFUNCTION("""COMPUTED_VALUE"""),"Umar Dalhatu")</f>
        <v>Umar Dalhatu</v>
      </c>
      <c r="D658" s="4"/>
      <c r="E658" s="4"/>
      <c r="F658" s="4"/>
      <c r="G658" s="4"/>
      <c r="H658" s="4"/>
      <c r="I658" s="4"/>
      <c r="J658" s="4" t="str">
        <f>IFERROR(__xludf.DUMMYFUNCTION("""COMPUTED_VALUE"""),"Cluster 7")</f>
        <v>Cluster 7</v>
      </c>
      <c r="K658" s="4"/>
      <c r="L658" s="4" t="str">
        <f>IFERROR(__xludf.DUMMYFUNCTION("""COMPUTED_VALUE"""),"UMAR DAN AZUMI STREET")</f>
        <v>UMAR DAN AZUMI STREET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 t="str">
        <f>IFERROR(__xludf.DUMMYFUNCTION("""COMPUTED_VALUE"""),"Point 1")</f>
        <v>Point 1</v>
      </c>
      <c r="AC658" s="4">
        <f>IFERROR(__xludf.DUMMYFUNCTION("""COMPUTED_VALUE"""),12.00886496)</f>
        <v>12.00886496</v>
      </c>
      <c r="AD658" s="4">
        <f>IFERROR(__xludf.DUMMYFUNCTION("""COMPUTED_VALUE"""),8.584879093)</f>
        <v>8.584879093</v>
      </c>
      <c r="AE658" s="5" t="str">
        <f>IFERROR(__xludf.DUMMYFUNCTION("""COMPUTED_VALUE"""),"https://drive.google.com/open?id=1Rp6h8Y29IcZBMobmmslQTcYOy8Ro8Ftr")</f>
        <v>https://drive.google.com/open?id=1Rp6h8Y29IcZBMobmmslQTcYOy8Ro8Ftr</v>
      </c>
      <c r="AF658" s="4"/>
      <c r="AG658" s="4"/>
      <c r="AH658" s="4"/>
      <c r="AI658" s="4"/>
      <c r="AL658" s="4" t="str">
        <f t="shared" si="1"/>
        <v>Cluster 7</v>
      </c>
      <c r="AM658" s="4" t="str">
        <f t="shared" si="2"/>
        <v>UMAR DAN AZUMI STREET</v>
      </c>
    </row>
    <row r="659">
      <c r="A659" s="3">
        <f>IFERROR(__xludf.DUMMYFUNCTION("""COMPUTED_VALUE"""),45856.708157546294)</f>
        <v>45856.70816</v>
      </c>
      <c r="B659" s="4" t="str">
        <f>IFERROR(__xludf.DUMMYFUNCTION("""COMPUTED_VALUE"""),"m.salisushehu18@gmail.com")</f>
        <v>m.salisushehu18@gmail.com</v>
      </c>
      <c r="C659" s="4" t="str">
        <f>IFERROR(__xludf.DUMMYFUNCTION("""COMPUTED_VALUE"""),"Umar Dalhatu")</f>
        <v>Umar Dalhatu</v>
      </c>
      <c r="D659" s="4"/>
      <c r="E659" s="4"/>
      <c r="F659" s="4"/>
      <c r="G659" s="4"/>
      <c r="H659" s="4"/>
      <c r="I659" s="4"/>
      <c r="J659" s="4" t="str">
        <f>IFERROR(__xludf.DUMMYFUNCTION("""COMPUTED_VALUE"""),"Cluster 7")</f>
        <v>Cluster 7</v>
      </c>
      <c r="K659" s="4"/>
      <c r="L659" s="4" t="str">
        <f>IFERROR(__xludf.DUMMYFUNCTION("""COMPUTED_VALUE"""),"SA'AD TANKO STREET")</f>
        <v>SA'AD TANKO STREET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 t="str">
        <f>IFERROR(__xludf.DUMMYFUNCTION("""COMPUTED_VALUE"""),"Point 2")</f>
        <v>Point 2</v>
      </c>
      <c r="AC659" s="4">
        <f>IFERROR(__xludf.DUMMYFUNCTION("""COMPUTED_VALUE"""),12.00873371)</f>
        <v>12.00873371</v>
      </c>
      <c r="AD659" s="4">
        <f>IFERROR(__xludf.DUMMYFUNCTION("""COMPUTED_VALUE"""),8.582101488)</f>
        <v>8.582101488</v>
      </c>
      <c r="AE659" s="5" t="str">
        <f>IFERROR(__xludf.DUMMYFUNCTION("""COMPUTED_VALUE"""),"https://drive.google.com/open?id=1bdXgY0IShNdHgHSz046vyz66YHhVD2g0")</f>
        <v>https://drive.google.com/open?id=1bdXgY0IShNdHgHSz046vyz66YHhVD2g0</v>
      </c>
      <c r="AF659" s="4"/>
      <c r="AG659" s="4"/>
      <c r="AH659" s="4"/>
      <c r="AI659" s="4"/>
      <c r="AL659" s="4" t="str">
        <f t="shared" si="1"/>
        <v>Cluster 7</v>
      </c>
      <c r="AM659" s="4" t="str">
        <f t="shared" si="2"/>
        <v>SA'AD TANKO STREET</v>
      </c>
    </row>
    <row r="660">
      <c r="A660" s="3">
        <f>IFERROR(__xludf.DUMMYFUNCTION("""COMPUTED_VALUE"""),45856.69734520833)</f>
        <v>45856.69735</v>
      </c>
      <c r="B660" s="4" t="str">
        <f>IFERROR(__xludf.DUMMYFUNCTION("""COMPUTED_VALUE"""),"m.salisushehu18@gmail.com")</f>
        <v>m.salisushehu18@gmail.com</v>
      </c>
      <c r="C660" s="4" t="str">
        <f>IFERROR(__xludf.DUMMYFUNCTION("""COMPUTED_VALUE"""),"Umar Dalhatu")</f>
        <v>Umar Dalhatu</v>
      </c>
      <c r="D660" s="4"/>
      <c r="E660" s="4"/>
      <c r="F660" s="4"/>
      <c r="G660" s="4"/>
      <c r="H660" s="4"/>
      <c r="I660" s="4"/>
      <c r="J660" s="4" t="str">
        <f>IFERROR(__xludf.DUMMYFUNCTION("""COMPUTED_VALUE"""),"Cluster 7")</f>
        <v>Cluster 7</v>
      </c>
      <c r="K660" s="4"/>
      <c r="L660" s="4" t="str">
        <f>IFERROR(__xludf.DUMMYFUNCTION("""COMPUTED_VALUE"""),"SA'AD TANKO STREET")</f>
        <v>SA'AD TANKO STREET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 t="str">
        <f>IFERROR(__xludf.DUMMYFUNCTION("""COMPUTED_VALUE"""),"Point 1")</f>
        <v>Point 1</v>
      </c>
      <c r="AC660" s="4">
        <f>IFERROR(__xludf.DUMMYFUNCTION("""COMPUTED_VALUE"""),12.00884832)</f>
        <v>12.00884832</v>
      </c>
      <c r="AD660" s="4">
        <f>IFERROR(__xludf.DUMMYFUNCTION("""COMPUTED_VALUE"""),8.583467756)</f>
        <v>8.583467756</v>
      </c>
      <c r="AE660" s="5" t="str">
        <f>IFERROR(__xludf.DUMMYFUNCTION("""COMPUTED_VALUE"""),"https://drive.google.com/open?id=1e6yxMtEf3eyuvVVrvnY-PTRU50tNgWhF")</f>
        <v>https://drive.google.com/open?id=1e6yxMtEf3eyuvVVrvnY-PTRU50tNgWhF</v>
      </c>
      <c r="AF660" s="4"/>
      <c r="AG660" s="4"/>
      <c r="AH660" s="4"/>
      <c r="AI660" s="4"/>
      <c r="AL660" s="4" t="str">
        <f t="shared" si="1"/>
        <v>Cluster 7</v>
      </c>
      <c r="AM660" s="4" t="str">
        <f t="shared" si="2"/>
        <v>SA'AD TANKO STREET</v>
      </c>
    </row>
    <row r="661">
      <c r="A661" s="3">
        <f>IFERROR(__xludf.DUMMYFUNCTION("""COMPUTED_VALUE"""),45856.69602711806)</f>
        <v>45856.69603</v>
      </c>
      <c r="B661" s="4" t="str">
        <f>IFERROR(__xludf.DUMMYFUNCTION("""COMPUTED_VALUE"""),"m.salisushehu18@gmail.com")</f>
        <v>m.salisushehu18@gmail.com</v>
      </c>
      <c r="C661" s="4" t="str">
        <f>IFERROR(__xludf.DUMMYFUNCTION("""COMPUTED_VALUE"""),"Umar Dalhatu")</f>
        <v>Umar Dalhatu</v>
      </c>
      <c r="D661" s="4"/>
      <c r="E661" s="4"/>
      <c r="F661" s="4"/>
      <c r="G661" s="4"/>
      <c r="H661" s="4"/>
      <c r="I661" s="4"/>
      <c r="J661" s="4" t="str">
        <f>IFERROR(__xludf.DUMMYFUNCTION("""COMPUTED_VALUE"""),"Cluster 7")</f>
        <v>Cluster 7</v>
      </c>
      <c r="K661" s="4"/>
      <c r="L661" s="4" t="str">
        <f>IFERROR(__xludf.DUMMYFUNCTION("""COMPUTED_VALUE"""),"AHMAD ASHAKA STREET")</f>
        <v>AHMAD ASHAKA STREET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 t="str">
        <f>IFERROR(__xludf.DUMMYFUNCTION("""COMPUTED_VALUE"""),"Point 2")</f>
        <v>Point 2</v>
      </c>
      <c r="AC661" s="4">
        <f>IFERROR(__xludf.DUMMYFUNCTION("""COMPUTED_VALUE"""),12.007482)</f>
        <v>12.007482</v>
      </c>
      <c r="AD661" s="4">
        <f>IFERROR(__xludf.DUMMYFUNCTION("""COMPUTED_VALUE"""),8.579565)</f>
        <v>8.579565</v>
      </c>
      <c r="AE661" s="5" t="str">
        <f>IFERROR(__xludf.DUMMYFUNCTION("""COMPUTED_VALUE"""),"https://drive.google.com/open?id=1eBSmPsj_WSe5-P0xnl7QVQvTdgxUdbLS")</f>
        <v>https://drive.google.com/open?id=1eBSmPsj_WSe5-P0xnl7QVQvTdgxUdbLS</v>
      </c>
      <c r="AF661" s="4"/>
      <c r="AG661" s="4"/>
      <c r="AH661" s="4"/>
      <c r="AI661" s="4"/>
      <c r="AL661" s="4" t="str">
        <f t="shared" si="1"/>
        <v>Cluster 7</v>
      </c>
      <c r="AM661" s="4" t="str">
        <f t="shared" si="2"/>
        <v>AHMAD ASHAKA STREET</v>
      </c>
    </row>
    <row r="662">
      <c r="A662" s="3">
        <f>IFERROR(__xludf.DUMMYFUNCTION("""COMPUTED_VALUE"""),45856.6947766088)</f>
        <v>45856.69478</v>
      </c>
      <c r="B662" s="4" t="str">
        <f>IFERROR(__xludf.DUMMYFUNCTION("""COMPUTED_VALUE"""),"m.salisushehu18@gmail.com")</f>
        <v>m.salisushehu18@gmail.com</v>
      </c>
      <c r="C662" s="4" t="str">
        <f>IFERROR(__xludf.DUMMYFUNCTION("""COMPUTED_VALUE"""),"Umar Dalhatu")</f>
        <v>Umar Dalhatu</v>
      </c>
      <c r="D662" s="4"/>
      <c r="E662" s="4"/>
      <c r="F662" s="4"/>
      <c r="G662" s="4"/>
      <c r="H662" s="4"/>
      <c r="I662" s="4"/>
      <c r="J662" s="4" t="str">
        <f>IFERROR(__xludf.DUMMYFUNCTION("""COMPUTED_VALUE"""),"Cluster 7")</f>
        <v>Cluster 7</v>
      </c>
      <c r="K662" s="4"/>
      <c r="L662" s="4" t="str">
        <f>IFERROR(__xludf.DUMMYFUNCTION("""COMPUTED_VALUE"""),"AHMAD ASHAKA STREET")</f>
        <v>AHMAD ASHAKA STREET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 t="str">
        <f>IFERROR(__xludf.DUMMYFUNCTION("""COMPUTED_VALUE"""),"Point 1")</f>
        <v>Point 1</v>
      </c>
      <c r="AC662" s="4">
        <f>IFERROR(__xludf.DUMMYFUNCTION("""COMPUTED_VALUE"""),12.00873371)</f>
        <v>12.00873371</v>
      </c>
      <c r="AD662" s="4">
        <f>IFERROR(__xludf.DUMMYFUNCTION("""COMPUTED_VALUE"""),8.582101488)</f>
        <v>8.582101488</v>
      </c>
      <c r="AE662" s="5" t="str">
        <f>IFERROR(__xludf.DUMMYFUNCTION("""COMPUTED_VALUE"""),"https://drive.google.com/open?id=10m7_HSv4bGJMgWgTWCjwqcnI3O7Sbw4_")</f>
        <v>https://drive.google.com/open?id=10m7_HSv4bGJMgWgTWCjwqcnI3O7Sbw4_</v>
      </c>
      <c r="AF662" s="4"/>
      <c r="AG662" s="4"/>
      <c r="AH662" s="4"/>
      <c r="AI662" s="4"/>
      <c r="AL662" s="4" t="str">
        <f t="shared" si="1"/>
        <v>Cluster 7</v>
      </c>
      <c r="AM662" s="4" t="str">
        <f t="shared" si="2"/>
        <v>AHMAD ASHAKA STREET</v>
      </c>
    </row>
    <row r="663">
      <c r="A663" s="3">
        <f>IFERROR(__xludf.DUMMYFUNCTION("""COMPUTED_VALUE"""),45856.693620624996)</f>
        <v>45856.69362</v>
      </c>
      <c r="B663" s="4" t="str">
        <f>IFERROR(__xludf.DUMMYFUNCTION("""COMPUTED_VALUE"""),"m.salisushehu18@gmail.com")</f>
        <v>m.salisushehu18@gmail.com</v>
      </c>
      <c r="C663" s="4" t="str">
        <f>IFERROR(__xludf.DUMMYFUNCTION("""COMPUTED_VALUE"""),"Umar Dalhatu")</f>
        <v>Umar Dalhatu</v>
      </c>
      <c r="D663" s="4"/>
      <c r="E663" s="4"/>
      <c r="F663" s="4"/>
      <c r="G663" s="4"/>
      <c r="H663" s="4"/>
      <c r="I663" s="4"/>
      <c r="J663" s="4" t="str">
        <f>IFERROR(__xludf.DUMMYFUNCTION("""COMPUTED_VALUE"""),"Cluster 7")</f>
        <v>Cluster 7</v>
      </c>
      <c r="K663" s="4"/>
      <c r="L663" s="4" t="str">
        <f>IFERROR(__xludf.DUMMYFUNCTION("""COMPUTED_VALUE"""),"AMINU DANWAWU STREET")</f>
        <v>AMINU DANWAWU STREET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 t="str">
        <f>IFERROR(__xludf.DUMMYFUNCTION("""COMPUTED_VALUE"""),"Point 1")</f>
        <v>Point 1</v>
      </c>
      <c r="AC663" s="4">
        <f>IFERROR(__xludf.DUMMYFUNCTION("""COMPUTED_VALUE"""),12.00757803)</f>
        <v>12.00757803</v>
      </c>
      <c r="AD663" s="4">
        <f>IFERROR(__xludf.DUMMYFUNCTION("""COMPUTED_VALUE"""),8.580983076)</f>
        <v>8.580983076</v>
      </c>
      <c r="AE663" s="5" t="str">
        <f>IFERROR(__xludf.DUMMYFUNCTION("""COMPUTED_VALUE"""),"https://drive.google.com/open?id=1sJU131v9r8nxDFH3XcOxFd0zmNJPLCKA")</f>
        <v>https://drive.google.com/open?id=1sJU131v9r8nxDFH3XcOxFd0zmNJPLCKA</v>
      </c>
      <c r="AF663" s="4"/>
      <c r="AG663" s="4"/>
      <c r="AH663" s="4"/>
      <c r="AI663" s="4"/>
      <c r="AL663" s="4" t="str">
        <f t="shared" si="1"/>
        <v>Cluster 7</v>
      </c>
      <c r="AM663" s="4" t="str">
        <f t="shared" si="2"/>
        <v>AMINU DANWAWU STREET</v>
      </c>
    </row>
    <row r="664">
      <c r="A664" s="3">
        <f>IFERROR(__xludf.DUMMYFUNCTION("""COMPUTED_VALUE"""),45856.67030644676)</f>
        <v>45856.67031</v>
      </c>
      <c r="B664" s="4" t="str">
        <f>IFERROR(__xludf.DUMMYFUNCTION("""COMPUTED_VALUE"""),"m.salisushehu18@gmail.com")</f>
        <v>m.salisushehu18@gmail.com</v>
      </c>
      <c r="C664" s="4" t="str">
        <f>IFERROR(__xludf.DUMMYFUNCTION("""COMPUTED_VALUE"""),"Umar Dalhatu")</f>
        <v>Umar Dalhatu</v>
      </c>
      <c r="D664" s="4"/>
      <c r="E664" s="4"/>
      <c r="F664" s="4"/>
      <c r="G664" s="4"/>
      <c r="H664" s="4"/>
      <c r="I664" s="4"/>
      <c r="J664" s="4" t="str">
        <f>IFERROR(__xludf.DUMMYFUNCTION("""COMPUTED_VALUE"""),"Cluster 7")</f>
        <v>Cluster 7</v>
      </c>
      <c r="K664" s="4"/>
      <c r="L664" s="4" t="str">
        <f>IFERROR(__xludf.DUMMYFUNCTION("""COMPUTED_VALUE"""),"FAGWALAWA LINK")</f>
        <v>FAGWALAWA LINK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 t="str">
        <f>IFERROR(__xludf.DUMMYFUNCTION("""COMPUTED_VALUE"""),"Point 1")</f>
        <v>Point 1</v>
      </c>
      <c r="AC664" s="4">
        <f>IFERROR(__xludf.DUMMYFUNCTION("""COMPUTED_VALUE"""),12.00682277)</f>
        <v>12.00682277</v>
      </c>
      <c r="AD664" s="4">
        <f>IFERROR(__xludf.DUMMYFUNCTION("""COMPUTED_VALUE"""),8.580343486)</f>
        <v>8.580343486</v>
      </c>
      <c r="AE664" s="5" t="str">
        <f>IFERROR(__xludf.DUMMYFUNCTION("""COMPUTED_VALUE"""),"https://drive.google.com/open?id=1uMgt-FPI9OvaF_9iE6OXEtzCeLq9Gp45")</f>
        <v>https://drive.google.com/open?id=1uMgt-FPI9OvaF_9iE6OXEtzCeLq9Gp45</v>
      </c>
      <c r="AF664" s="4"/>
      <c r="AG664" s="4"/>
      <c r="AH664" s="4"/>
      <c r="AI664" s="4"/>
      <c r="AL664" s="4" t="str">
        <f t="shared" si="1"/>
        <v>Cluster 7</v>
      </c>
      <c r="AM664" s="4" t="str">
        <f t="shared" si="2"/>
        <v>FAGWALAWA LINK</v>
      </c>
    </row>
    <row r="665">
      <c r="A665" s="3">
        <f>IFERROR(__xludf.DUMMYFUNCTION("""COMPUTED_VALUE"""),45856.670085509264)</f>
        <v>45856.67009</v>
      </c>
      <c r="B665" s="4" t="str">
        <f>IFERROR(__xludf.DUMMYFUNCTION("""COMPUTED_VALUE"""),"umrdalhatu@gmail.com")</f>
        <v>umrdalhatu@gmail.com</v>
      </c>
      <c r="C665" s="4" t="str">
        <f>IFERROR(__xludf.DUMMYFUNCTION("""COMPUTED_VALUE"""),"Umar Dalhatu")</f>
        <v>Umar Dalhatu</v>
      </c>
      <c r="D665" s="4"/>
      <c r="E665" s="4"/>
      <c r="F665" s="4"/>
      <c r="G665" s="4"/>
      <c r="H665" s="4"/>
      <c r="I665" s="4"/>
      <c r="J665" s="4" t="str">
        <f>IFERROR(__xludf.DUMMYFUNCTION("""COMPUTED_VALUE"""),"Cluster 7")</f>
        <v>Cluster 7</v>
      </c>
      <c r="K665" s="4"/>
      <c r="L665" s="4" t="str">
        <f>IFERROR(__xludf.DUMMYFUNCTION("""COMPUTED_VALUE"""),"AMINU MODI STREET")</f>
        <v>AMINU MODI STREET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 t="str">
        <f>IFERROR(__xludf.DUMMYFUNCTION("""COMPUTED_VALUE"""),"Point 1")</f>
        <v>Point 1</v>
      </c>
      <c r="AC665" s="4">
        <f>IFERROR(__xludf.DUMMYFUNCTION("""COMPUTED_VALUE"""),12.00593)</f>
        <v>12.00593</v>
      </c>
      <c r="AD665" s="4">
        <f>IFERROR(__xludf.DUMMYFUNCTION("""COMPUTED_VALUE"""),8.579012)</f>
        <v>8.579012</v>
      </c>
      <c r="AE665" s="5" t="str">
        <f>IFERROR(__xludf.DUMMYFUNCTION("""COMPUTED_VALUE"""),"https://drive.google.com/open?id=1tXNFkGmbJG1tiFECUmSUke3zOUNqFZDK")</f>
        <v>https://drive.google.com/open?id=1tXNFkGmbJG1tiFECUmSUke3zOUNqFZDK</v>
      </c>
      <c r="AF665" s="4"/>
      <c r="AG665" s="4"/>
      <c r="AH665" s="4"/>
      <c r="AI665" s="4"/>
      <c r="AL665" s="4" t="str">
        <f t="shared" si="1"/>
        <v>Cluster 7</v>
      </c>
      <c r="AM665" s="4" t="str">
        <f t="shared" si="2"/>
        <v>AMINU MODI STREET</v>
      </c>
    </row>
    <row r="666">
      <c r="A666" s="3">
        <f>IFERROR(__xludf.DUMMYFUNCTION("""COMPUTED_VALUE"""),45856.668206793984)</f>
        <v>45856.66821</v>
      </c>
      <c r="B666" s="4" t="str">
        <f>IFERROR(__xludf.DUMMYFUNCTION("""COMPUTED_VALUE"""),"m.salisushehu18@gmail.com")</f>
        <v>m.salisushehu18@gmail.com</v>
      </c>
      <c r="C666" s="4" t="str">
        <f>IFERROR(__xludf.DUMMYFUNCTION("""COMPUTED_VALUE"""),"Umar Dalhatu")</f>
        <v>Umar Dalhatu</v>
      </c>
      <c r="D666" s="4"/>
      <c r="E666" s="4"/>
      <c r="F666" s="4"/>
      <c r="G666" s="4"/>
      <c r="H666" s="4"/>
      <c r="I666" s="4"/>
      <c r="J666" s="4" t="str">
        <f>IFERROR(__xludf.DUMMYFUNCTION("""COMPUTED_VALUE"""),"Cluster 7")</f>
        <v>Cluster 7</v>
      </c>
      <c r="K666" s="4"/>
      <c r="L666" s="4" t="str">
        <f>IFERROR(__xludf.DUMMYFUNCTION("""COMPUTED_VALUE"""),"BARAU DANBATTA ROAD")</f>
        <v>BARAU DANBATTA ROAD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 t="str">
        <f>IFERROR(__xludf.DUMMYFUNCTION("""COMPUTED_VALUE"""),"Point 2")</f>
        <v>Point 2</v>
      </c>
      <c r="AC666" s="4">
        <f>IFERROR(__xludf.DUMMYFUNCTION("""COMPUTED_VALUE"""),12.00944606)</f>
        <v>12.00944606</v>
      </c>
      <c r="AD666" s="4">
        <f>IFERROR(__xludf.DUMMYFUNCTION("""COMPUTED_VALUE"""),8.579130755)</f>
        <v>8.579130755</v>
      </c>
      <c r="AE666" s="5" t="str">
        <f>IFERROR(__xludf.DUMMYFUNCTION("""COMPUTED_VALUE"""),"https://drive.google.com/open?id=17hUbQ9py4lo5IMbM4PPTXjHpY40F3c4S")</f>
        <v>https://drive.google.com/open?id=17hUbQ9py4lo5IMbM4PPTXjHpY40F3c4S</v>
      </c>
      <c r="AF666" s="4"/>
      <c r="AG666" s="4"/>
      <c r="AH666" s="4"/>
      <c r="AI666" s="4"/>
      <c r="AL666" s="4" t="str">
        <f t="shared" si="1"/>
        <v>Cluster 7</v>
      </c>
      <c r="AM666" s="4" t="str">
        <f t="shared" si="2"/>
        <v>BARAU DANBATTA ROAD</v>
      </c>
    </row>
    <row r="667">
      <c r="A667" s="3">
        <f>IFERROR(__xludf.DUMMYFUNCTION("""COMPUTED_VALUE"""),45856.66756949074)</f>
        <v>45856.66757</v>
      </c>
      <c r="B667" s="4" t="str">
        <f>IFERROR(__xludf.DUMMYFUNCTION("""COMPUTED_VALUE"""),"umrdalhatu@gmail.com")</f>
        <v>umrdalhatu@gmail.com</v>
      </c>
      <c r="C667" s="4" t="str">
        <f>IFERROR(__xludf.DUMMYFUNCTION("""COMPUTED_VALUE"""),"Umar Dalhatu")</f>
        <v>Umar Dalhatu</v>
      </c>
      <c r="D667" s="4"/>
      <c r="E667" s="4"/>
      <c r="F667" s="4"/>
      <c r="G667" s="4"/>
      <c r="H667" s="4"/>
      <c r="I667" s="4"/>
      <c r="J667" s="4" t="str">
        <f>IFERROR(__xludf.DUMMYFUNCTION("""COMPUTED_VALUE"""),"Cluster 7")</f>
        <v>Cluster 7</v>
      </c>
      <c r="K667" s="4"/>
      <c r="L667" s="4" t="str">
        <f>IFERROR(__xludf.DUMMYFUNCTION("""COMPUTED_VALUE"""),"KALU STREET")</f>
        <v>KALU STREET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 t="str">
        <f>IFERROR(__xludf.DUMMYFUNCTION("""COMPUTED_VALUE"""),"Point 2")</f>
        <v>Point 2</v>
      </c>
      <c r="AC667" s="4">
        <f>IFERROR(__xludf.DUMMYFUNCTION("""COMPUTED_VALUE"""),12.0075823)</f>
        <v>12.0075823</v>
      </c>
      <c r="AD667" s="4">
        <f>IFERROR(__xludf.DUMMYFUNCTION("""COMPUTED_VALUE"""),8.576498611)</f>
        <v>8.576498611</v>
      </c>
      <c r="AE667" s="5" t="str">
        <f>IFERROR(__xludf.DUMMYFUNCTION("""COMPUTED_VALUE"""),"https://drive.google.com/open?id=1gAwA0U1EDEiIoW9eqG7IjVO97Cu4WQk_")</f>
        <v>https://drive.google.com/open?id=1gAwA0U1EDEiIoW9eqG7IjVO97Cu4WQk_</v>
      </c>
      <c r="AF667" s="4"/>
      <c r="AG667" s="4"/>
      <c r="AH667" s="4"/>
      <c r="AI667" s="4"/>
      <c r="AL667" s="4" t="str">
        <f t="shared" si="1"/>
        <v>Cluster 7</v>
      </c>
      <c r="AM667" s="4" t="str">
        <f t="shared" si="2"/>
        <v>KALU STREET</v>
      </c>
    </row>
    <row r="668">
      <c r="A668" s="3">
        <f>IFERROR(__xludf.DUMMYFUNCTION("""COMPUTED_VALUE"""),45856.66739855324)</f>
        <v>45856.6674</v>
      </c>
      <c r="B668" s="4" t="str">
        <f>IFERROR(__xludf.DUMMYFUNCTION("""COMPUTED_VALUE"""),"m.salisushehu18@gmail.com")</f>
        <v>m.salisushehu18@gmail.com</v>
      </c>
      <c r="C668" s="4" t="str">
        <f>IFERROR(__xludf.DUMMYFUNCTION("""COMPUTED_VALUE"""),"Umar Dalhatu")</f>
        <v>Umar Dalhatu</v>
      </c>
      <c r="D668" s="4"/>
      <c r="E668" s="4"/>
      <c r="F668" s="4"/>
      <c r="G668" s="4"/>
      <c r="H668" s="4"/>
      <c r="I668" s="4"/>
      <c r="J668" s="4" t="str">
        <f>IFERROR(__xludf.DUMMYFUNCTION("""COMPUTED_VALUE"""),"Cluster 7")</f>
        <v>Cluster 7</v>
      </c>
      <c r="K668" s="4"/>
      <c r="L668" s="4" t="str">
        <f>IFERROR(__xludf.DUMMYFUNCTION("""COMPUTED_VALUE"""),"BARAU DANBATTA ROAD")</f>
        <v>BARAU DANBATTA ROAD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 t="str">
        <f>IFERROR(__xludf.DUMMYFUNCTION("""COMPUTED_VALUE"""),"Point 1")</f>
        <v>Point 1</v>
      </c>
      <c r="AC668" s="4">
        <f>IFERROR(__xludf.DUMMYFUNCTION("""COMPUTED_VALUE"""),12.01013057)</f>
        <v>12.01013057</v>
      </c>
      <c r="AD668" s="4">
        <f>IFERROR(__xludf.DUMMYFUNCTION("""COMPUTED_VALUE"""),8.5782424)</f>
        <v>8.5782424</v>
      </c>
      <c r="AE668" s="5" t="str">
        <f>IFERROR(__xludf.DUMMYFUNCTION("""COMPUTED_VALUE"""),"https://drive.google.com/open?id=1_Rr7zDDJ4LVgEk2PdyxVynda79FdOgCn")</f>
        <v>https://drive.google.com/open?id=1_Rr7zDDJ4LVgEk2PdyxVynda79FdOgCn</v>
      </c>
      <c r="AF668" s="4"/>
      <c r="AG668" s="4"/>
      <c r="AH668" s="4"/>
      <c r="AI668" s="4"/>
      <c r="AL668" s="4" t="str">
        <f t="shared" si="1"/>
        <v>Cluster 7</v>
      </c>
      <c r="AM668" s="4" t="str">
        <f t="shared" si="2"/>
        <v>BARAU DANBATTA ROAD</v>
      </c>
    </row>
    <row r="669">
      <c r="A669" s="3">
        <f>IFERROR(__xludf.DUMMYFUNCTION("""COMPUTED_VALUE"""),45856.66646)</f>
        <v>45856.66646</v>
      </c>
      <c r="B669" s="4" t="str">
        <f>IFERROR(__xludf.DUMMYFUNCTION("""COMPUTED_VALUE"""),"umrdalhatu@gmail.com")</f>
        <v>umrdalhatu@gmail.com</v>
      </c>
      <c r="C669" s="4" t="str">
        <f>IFERROR(__xludf.DUMMYFUNCTION("""COMPUTED_VALUE"""),"Umar Dalhatu")</f>
        <v>Umar Dalhatu</v>
      </c>
      <c r="D669" s="4"/>
      <c r="E669" s="4"/>
      <c r="F669" s="4"/>
      <c r="G669" s="4"/>
      <c r="H669" s="4"/>
      <c r="I669" s="4"/>
      <c r="J669" s="4" t="str">
        <f>IFERROR(__xludf.DUMMYFUNCTION("""COMPUTED_VALUE"""),"Cluster 7")</f>
        <v>Cluster 7</v>
      </c>
      <c r="K669" s="4"/>
      <c r="L669" s="4" t="str">
        <f>IFERROR(__xludf.DUMMYFUNCTION("""COMPUTED_VALUE"""),"KALU STREET")</f>
        <v>KALU STREET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 t="str">
        <f>IFERROR(__xludf.DUMMYFUNCTION("""COMPUTED_VALUE"""),"Point 1")</f>
        <v>Point 1</v>
      </c>
      <c r="AC669" s="4">
        <f>IFERROR(__xludf.DUMMYFUNCTION("""COMPUTED_VALUE"""),12.00662031)</f>
        <v>12.00662031</v>
      </c>
      <c r="AD669" s="4">
        <f>IFERROR(__xludf.DUMMYFUNCTION("""COMPUTED_VALUE"""),8.578534861)</f>
        <v>8.578534861</v>
      </c>
      <c r="AE669" s="5" t="str">
        <f>IFERROR(__xludf.DUMMYFUNCTION("""COMPUTED_VALUE"""),"https://drive.google.com/open?id=1mY6dhmyB6CtGehJI9lXk7xLVgIt0ISCX")</f>
        <v>https://drive.google.com/open?id=1mY6dhmyB6CtGehJI9lXk7xLVgIt0ISCX</v>
      </c>
      <c r="AF669" s="4"/>
      <c r="AG669" s="4"/>
      <c r="AH669" s="4"/>
      <c r="AI669" s="4"/>
      <c r="AL669" s="4" t="str">
        <f t="shared" si="1"/>
        <v>Cluster 7</v>
      </c>
      <c r="AM669" s="4" t="str">
        <f t="shared" si="2"/>
        <v>KALU STREET</v>
      </c>
    </row>
    <row r="670">
      <c r="A670" s="3">
        <f>IFERROR(__xludf.DUMMYFUNCTION("""COMPUTED_VALUE"""),45856.666354456014)</f>
        <v>45856.66635</v>
      </c>
      <c r="B670" s="4" t="str">
        <f>IFERROR(__xludf.DUMMYFUNCTION("""COMPUTED_VALUE"""),"m.salisushehu18@gmail.com")</f>
        <v>m.salisushehu18@gmail.com</v>
      </c>
      <c r="C670" s="4" t="str">
        <f>IFERROR(__xludf.DUMMYFUNCTION("""COMPUTED_VALUE"""),"Umar Dalhatu")</f>
        <v>Umar Dalhatu</v>
      </c>
      <c r="D670" s="4"/>
      <c r="E670" s="4"/>
      <c r="F670" s="4"/>
      <c r="G670" s="4"/>
      <c r="H670" s="4"/>
      <c r="I670" s="4"/>
      <c r="J670" s="4" t="str">
        <f>IFERROR(__xludf.DUMMYFUNCTION("""COMPUTED_VALUE"""),"Cluster 7")</f>
        <v>Cluster 7</v>
      </c>
      <c r="K670" s="4"/>
      <c r="L670" s="4" t="str">
        <f>IFERROR(__xludf.DUMMYFUNCTION("""COMPUTED_VALUE"""),"BARAU DANBATTA LINK")</f>
        <v>BARAU DANBATTA LINK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 t="str">
        <f>IFERROR(__xludf.DUMMYFUNCTION("""COMPUTED_VALUE"""),"Point 2")</f>
        <v>Point 2</v>
      </c>
      <c r="AC670" s="4">
        <f>IFERROR(__xludf.DUMMYFUNCTION("""COMPUTED_VALUE"""),12.00944606)</f>
        <v>12.00944606</v>
      </c>
      <c r="AD670" s="4">
        <f>IFERROR(__xludf.DUMMYFUNCTION("""COMPUTED_VALUE"""),8.579130755)</f>
        <v>8.579130755</v>
      </c>
      <c r="AE670" s="5" t="str">
        <f>IFERROR(__xludf.DUMMYFUNCTION("""COMPUTED_VALUE"""),"https://drive.google.com/open?id=1HfOiTKxtMnYQkUUPfRnaCCRphd7AfWMx")</f>
        <v>https://drive.google.com/open?id=1HfOiTKxtMnYQkUUPfRnaCCRphd7AfWMx</v>
      </c>
      <c r="AF670" s="4"/>
      <c r="AG670" s="4"/>
      <c r="AH670" s="4"/>
      <c r="AI670" s="4"/>
      <c r="AL670" s="4" t="str">
        <f t="shared" si="1"/>
        <v>Cluster 7</v>
      </c>
      <c r="AM670" s="4" t="str">
        <f t="shared" si="2"/>
        <v>BARAU DANBATTA LINK</v>
      </c>
    </row>
    <row r="671">
      <c r="A671" s="3">
        <f>IFERROR(__xludf.DUMMYFUNCTION("""COMPUTED_VALUE"""),45856.66482196759)</f>
        <v>45856.66482</v>
      </c>
      <c r="B671" s="4" t="str">
        <f>IFERROR(__xludf.DUMMYFUNCTION("""COMPUTED_VALUE"""),"umrdalhatu@gmail.com")</f>
        <v>umrdalhatu@gmail.com</v>
      </c>
      <c r="C671" s="4" t="str">
        <f>IFERROR(__xludf.DUMMYFUNCTION("""COMPUTED_VALUE"""),"Umar Dalhatu")</f>
        <v>Umar Dalhatu</v>
      </c>
      <c r="D671" s="4"/>
      <c r="E671" s="4"/>
      <c r="F671" s="4"/>
      <c r="G671" s="4"/>
      <c r="H671" s="4"/>
      <c r="I671" s="4"/>
      <c r="J671" s="4" t="str">
        <f>IFERROR(__xludf.DUMMYFUNCTION("""COMPUTED_VALUE"""),"Cluster 10")</f>
        <v>Cluster 10</v>
      </c>
      <c r="K671" s="4"/>
      <c r="L671" s="4"/>
      <c r="M671" s="4" t="str">
        <f>IFERROR(__xludf.DUMMYFUNCTION("""COMPUTED_VALUE"""),"ZANNAN ALBASU STREET")</f>
        <v>ZANNAN ALBASU STREET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 t="str">
        <f>IFERROR(__xludf.DUMMYFUNCTION("""COMPUTED_VALUE"""),"Point 2")</f>
        <v>Point 2</v>
      </c>
      <c r="AC671" s="4">
        <f>IFERROR(__xludf.DUMMYFUNCTION("""COMPUTED_VALUE"""),11.98164142)</f>
        <v>11.98164142</v>
      </c>
      <c r="AD671" s="4">
        <f>IFERROR(__xludf.DUMMYFUNCTION("""COMPUTED_VALUE"""),8.574736837)</f>
        <v>8.574736837</v>
      </c>
      <c r="AE671" s="5" t="str">
        <f>IFERROR(__xludf.DUMMYFUNCTION("""COMPUTED_VALUE"""),"https://drive.google.com/open?id=1EH_dwDTjwnFasitYbpvsg8NlL3vlh6ZD")</f>
        <v>https://drive.google.com/open?id=1EH_dwDTjwnFasitYbpvsg8NlL3vlh6ZD</v>
      </c>
      <c r="AF671" s="4"/>
      <c r="AG671" s="4"/>
      <c r="AH671" s="4"/>
      <c r="AI671" s="4"/>
      <c r="AL671" s="4" t="str">
        <f t="shared" si="1"/>
        <v>Cluster 10</v>
      </c>
      <c r="AM671" s="4" t="str">
        <f t="shared" si="2"/>
        <v>ZANNAN ALBASU STREET</v>
      </c>
    </row>
    <row r="672">
      <c r="A672" s="3">
        <f>IFERROR(__xludf.DUMMYFUNCTION("""COMPUTED_VALUE"""),45856.664360787036)</f>
        <v>45856.66436</v>
      </c>
      <c r="B672" s="4" t="str">
        <f>IFERROR(__xludf.DUMMYFUNCTION("""COMPUTED_VALUE"""),"m.salisushehu18@gmail.com")</f>
        <v>m.salisushehu18@gmail.com</v>
      </c>
      <c r="C672" s="4" t="str">
        <f>IFERROR(__xludf.DUMMYFUNCTION("""COMPUTED_VALUE"""),"Umar Dalhatu")</f>
        <v>Umar Dalhatu</v>
      </c>
      <c r="D672" s="4"/>
      <c r="E672" s="4"/>
      <c r="F672" s="4"/>
      <c r="G672" s="4"/>
      <c r="H672" s="4"/>
      <c r="I672" s="4"/>
      <c r="J672" s="4" t="str">
        <f>IFERROR(__xludf.DUMMYFUNCTION("""COMPUTED_VALUE"""),"Cluster 7")</f>
        <v>Cluster 7</v>
      </c>
      <c r="K672" s="4"/>
      <c r="L672" s="4" t="str">
        <f>IFERROR(__xludf.DUMMYFUNCTION("""COMPUTED_VALUE"""),"BARAU DANBATTA LINK")</f>
        <v>BARAU DANBATTA LINK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 t="str">
        <f>IFERROR(__xludf.DUMMYFUNCTION("""COMPUTED_VALUE"""),"Point 1")</f>
        <v>Point 1</v>
      </c>
      <c r="AC672" s="4">
        <f>IFERROR(__xludf.DUMMYFUNCTION("""COMPUTED_VALUE"""),12.00954493)</f>
        <v>12.00954493</v>
      </c>
      <c r="AD672" s="4">
        <f>IFERROR(__xludf.DUMMYFUNCTION("""COMPUTED_VALUE"""),8.580519494)</f>
        <v>8.580519494</v>
      </c>
      <c r="AE672" s="5" t="str">
        <f>IFERROR(__xludf.DUMMYFUNCTION("""COMPUTED_VALUE"""),"https://drive.google.com/open?id=1F5K42Fej67yQOidm0pfDfVSkaPNsCadj")</f>
        <v>https://drive.google.com/open?id=1F5K42Fej67yQOidm0pfDfVSkaPNsCadj</v>
      </c>
      <c r="AF672" s="4"/>
      <c r="AG672" s="4"/>
      <c r="AH672" s="4"/>
      <c r="AI672" s="4"/>
      <c r="AL672" s="4" t="str">
        <f t="shared" si="1"/>
        <v>Cluster 7</v>
      </c>
      <c r="AM672" s="4" t="str">
        <f t="shared" si="2"/>
        <v>BARAU DANBATTA LINK</v>
      </c>
    </row>
    <row r="673">
      <c r="A673" s="3">
        <f>IFERROR(__xludf.DUMMYFUNCTION("""COMPUTED_VALUE"""),45856.664019675925)</f>
        <v>45856.66402</v>
      </c>
      <c r="B673" s="4" t="str">
        <f>IFERROR(__xludf.DUMMYFUNCTION("""COMPUTED_VALUE"""),"umrdalhatu@gmail.com")</f>
        <v>umrdalhatu@gmail.com</v>
      </c>
      <c r="C673" s="4" t="str">
        <f>IFERROR(__xludf.DUMMYFUNCTION("""COMPUTED_VALUE"""),"Umar Dalhatu")</f>
        <v>Umar Dalhatu</v>
      </c>
      <c r="D673" s="4"/>
      <c r="E673" s="4"/>
      <c r="F673" s="4"/>
      <c r="G673" s="4"/>
      <c r="H673" s="4"/>
      <c r="I673" s="4"/>
      <c r="J673" s="4" t="str">
        <f>IFERROR(__xludf.DUMMYFUNCTION("""COMPUTED_VALUE"""),"Cluster 10")</f>
        <v>Cluster 10</v>
      </c>
      <c r="K673" s="4"/>
      <c r="L673" s="4"/>
      <c r="M673" s="4" t="str">
        <f>IFERROR(__xludf.DUMMYFUNCTION("""COMPUTED_VALUE"""),"ZANNAN ALBASU STREET")</f>
        <v>ZANNAN ALBASU STREET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 t="str">
        <f>IFERROR(__xludf.DUMMYFUNCTION("""COMPUTED_VALUE"""),"Point 1")</f>
        <v>Point 1</v>
      </c>
      <c r="AC673" s="4">
        <f>IFERROR(__xludf.DUMMYFUNCTION("""COMPUTED_VALUE"""),11.98083725)</f>
        <v>11.98083725</v>
      </c>
      <c r="AD673" s="4">
        <f>IFERROR(__xludf.DUMMYFUNCTION("""COMPUTED_VALUE"""),8.576637473)</f>
        <v>8.576637473</v>
      </c>
      <c r="AE673" s="5" t="str">
        <f>IFERROR(__xludf.DUMMYFUNCTION("""COMPUTED_VALUE"""),"https://drive.google.com/open?id=1K3ket7rc6QQyJj0_8_u6Frt_w5DlDD6F")</f>
        <v>https://drive.google.com/open?id=1K3ket7rc6QQyJj0_8_u6Frt_w5DlDD6F</v>
      </c>
      <c r="AF673" s="4"/>
      <c r="AG673" s="4"/>
      <c r="AH673" s="4"/>
      <c r="AI673" s="4"/>
      <c r="AL673" s="4" t="str">
        <f t="shared" si="1"/>
        <v>Cluster 10</v>
      </c>
      <c r="AM673" s="4" t="str">
        <f t="shared" si="2"/>
        <v>ZANNAN ALBASU STREET</v>
      </c>
    </row>
    <row r="674">
      <c r="A674" s="3">
        <f>IFERROR(__xludf.DUMMYFUNCTION("""COMPUTED_VALUE"""),45856.65936099537)</f>
        <v>45856.65936</v>
      </c>
      <c r="B674" s="4" t="str">
        <f>IFERROR(__xludf.DUMMYFUNCTION("""COMPUTED_VALUE"""),"umrdalhatu@gmail.com")</f>
        <v>umrdalhatu@gmail.com</v>
      </c>
      <c r="C674" s="4" t="str">
        <f>IFERROR(__xludf.DUMMYFUNCTION("""COMPUTED_VALUE"""),"Umar Dalhatu")</f>
        <v>Umar Dalhatu</v>
      </c>
      <c r="D674" s="4"/>
      <c r="E674" s="4"/>
      <c r="F674" s="4"/>
      <c r="G674" s="4"/>
      <c r="H674" s="4"/>
      <c r="I674" s="4"/>
      <c r="J674" s="4" t="str">
        <f>IFERROR(__xludf.DUMMYFUNCTION("""COMPUTED_VALUE"""),"Cluster 1")</f>
        <v>Cluster 1</v>
      </c>
      <c r="K674" s="4" t="str">
        <f>IFERROR(__xludf.DUMMYFUNCTION("""COMPUTED_VALUE"""),"ALI ZANGO STREET")</f>
        <v>ALI ZANGO STREET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 t="str">
        <f>IFERROR(__xludf.DUMMYFUNCTION("""COMPUTED_VALUE"""),"Point 2")</f>
        <v>Point 2</v>
      </c>
      <c r="AC674" s="4">
        <f>IFERROR(__xludf.DUMMYFUNCTION("""COMPUTED_VALUE"""),11.99474593)</f>
        <v>11.99474593</v>
      </c>
      <c r="AD674" s="4">
        <f>IFERROR(__xludf.DUMMYFUNCTION("""COMPUTED_VALUE"""),8.575148236)</f>
        <v>8.575148236</v>
      </c>
      <c r="AE674" s="5" t="str">
        <f>IFERROR(__xludf.DUMMYFUNCTION("""COMPUTED_VALUE"""),"https://drive.google.com/open?id=1dGtUMEQM5bufKqEmZT9JXWoQbz19Ieet")</f>
        <v>https://drive.google.com/open?id=1dGtUMEQM5bufKqEmZT9JXWoQbz19Ieet</v>
      </c>
      <c r="AF674" s="4"/>
      <c r="AG674" s="4"/>
      <c r="AH674" s="4"/>
      <c r="AI674" s="4"/>
      <c r="AL674" s="4" t="str">
        <f t="shared" si="1"/>
        <v>Cluster 1</v>
      </c>
      <c r="AM674" s="4" t="str">
        <f t="shared" si="2"/>
        <v>ALI ZANGO STREET</v>
      </c>
    </row>
    <row r="675">
      <c r="A675" s="3">
        <f>IFERROR(__xludf.DUMMYFUNCTION("""COMPUTED_VALUE"""),45856.65844791666)</f>
        <v>45856.65845</v>
      </c>
      <c r="B675" s="4" t="str">
        <f>IFERROR(__xludf.DUMMYFUNCTION("""COMPUTED_VALUE"""),"umrdalhatu@gmail.com")</f>
        <v>umrdalhatu@gmail.com</v>
      </c>
      <c r="C675" s="4" t="str">
        <f>IFERROR(__xludf.DUMMYFUNCTION("""COMPUTED_VALUE"""),"Umar Dalhatu")</f>
        <v>Umar Dalhatu</v>
      </c>
      <c r="D675" s="4"/>
      <c r="E675" s="4"/>
      <c r="F675" s="4"/>
      <c r="G675" s="4"/>
      <c r="H675" s="4"/>
      <c r="I675" s="4"/>
      <c r="J675" s="4" t="str">
        <f>IFERROR(__xludf.DUMMYFUNCTION("""COMPUTED_VALUE"""),"Cluster 1")</f>
        <v>Cluster 1</v>
      </c>
      <c r="K675" s="4" t="str">
        <f>IFERROR(__xludf.DUMMYFUNCTION("""COMPUTED_VALUE"""),"ALI ZANGO STREET")</f>
        <v>ALI ZANGO STREET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 t="str">
        <f>IFERROR(__xludf.DUMMYFUNCTION("""COMPUTED_VALUE"""),"Point 1")</f>
        <v>Point 1</v>
      </c>
      <c r="AC675" s="4">
        <f>IFERROR(__xludf.DUMMYFUNCTION("""COMPUTED_VALUE"""),11.994251)</f>
        <v>11.994251</v>
      </c>
      <c r="AD675" s="4">
        <f>IFERROR(__xludf.DUMMYFUNCTION("""COMPUTED_VALUE"""),8.575131)</f>
        <v>8.575131</v>
      </c>
      <c r="AE675" s="5" t="str">
        <f>IFERROR(__xludf.DUMMYFUNCTION("""COMPUTED_VALUE"""),"https://drive.google.com/open?id=1pQ0GzbIs791qv53_26DyE08j4opGzLmW")</f>
        <v>https://drive.google.com/open?id=1pQ0GzbIs791qv53_26DyE08j4opGzLmW</v>
      </c>
      <c r="AF675" s="4"/>
      <c r="AG675" s="4"/>
      <c r="AH675" s="4"/>
      <c r="AI675" s="4"/>
      <c r="AL675" s="4" t="str">
        <f t="shared" si="1"/>
        <v>Cluster 1</v>
      </c>
      <c r="AM675" s="4" t="str">
        <f t="shared" si="2"/>
        <v>ALI ZANGO STREET</v>
      </c>
    </row>
    <row r="676">
      <c r="A676" s="3">
        <f>IFERROR(__xludf.DUMMYFUNCTION("""COMPUTED_VALUE"""),45856.65388803241)</f>
        <v>45856.65389</v>
      </c>
      <c r="B676" s="4" t="str">
        <f>IFERROR(__xludf.DUMMYFUNCTION("""COMPUTED_VALUE"""),"umrdalhatu@gmail.com")</f>
        <v>umrdalhatu@gmail.com</v>
      </c>
      <c r="C676" s="4" t="str">
        <f>IFERROR(__xludf.DUMMYFUNCTION("""COMPUTED_VALUE"""),"Umar Dalhatu")</f>
        <v>Umar Dalhatu</v>
      </c>
      <c r="D676" s="4"/>
      <c r="E676" s="4"/>
      <c r="F676" s="4"/>
      <c r="G676" s="4"/>
      <c r="H676" s="4"/>
      <c r="I676" s="4"/>
      <c r="J676" s="4" t="str">
        <f>IFERROR(__xludf.DUMMYFUNCTION("""COMPUTED_VALUE"""),"Cluster 1")</f>
        <v>Cluster 1</v>
      </c>
      <c r="K676" s="4" t="str">
        <f>IFERROR(__xludf.DUMMYFUNCTION("""COMPUTED_VALUE"""),"YUSUF ABDULLAHI STREET")</f>
        <v>YUSUF ABDULLAHI STREET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 t="str">
        <f>IFERROR(__xludf.DUMMYFUNCTION("""COMPUTED_VALUE"""),"Point 2")</f>
        <v>Point 2</v>
      </c>
      <c r="AC676" s="4">
        <f>IFERROR(__xludf.DUMMYFUNCTION("""COMPUTED_VALUE"""),11.99609961)</f>
        <v>11.99609961</v>
      </c>
      <c r="AD676" s="4">
        <f>IFERROR(__xludf.DUMMYFUNCTION("""COMPUTED_VALUE"""),8.576884472)</f>
        <v>8.576884472</v>
      </c>
      <c r="AE676" s="5" t="str">
        <f>IFERROR(__xludf.DUMMYFUNCTION("""COMPUTED_VALUE"""),"https://drive.google.com/open?id=15yKnn7jF4Su26GwUvPATAoefrf0ZVWRK")</f>
        <v>https://drive.google.com/open?id=15yKnn7jF4Su26GwUvPATAoefrf0ZVWRK</v>
      </c>
      <c r="AF676" s="4"/>
      <c r="AG676" s="4"/>
      <c r="AH676" s="4"/>
      <c r="AI676" s="4"/>
      <c r="AL676" s="4" t="str">
        <f t="shared" si="1"/>
        <v>Cluster 1</v>
      </c>
      <c r="AM676" s="4" t="str">
        <f t="shared" si="2"/>
        <v>YUSUF ABDULLAHI STREET</v>
      </c>
    </row>
    <row r="677">
      <c r="A677" s="3">
        <f>IFERROR(__xludf.DUMMYFUNCTION("""COMPUTED_VALUE"""),45856.65213386574)</f>
        <v>45856.65213</v>
      </c>
      <c r="B677" s="4" t="str">
        <f>IFERROR(__xludf.DUMMYFUNCTION("""COMPUTED_VALUE"""),"umrdalhatu@gmail.com")</f>
        <v>umrdalhatu@gmail.com</v>
      </c>
      <c r="C677" s="4" t="str">
        <f>IFERROR(__xludf.DUMMYFUNCTION("""COMPUTED_VALUE"""),"Umar Dalhatu")</f>
        <v>Umar Dalhatu</v>
      </c>
      <c r="D677" s="4"/>
      <c r="E677" s="4"/>
      <c r="F677" s="4"/>
      <c r="G677" s="4"/>
      <c r="H677" s="4"/>
      <c r="I677" s="4"/>
      <c r="J677" s="4" t="str">
        <f>IFERROR(__xludf.DUMMYFUNCTION("""COMPUTED_VALUE"""),"Cluster 1")</f>
        <v>Cluster 1</v>
      </c>
      <c r="K677" s="4" t="str">
        <f>IFERROR(__xludf.DUMMYFUNCTION("""COMPUTED_VALUE"""),"YUSUF ABDULLAHI STREET")</f>
        <v>YUSUF ABDULLAHI STREET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 t="str">
        <f>IFERROR(__xludf.DUMMYFUNCTION("""COMPUTED_VALUE"""),"Point 1")</f>
        <v>Point 1</v>
      </c>
      <c r="AC677" s="4">
        <f>IFERROR(__xludf.DUMMYFUNCTION("""COMPUTED_VALUE"""),11.99558742)</f>
        <v>11.99558742</v>
      </c>
      <c r="AD677" s="4">
        <f>IFERROR(__xludf.DUMMYFUNCTION("""COMPUTED_VALUE"""),8.576992003)</f>
        <v>8.576992003</v>
      </c>
      <c r="AE677" s="5" t="str">
        <f>IFERROR(__xludf.DUMMYFUNCTION("""COMPUTED_VALUE"""),"https://drive.google.com/open?id=1bLl76j5shtNhp-VRWMOpur7iPKMbDQXl")</f>
        <v>https://drive.google.com/open?id=1bLl76j5shtNhp-VRWMOpur7iPKMbDQXl</v>
      </c>
      <c r="AF677" s="4"/>
      <c r="AG677" s="4"/>
      <c r="AH677" s="4"/>
      <c r="AI677" s="4"/>
      <c r="AL677" s="4" t="str">
        <f t="shared" si="1"/>
        <v>Cluster 1</v>
      </c>
      <c r="AM677" s="4" t="str">
        <f t="shared" si="2"/>
        <v>YUSUF ABDULLAHI STREET</v>
      </c>
    </row>
    <row r="678">
      <c r="A678" s="3">
        <f>IFERROR(__xludf.DUMMYFUNCTION("""COMPUTED_VALUE"""),45856.649429745376)</f>
        <v>45856.64943</v>
      </c>
      <c r="B678" s="4" t="str">
        <f>IFERROR(__xludf.DUMMYFUNCTION("""COMPUTED_VALUE"""),"umrdalhatu@gmail.com")</f>
        <v>umrdalhatu@gmail.com</v>
      </c>
      <c r="C678" s="4" t="str">
        <f>IFERROR(__xludf.DUMMYFUNCTION("""COMPUTED_VALUE"""),"Umar Dalhatu")</f>
        <v>Umar Dalhatu</v>
      </c>
      <c r="D678" s="4"/>
      <c r="E678" s="4"/>
      <c r="F678" s="4"/>
      <c r="G678" s="4"/>
      <c r="H678" s="4"/>
      <c r="I678" s="4"/>
      <c r="J678" s="4" t="str">
        <f>IFERROR(__xludf.DUMMYFUNCTION("""COMPUTED_VALUE"""),"Cluster 1")</f>
        <v>Cluster 1</v>
      </c>
      <c r="K678" s="4" t="str">
        <f>IFERROR(__xludf.DUMMYFUNCTION("""COMPUTED_VALUE"""),"YUSUF KWARI LINK")</f>
        <v>YUSUF KWARI LINK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 t="str">
        <f>IFERROR(__xludf.DUMMYFUNCTION("""COMPUTED_VALUE"""),"Point 2")</f>
        <v>Point 2</v>
      </c>
      <c r="AC678" s="4">
        <f>IFERROR(__xludf.DUMMYFUNCTION("""COMPUTED_VALUE"""),11.99690254)</f>
        <v>11.99690254</v>
      </c>
      <c r="AD678" s="4">
        <f>IFERROR(__xludf.DUMMYFUNCTION("""COMPUTED_VALUE"""),8.570448482)</f>
        <v>8.570448482</v>
      </c>
      <c r="AE678" s="5" t="str">
        <f>IFERROR(__xludf.DUMMYFUNCTION("""COMPUTED_VALUE"""),"https://drive.google.com/open?id=1kG-gXY8UhOOenwIvVoa_OoNg5R06Ybp5")</f>
        <v>https://drive.google.com/open?id=1kG-gXY8UhOOenwIvVoa_OoNg5R06Ybp5</v>
      </c>
      <c r="AF678" s="4"/>
      <c r="AG678" s="4"/>
      <c r="AH678" s="4"/>
      <c r="AI678" s="4"/>
      <c r="AL678" s="4" t="str">
        <f t="shared" si="1"/>
        <v>Cluster 1</v>
      </c>
      <c r="AM678" s="4" t="str">
        <f t="shared" si="2"/>
        <v>YUSUF KWARI LINK</v>
      </c>
    </row>
    <row r="679">
      <c r="A679" s="3">
        <f>IFERROR(__xludf.DUMMYFUNCTION("""COMPUTED_VALUE"""),45856.64804503472)</f>
        <v>45856.64805</v>
      </c>
      <c r="B679" s="4" t="str">
        <f>IFERROR(__xludf.DUMMYFUNCTION("""COMPUTED_VALUE"""),"m.salisushehu18@gmail.com")</f>
        <v>m.salisushehu18@gmail.com</v>
      </c>
      <c r="C679" s="4" t="str">
        <f>IFERROR(__xludf.DUMMYFUNCTION("""COMPUTED_VALUE"""),"Umar Dalhatu")</f>
        <v>Umar Dalhatu</v>
      </c>
      <c r="D679" s="4"/>
      <c r="E679" s="4"/>
      <c r="F679" s="4"/>
      <c r="G679" s="4"/>
      <c r="H679" s="4"/>
      <c r="I679" s="4"/>
      <c r="J679" s="4" t="str">
        <f>IFERROR(__xludf.DUMMYFUNCTION("""COMPUTED_VALUE"""),"Cluster 14")</f>
        <v>Cluster 14</v>
      </c>
      <c r="K679" s="4"/>
      <c r="L679" s="4"/>
      <c r="M679" s="4"/>
      <c r="N679" s="4" t="str">
        <f>IFERROR(__xludf.DUMMYFUNCTION("""COMPUTED_VALUE"""),"FREETOWN STREET")</f>
        <v>FREETOWN STREET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 t="str">
        <f>IFERROR(__xludf.DUMMYFUNCTION("""COMPUTED_VALUE"""),"Point 2")</f>
        <v>Point 2</v>
      </c>
      <c r="AC679" s="4">
        <f>IFERROR(__xludf.DUMMYFUNCTION("""COMPUTED_VALUE"""),12.0265397)</f>
        <v>12.0265397</v>
      </c>
      <c r="AD679" s="4">
        <f>IFERROR(__xludf.DUMMYFUNCTION("""COMPUTED_VALUE"""),8.529386867)</f>
        <v>8.529386867</v>
      </c>
      <c r="AE679" s="5" t="str">
        <f>IFERROR(__xludf.DUMMYFUNCTION("""COMPUTED_VALUE"""),"https://drive.google.com/open?id=1ucUnVbVXxzJLMz1DnWiuO4Zi7SK3GyP1")</f>
        <v>https://drive.google.com/open?id=1ucUnVbVXxzJLMz1DnWiuO4Zi7SK3GyP1</v>
      </c>
      <c r="AF679" s="4"/>
      <c r="AG679" s="4"/>
      <c r="AH679" s="4"/>
      <c r="AI679" s="4"/>
      <c r="AL679" s="4" t="str">
        <f t="shared" si="1"/>
        <v>Cluster 14</v>
      </c>
      <c r="AM679" s="4" t="str">
        <f t="shared" si="2"/>
        <v>FREETOWN STREET</v>
      </c>
    </row>
    <row r="680">
      <c r="A680" s="3">
        <f>IFERROR(__xludf.DUMMYFUNCTION("""COMPUTED_VALUE"""),45856.64730789352)</f>
        <v>45856.64731</v>
      </c>
      <c r="B680" s="4" t="str">
        <f>IFERROR(__xludf.DUMMYFUNCTION("""COMPUTED_VALUE"""),"m.salisushehu18@gmail.com")</f>
        <v>m.salisushehu18@gmail.com</v>
      </c>
      <c r="C680" s="4" t="str">
        <f>IFERROR(__xludf.DUMMYFUNCTION("""COMPUTED_VALUE"""),"Umar Dalhatu")</f>
        <v>Umar Dalhatu</v>
      </c>
      <c r="D680" s="4"/>
      <c r="E680" s="4"/>
      <c r="F680" s="4"/>
      <c r="G680" s="4"/>
      <c r="H680" s="4"/>
      <c r="I680" s="4"/>
      <c r="J680" s="4" t="str">
        <f>IFERROR(__xludf.DUMMYFUNCTION("""COMPUTED_VALUE"""),"Cluster 14")</f>
        <v>Cluster 14</v>
      </c>
      <c r="K680" s="4"/>
      <c r="L680" s="4"/>
      <c r="M680" s="4"/>
      <c r="N680" s="4" t="str">
        <f>IFERROR(__xludf.DUMMYFUNCTION("""COMPUTED_VALUE"""),"FREETOWN STREET")</f>
        <v>FREETOWN STREET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 t="str">
        <f>IFERROR(__xludf.DUMMYFUNCTION("""COMPUTED_VALUE"""),"Point 1")</f>
        <v>Point 1</v>
      </c>
      <c r="AC680" s="4">
        <f>IFERROR(__xludf.DUMMYFUNCTION("""COMPUTED_VALUE"""),12.026489)</f>
        <v>12.026489</v>
      </c>
      <c r="AD680" s="4">
        <f>IFERROR(__xludf.DUMMYFUNCTION("""COMPUTED_VALUE"""),8.530159)</f>
        <v>8.530159</v>
      </c>
      <c r="AE680" s="5" t="str">
        <f>IFERROR(__xludf.DUMMYFUNCTION("""COMPUTED_VALUE"""),"https://drive.google.com/open?id=1XcAybnZyxoyWZn9GJS4jZqXn7qOOeNuM")</f>
        <v>https://drive.google.com/open?id=1XcAybnZyxoyWZn9GJS4jZqXn7qOOeNuM</v>
      </c>
      <c r="AF680" s="4"/>
      <c r="AG680" s="4"/>
      <c r="AH680" s="4"/>
      <c r="AI680" s="4"/>
      <c r="AL680" s="4" t="str">
        <f t="shared" si="1"/>
        <v>Cluster 14</v>
      </c>
      <c r="AM680" s="4" t="str">
        <f t="shared" si="2"/>
        <v>FREETOWN STREET</v>
      </c>
    </row>
    <row r="681">
      <c r="A681" s="3">
        <f>IFERROR(__xludf.DUMMYFUNCTION("""COMPUTED_VALUE"""),45856.64597866898)</f>
        <v>45856.64598</v>
      </c>
      <c r="B681" s="4" t="str">
        <f>IFERROR(__xludf.DUMMYFUNCTION("""COMPUTED_VALUE"""),"m.salisushehu18@gmail.com")</f>
        <v>m.salisushehu18@gmail.com</v>
      </c>
      <c r="C681" s="4" t="str">
        <f>IFERROR(__xludf.DUMMYFUNCTION("""COMPUTED_VALUE"""),"Umar Dalhatu")</f>
        <v>Umar Dalhatu</v>
      </c>
      <c r="D681" s="4"/>
      <c r="E681" s="4"/>
      <c r="F681" s="4"/>
      <c r="G681" s="4"/>
      <c r="H681" s="4"/>
      <c r="I681" s="4"/>
      <c r="J681" s="4" t="str">
        <f>IFERROR(__xludf.DUMMYFUNCTION("""COMPUTED_VALUE"""),"Cluster 14")</f>
        <v>Cluster 14</v>
      </c>
      <c r="K681" s="4"/>
      <c r="L681" s="4"/>
      <c r="M681" s="4"/>
      <c r="N681" s="4" t="str">
        <f>IFERROR(__xludf.DUMMYFUNCTION("""COMPUTED_VALUE"""),"SARKIN YAKI STREET")</f>
        <v>SARKIN YAKI STREET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 t="str">
        <f>IFERROR(__xludf.DUMMYFUNCTION("""COMPUTED_VALUE"""),"Point 2")</f>
        <v>Point 2</v>
      </c>
      <c r="AC681" s="4">
        <f>IFERROR(__xludf.DUMMYFUNCTION("""COMPUTED_VALUE"""),12.02574169)</f>
        <v>12.02574169</v>
      </c>
      <c r="AD681" s="4">
        <f>IFERROR(__xludf.DUMMYFUNCTION("""COMPUTED_VALUE"""),8.529183174)</f>
        <v>8.529183174</v>
      </c>
      <c r="AE681" s="5" t="str">
        <f>IFERROR(__xludf.DUMMYFUNCTION("""COMPUTED_VALUE"""),"https://drive.google.com/open?id=1VSb-CVmrSoOga4crjh4FCOGqnXjPepxu")</f>
        <v>https://drive.google.com/open?id=1VSb-CVmrSoOga4crjh4FCOGqnXjPepxu</v>
      </c>
      <c r="AF681" s="4"/>
      <c r="AG681" s="4"/>
      <c r="AH681" s="4"/>
      <c r="AI681" s="4"/>
      <c r="AL681" s="4" t="str">
        <f t="shared" si="1"/>
        <v>Cluster 14</v>
      </c>
      <c r="AM681" s="4" t="str">
        <f t="shared" si="2"/>
        <v>SARKIN YAKI STREET</v>
      </c>
    </row>
    <row r="682">
      <c r="A682" s="3">
        <f>IFERROR(__xludf.DUMMYFUNCTION("""COMPUTED_VALUE"""),45856.64516515046)</f>
        <v>45856.64517</v>
      </c>
      <c r="B682" s="4" t="str">
        <f>IFERROR(__xludf.DUMMYFUNCTION("""COMPUTED_VALUE"""),"m.salisushehu18@gmail.com")</f>
        <v>m.salisushehu18@gmail.com</v>
      </c>
      <c r="C682" s="4" t="str">
        <f>IFERROR(__xludf.DUMMYFUNCTION("""COMPUTED_VALUE"""),"Umar Dalhatu")</f>
        <v>Umar Dalhatu</v>
      </c>
      <c r="D682" s="4"/>
      <c r="E682" s="4"/>
      <c r="F682" s="4"/>
      <c r="G682" s="4"/>
      <c r="H682" s="4"/>
      <c r="I682" s="4"/>
      <c r="J682" s="4" t="str">
        <f>IFERROR(__xludf.DUMMYFUNCTION("""COMPUTED_VALUE"""),"Cluster 14")</f>
        <v>Cluster 14</v>
      </c>
      <c r="K682" s="4"/>
      <c r="L682" s="4"/>
      <c r="M682" s="4"/>
      <c r="N682" s="4" t="str">
        <f>IFERROR(__xludf.DUMMYFUNCTION("""COMPUTED_VALUE"""),"SARKIN YAKI STREET")</f>
        <v>SARKIN YAKI STREET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 t="str">
        <f>IFERROR(__xludf.DUMMYFUNCTION("""COMPUTED_VALUE"""),"Point 1")</f>
        <v>Point 1</v>
      </c>
      <c r="AC682" s="4">
        <f>IFERROR(__xludf.DUMMYFUNCTION("""COMPUTED_VALUE"""),12.0265397)</f>
        <v>12.0265397</v>
      </c>
      <c r="AD682" s="4">
        <f>IFERROR(__xludf.DUMMYFUNCTION("""COMPUTED_VALUE"""),8.529386867)</f>
        <v>8.529386867</v>
      </c>
      <c r="AE682" s="5" t="str">
        <f>IFERROR(__xludf.DUMMYFUNCTION("""COMPUTED_VALUE"""),"https://drive.google.com/open?id=1j0beTwMUyY6HJCpH4IGwoCb1u6ogQfEH")</f>
        <v>https://drive.google.com/open?id=1j0beTwMUyY6HJCpH4IGwoCb1u6ogQfEH</v>
      </c>
      <c r="AF682" s="4"/>
      <c r="AG682" s="4"/>
      <c r="AH682" s="4"/>
      <c r="AI682" s="4"/>
      <c r="AL682" s="4" t="str">
        <f t="shared" si="1"/>
        <v>Cluster 14</v>
      </c>
      <c r="AM682" s="4" t="str">
        <f t="shared" si="2"/>
        <v>SARKIN YAKI STREET</v>
      </c>
    </row>
    <row r="683">
      <c r="A683" s="3">
        <f>IFERROR(__xludf.DUMMYFUNCTION("""COMPUTED_VALUE"""),45856.64487071759)</f>
        <v>45856.64487</v>
      </c>
      <c r="B683" s="4" t="str">
        <f>IFERROR(__xludf.DUMMYFUNCTION("""COMPUTED_VALUE"""),"umrdalhatu@gmail.com")</f>
        <v>umrdalhatu@gmail.com</v>
      </c>
      <c r="C683" s="4" t="str">
        <f>IFERROR(__xludf.DUMMYFUNCTION("""COMPUTED_VALUE"""),"Umar Dalhatu")</f>
        <v>Umar Dalhatu</v>
      </c>
      <c r="D683" s="4"/>
      <c r="E683" s="4"/>
      <c r="F683" s="4"/>
      <c r="G683" s="4"/>
      <c r="H683" s="4"/>
      <c r="I683" s="4"/>
      <c r="J683" s="4" t="str">
        <f>IFERROR(__xludf.DUMMYFUNCTION("""COMPUTED_VALUE"""),"Cluster 1")</f>
        <v>Cluster 1</v>
      </c>
      <c r="K683" s="4" t="str">
        <f>IFERROR(__xludf.DUMMYFUNCTION("""COMPUTED_VALUE"""),"YUSUF KWARI LINK")</f>
        <v>YUSUF KWARI LINK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 t="str">
        <f>IFERROR(__xludf.DUMMYFUNCTION("""COMPUTED_VALUE"""),"Point 1")</f>
        <v>Point 1</v>
      </c>
      <c r="AC683" s="4">
        <f>IFERROR(__xludf.DUMMYFUNCTION("""COMPUTED_VALUE"""),11.9972823)</f>
        <v>11.9972823</v>
      </c>
      <c r="AD683" s="4">
        <f>IFERROR(__xludf.DUMMYFUNCTION("""COMPUTED_VALUE"""),8.570430541)</f>
        <v>8.570430541</v>
      </c>
      <c r="AE683" s="5" t="str">
        <f>IFERROR(__xludf.DUMMYFUNCTION("""COMPUTED_VALUE"""),"https://drive.google.com/open?id=1dRrTuC2t_ge1GvGLV38S6ify2JjYavTf")</f>
        <v>https://drive.google.com/open?id=1dRrTuC2t_ge1GvGLV38S6ify2JjYavTf</v>
      </c>
      <c r="AF683" s="4"/>
      <c r="AG683" s="4"/>
      <c r="AH683" s="4"/>
      <c r="AI683" s="4"/>
      <c r="AL683" s="4" t="str">
        <f t="shared" si="1"/>
        <v>Cluster 1</v>
      </c>
      <c r="AM683" s="4" t="str">
        <f t="shared" si="2"/>
        <v>YUSUF KWARI LINK</v>
      </c>
    </row>
    <row r="684">
      <c r="A684" s="3">
        <f>IFERROR(__xludf.DUMMYFUNCTION("""COMPUTED_VALUE"""),45856.643776377314)</f>
        <v>45856.64378</v>
      </c>
      <c r="B684" s="4" t="str">
        <f>IFERROR(__xludf.DUMMYFUNCTION("""COMPUTED_VALUE"""),"m.salisushehu18@gmail.com")</f>
        <v>m.salisushehu18@gmail.com</v>
      </c>
      <c r="C684" s="4" t="str">
        <f>IFERROR(__xludf.DUMMYFUNCTION("""COMPUTED_VALUE"""),"Umar Dalhatu")</f>
        <v>Umar Dalhatu</v>
      </c>
      <c r="D684" s="4"/>
      <c r="E684" s="4"/>
      <c r="F684" s="4"/>
      <c r="G684" s="4"/>
      <c r="H684" s="4"/>
      <c r="I684" s="4"/>
      <c r="J684" s="4" t="str">
        <f>IFERROR(__xludf.DUMMYFUNCTION("""COMPUTED_VALUE"""),"Cluster 14")</f>
        <v>Cluster 14</v>
      </c>
      <c r="K684" s="4"/>
      <c r="L684" s="4"/>
      <c r="M684" s="4"/>
      <c r="N684" s="4" t="str">
        <f>IFERROR(__xludf.DUMMYFUNCTION("""COMPUTED_VALUE"""),"WHETHERHEAD STREET")</f>
        <v>WHETHERHEAD STREET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 t="str">
        <f>IFERROR(__xludf.DUMMYFUNCTION("""COMPUTED_VALUE"""),"Point 2")</f>
        <v>Point 2</v>
      </c>
      <c r="AC684" s="4">
        <f>IFERROR(__xludf.DUMMYFUNCTION("""COMPUTED_VALUE"""),12.02808936)</f>
        <v>12.02808936</v>
      </c>
      <c r="AD684" s="4">
        <f>IFERROR(__xludf.DUMMYFUNCTION("""COMPUTED_VALUE"""),8.523780445)</f>
        <v>8.523780445</v>
      </c>
      <c r="AE684" s="5" t="str">
        <f>IFERROR(__xludf.DUMMYFUNCTION("""COMPUTED_VALUE"""),"https://drive.google.com/open?id=1buuTMU7SuvIIT90APB63Zovd_o8acJWs")</f>
        <v>https://drive.google.com/open?id=1buuTMU7SuvIIT90APB63Zovd_o8acJWs</v>
      </c>
      <c r="AF684" s="4"/>
      <c r="AG684" s="4"/>
      <c r="AH684" s="4"/>
      <c r="AI684" s="4"/>
      <c r="AL684" s="4" t="str">
        <f t="shared" si="1"/>
        <v>Cluster 14</v>
      </c>
      <c r="AM684" s="4" t="str">
        <f t="shared" si="2"/>
        <v>WHETHERHEAD STREET</v>
      </c>
    </row>
    <row r="685">
      <c r="A685" s="3">
        <f>IFERROR(__xludf.DUMMYFUNCTION("""COMPUTED_VALUE"""),45856.642180995375)</f>
        <v>45856.64218</v>
      </c>
      <c r="B685" s="4" t="str">
        <f>IFERROR(__xludf.DUMMYFUNCTION("""COMPUTED_VALUE"""),"m.salisushehu18@gmail.com")</f>
        <v>m.salisushehu18@gmail.com</v>
      </c>
      <c r="C685" s="4" t="str">
        <f>IFERROR(__xludf.DUMMYFUNCTION("""COMPUTED_VALUE"""),"Umar Dalhatu")</f>
        <v>Umar Dalhatu</v>
      </c>
      <c r="D685" s="4"/>
      <c r="E685" s="4"/>
      <c r="F685" s="4"/>
      <c r="G685" s="4"/>
      <c r="H685" s="4"/>
      <c r="I685" s="4"/>
      <c r="J685" s="4" t="str">
        <f>IFERROR(__xludf.DUMMYFUNCTION("""COMPUTED_VALUE"""),"Cluster 14")</f>
        <v>Cluster 14</v>
      </c>
      <c r="K685" s="4"/>
      <c r="L685" s="4"/>
      <c r="M685" s="4"/>
      <c r="N685" s="4" t="str">
        <f>IFERROR(__xludf.DUMMYFUNCTION("""COMPUTED_VALUE"""),"WHETHERHEAD STREET")</f>
        <v>WHETHERHEAD STREET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 t="str">
        <f>IFERROR(__xludf.DUMMYFUNCTION("""COMPUTED_VALUE"""),"Point 1")</f>
        <v>Point 1</v>
      </c>
      <c r="AC685" s="4">
        <f>IFERROR(__xludf.DUMMYFUNCTION("""COMPUTED_VALUE"""),12.02573164)</f>
        <v>12.02573164</v>
      </c>
      <c r="AD685" s="4">
        <f>IFERROR(__xludf.DUMMYFUNCTION("""COMPUTED_VALUE"""),8.528589756)</f>
        <v>8.528589756</v>
      </c>
      <c r="AE685" s="5" t="str">
        <f>IFERROR(__xludf.DUMMYFUNCTION("""COMPUTED_VALUE"""),"https://drive.google.com/open?id=1NPYPFwrAcles0rz89vmpTBkgXyJ3xAgr")</f>
        <v>https://drive.google.com/open?id=1NPYPFwrAcles0rz89vmpTBkgXyJ3xAgr</v>
      </c>
      <c r="AF685" s="4"/>
      <c r="AG685" s="4"/>
      <c r="AH685" s="4"/>
      <c r="AI685" s="4"/>
      <c r="AL685" s="4" t="str">
        <f t="shared" si="1"/>
        <v>Cluster 14</v>
      </c>
      <c r="AM685" s="4" t="str">
        <f t="shared" si="2"/>
        <v>WHETHERHEAD STREET</v>
      </c>
    </row>
    <row r="686">
      <c r="A686" s="3">
        <f>IFERROR(__xludf.DUMMYFUNCTION("""COMPUTED_VALUE"""),45856.64116255787)</f>
        <v>45856.64116</v>
      </c>
      <c r="B686" s="4" t="str">
        <f>IFERROR(__xludf.DUMMYFUNCTION("""COMPUTED_VALUE"""),"m.salisushehu18@gmail.com")</f>
        <v>m.salisushehu18@gmail.com</v>
      </c>
      <c r="C686" s="4" t="str">
        <f>IFERROR(__xludf.DUMMYFUNCTION("""COMPUTED_VALUE"""),"Umar Dalhatu")</f>
        <v>Umar Dalhatu</v>
      </c>
      <c r="D686" s="4"/>
      <c r="E686" s="4"/>
      <c r="F686" s="4"/>
      <c r="G686" s="4"/>
      <c r="H686" s="4"/>
      <c r="I686" s="4"/>
      <c r="J686" s="4" t="str">
        <f>IFERROR(__xludf.DUMMYFUNCTION("""COMPUTED_VALUE"""),"Cluster 14")</f>
        <v>Cluster 14</v>
      </c>
      <c r="K686" s="4"/>
      <c r="L686" s="4"/>
      <c r="M686" s="4"/>
      <c r="N686" s="4" t="str">
        <f>IFERROR(__xludf.DUMMYFUNCTION("""COMPUTED_VALUE"""),"ZUNGERU ROAD")</f>
        <v>ZUNGERU ROAD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 t="str">
        <f>IFERROR(__xludf.DUMMYFUNCTION("""COMPUTED_VALUE"""),"Point 2")</f>
        <v>Point 2</v>
      </c>
      <c r="AC686" s="4">
        <f>IFERROR(__xludf.DUMMYFUNCTION("""COMPUTED_VALUE"""),12.0279379)</f>
        <v>12.0279379</v>
      </c>
      <c r="AD686" s="4">
        <f>IFERROR(__xludf.DUMMYFUNCTION("""COMPUTED_VALUE"""),8.525757051)</f>
        <v>8.525757051</v>
      </c>
      <c r="AE686" s="5" t="str">
        <f>IFERROR(__xludf.DUMMYFUNCTION("""COMPUTED_VALUE"""),"https://drive.google.com/open?id=1uT3N0tj1hRQgci_8hQtYRhrhedsHnYrd")</f>
        <v>https://drive.google.com/open?id=1uT3N0tj1hRQgci_8hQtYRhrhedsHnYrd</v>
      </c>
      <c r="AF686" s="4"/>
      <c r="AG686" s="4"/>
      <c r="AH686" s="4"/>
      <c r="AI686" s="4"/>
      <c r="AL686" s="4" t="str">
        <f t="shared" si="1"/>
        <v>Cluster 14</v>
      </c>
      <c r="AM686" s="4" t="str">
        <f t="shared" si="2"/>
        <v>ZUNGERU ROAD</v>
      </c>
    </row>
    <row r="687">
      <c r="A687" s="3">
        <f>IFERROR(__xludf.DUMMYFUNCTION("""COMPUTED_VALUE"""),45856.64025150463)</f>
        <v>45856.64025</v>
      </c>
      <c r="B687" s="4" t="str">
        <f>IFERROR(__xludf.DUMMYFUNCTION("""COMPUTED_VALUE"""),"m.salisushehu18@gmail.com")</f>
        <v>m.salisushehu18@gmail.com</v>
      </c>
      <c r="C687" s="4" t="str">
        <f>IFERROR(__xludf.DUMMYFUNCTION("""COMPUTED_VALUE"""),"Umar Dalhatu")</f>
        <v>Umar Dalhatu</v>
      </c>
      <c r="D687" s="4"/>
      <c r="E687" s="4"/>
      <c r="F687" s="4"/>
      <c r="G687" s="4"/>
      <c r="H687" s="4"/>
      <c r="I687" s="4"/>
      <c r="J687" s="4" t="str">
        <f>IFERROR(__xludf.DUMMYFUNCTION("""COMPUTED_VALUE"""),"Cluster 14")</f>
        <v>Cluster 14</v>
      </c>
      <c r="K687" s="4"/>
      <c r="L687" s="4"/>
      <c r="M687" s="4"/>
      <c r="N687" s="4" t="str">
        <f>IFERROR(__xludf.DUMMYFUNCTION("""COMPUTED_VALUE"""),"ZUNGERU ROAD")</f>
        <v>ZUNGERU ROAD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 t="str">
        <f>IFERROR(__xludf.DUMMYFUNCTION("""COMPUTED_VALUE"""),"Point 1")</f>
        <v>Point 1</v>
      </c>
      <c r="AC687" s="4">
        <f>IFERROR(__xludf.DUMMYFUNCTION("""COMPUTED_VALUE"""),12.02808936)</f>
        <v>12.02808936</v>
      </c>
      <c r="AD687" s="4">
        <f>IFERROR(__xludf.DUMMYFUNCTION("""COMPUTED_VALUE"""),8.523780445)</f>
        <v>8.523780445</v>
      </c>
      <c r="AE687" s="5" t="str">
        <f>IFERROR(__xludf.DUMMYFUNCTION("""COMPUTED_VALUE"""),"https://drive.google.com/open?id=1qwLF3wKabSPcdQoCqCbmqS27v15aAw18")</f>
        <v>https://drive.google.com/open?id=1qwLF3wKabSPcdQoCqCbmqS27v15aAw18</v>
      </c>
      <c r="AF687" s="4"/>
      <c r="AG687" s="4"/>
      <c r="AH687" s="4"/>
      <c r="AI687" s="4"/>
      <c r="AL687" s="4" t="str">
        <f t="shared" si="1"/>
        <v>Cluster 14</v>
      </c>
      <c r="AM687" s="4" t="str">
        <f t="shared" si="2"/>
        <v>ZUNGERU ROAD</v>
      </c>
    </row>
    <row r="688">
      <c r="A688" s="3">
        <f>IFERROR(__xludf.DUMMYFUNCTION("""COMPUTED_VALUE"""),45856.63884175926)</f>
        <v>45856.63884</v>
      </c>
      <c r="B688" s="4" t="str">
        <f>IFERROR(__xludf.DUMMYFUNCTION("""COMPUTED_VALUE"""),"m.salisushehu18@gmail.com")</f>
        <v>m.salisushehu18@gmail.com</v>
      </c>
      <c r="C688" s="4" t="str">
        <f>IFERROR(__xludf.DUMMYFUNCTION("""COMPUTED_VALUE"""),"Umar Dalhatu")</f>
        <v>Umar Dalhatu</v>
      </c>
      <c r="D688" s="4"/>
      <c r="E688" s="4"/>
      <c r="F688" s="4"/>
      <c r="G688" s="4"/>
      <c r="H688" s="4"/>
      <c r="I688" s="4"/>
      <c r="J688" s="4" t="str">
        <f>IFERROR(__xludf.DUMMYFUNCTION("""COMPUTED_VALUE"""),"Cluster 14")</f>
        <v>Cluster 14</v>
      </c>
      <c r="K688" s="4"/>
      <c r="L688" s="4"/>
      <c r="M688" s="4"/>
      <c r="N688" s="4" t="str">
        <f>IFERROR(__xludf.DUMMYFUNCTION("""COMPUTED_VALUE"""),"CEASER AVENUE")</f>
        <v>CEASER AVENUE</v>
      </c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 t="str">
        <f>IFERROR(__xludf.DUMMYFUNCTION("""COMPUTED_VALUE"""),"Point 2")</f>
        <v>Point 2</v>
      </c>
      <c r="AC688" s="4">
        <f>IFERROR(__xludf.DUMMYFUNCTION("""COMPUTED_VALUE"""),12.02655485)</f>
        <v>12.02655485</v>
      </c>
      <c r="AD688" s="4">
        <f>IFERROR(__xludf.DUMMYFUNCTION("""COMPUTED_VALUE"""),8.526920983)</f>
        <v>8.526920983</v>
      </c>
      <c r="AE688" s="5" t="str">
        <f>IFERROR(__xludf.DUMMYFUNCTION("""COMPUTED_VALUE"""),"https://drive.google.com/open?id=1_xzo3bu2GZk0m47eXBYBeQ2jRazNxB62")</f>
        <v>https://drive.google.com/open?id=1_xzo3bu2GZk0m47eXBYBeQ2jRazNxB62</v>
      </c>
      <c r="AF688" s="4"/>
      <c r="AG688" s="4"/>
      <c r="AH688" s="4"/>
      <c r="AI688" s="4"/>
      <c r="AL688" s="4" t="str">
        <f t="shared" si="1"/>
        <v>Cluster 14</v>
      </c>
      <c r="AM688" s="4" t="str">
        <f t="shared" si="2"/>
        <v>CEASER AVENUE</v>
      </c>
    </row>
    <row r="689">
      <c r="A689" s="3">
        <f>IFERROR(__xludf.DUMMYFUNCTION("""COMPUTED_VALUE"""),45856.63811384259)</f>
        <v>45856.63811</v>
      </c>
      <c r="B689" s="4" t="str">
        <f>IFERROR(__xludf.DUMMYFUNCTION("""COMPUTED_VALUE"""),"m.salisushehu18@gmail.com")</f>
        <v>m.salisushehu18@gmail.com</v>
      </c>
      <c r="C689" s="4" t="str">
        <f>IFERROR(__xludf.DUMMYFUNCTION("""COMPUTED_VALUE"""),"Umar Dalhatu")</f>
        <v>Umar Dalhatu</v>
      </c>
      <c r="D689" s="4"/>
      <c r="E689" s="4"/>
      <c r="F689" s="4"/>
      <c r="G689" s="4"/>
      <c r="H689" s="4"/>
      <c r="I689" s="4"/>
      <c r="J689" s="4" t="str">
        <f>IFERROR(__xludf.DUMMYFUNCTION("""COMPUTED_VALUE"""),"Cluster 14")</f>
        <v>Cluster 14</v>
      </c>
      <c r="K689" s="4"/>
      <c r="L689" s="4"/>
      <c r="M689" s="4"/>
      <c r="N689" s="4" t="str">
        <f>IFERROR(__xludf.DUMMYFUNCTION("""COMPUTED_VALUE"""),"CEASER AVENUE")</f>
        <v>CEASER AVENUE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 t="str">
        <f>IFERROR(__xludf.DUMMYFUNCTION("""COMPUTED_VALUE"""),"Point 1")</f>
        <v>Point 1</v>
      </c>
      <c r="AC689" s="4">
        <f>IFERROR(__xludf.DUMMYFUNCTION("""COMPUTED_VALUE"""),12.0275951)</f>
        <v>12.0275951</v>
      </c>
      <c r="AD689" s="4">
        <f>IFERROR(__xludf.DUMMYFUNCTION("""COMPUTED_VALUE"""),8.525659267)</f>
        <v>8.525659267</v>
      </c>
      <c r="AE689" s="5" t="str">
        <f>IFERROR(__xludf.DUMMYFUNCTION("""COMPUTED_VALUE"""),"https://drive.google.com/open?id=1rryzlApMI4J_f1_s4j5487HRHhLqSNEQ")</f>
        <v>https://drive.google.com/open?id=1rryzlApMI4J_f1_s4j5487HRHhLqSNEQ</v>
      </c>
      <c r="AF689" s="4"/>
      <c r="AG689" s="4"/>
      <c r="AH689" s="4"/>
      <c r="AI689" s="4"/>
      <c r="AL689" s="4" t="str">
        <f t="shared" si="1"/>
        <v>Cluster 14</v>
      </c>
      <c r="AM689" s="4" t="str">
        <f t="shared" si="2"/>
        <v>CEASER AVENUE</v>
      </c>
    </row>
    <row r="690">
      <c r="A690" s="3">
        <f>IFERROR(__xludf.DUMMYFUNCTION("""COMPUTED_VALUE"""),45856.63642792824)</f>
        <v>45856.63643</v>
      </c>
      <c r="B690" s="4" t="str">
        <f>IFERROR(__xludf.DUMMYFUNCTION("""COMPUTED_VALUE"""),"m.salisushehu18@gmail.com")</f>
        <v>m.salisushehu18@gmail.com</v>
      </c>
      <c r="C690" s="4" t="str">
        <f>IFERROR(__xludf.DUMMYFUNCTION("""COMPUTED_VALUE"""),"Umar Dalhatu")</f>
        <v>Umar Dalhatu</v>
      </c>
      <c r="D690" s="4"/>
      <c r="E690" s="4"/>
      <c r="F690" s="4"/>
      <c r="G690" s="4"/>
      <c r="H690" s="4"/>
      <c r="I690" s="4"/>
      <c r="J690" s="4" t="str">
        <f>IFERROR(__xludf.DUMMYFUNCTION("""COMPUTED_VALUE"""),"Cluster 14")</f>
        <v>Cluster 14</v>
      </c>
      <c r="K690" s="4"/>
      <c r="L690" s="4"/>
      <c r="M690" s="4"/>
      <c r="N690" s="4" t="str">
        <f>IFERROR(__xludf.DUMMYFUNCTION("""COMPUTED_VALUE"""),"VAN GEORGE CLOSE")</f>
        <v>VAN GEORGE CLOSE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 t="str">
        <f>IFERROR(__xludf.DUMMYFUNCTION("""COMPUTED_VALUE"""),"Point 1")</f>
        <v>Point 1</v>
      </c>
      <c r="AC690" s="4">
        <f>IFERROR(__xludf.DUMMYFUNCTION("""COMPUTED_VALUE"""),12.02655485)</f>
        <v>12.02655485</v>
      </c>
      <c r="AD690" s="4">
        <f>IFERROR(__xludf.DUMMYFUNCTION("""COMPUTED_VALUE"""),8.526920983)</f>
        <v>8.526920983</v>
      </c>
      <c r="AE690" s="5" t="str">
        <f>IFERROR(__xludf.DUMMYFUNCTION("""COMPUTED_VALUE"""),"https://drive.google.com/open?id=1kRKXTKATfleRUu-5WGG_sycPfnEy0cs2")</f>
        <v>https://drive.google.com/open?id=1kRKXTKATfleRUu-5WGG_sycPfnEy0cs2</v>
      </c>
      <c r="AF690" s="4"/>
      <c r="AG690" s="4"/>
      <c r="AH690" s="4"/>
      <c r="AI690" s="4"/>
      <c r="AL690" s="4" t="str">
        <f t="shared" si="1"/>
        <v>Cluster 14</v>
      </c>
      <c r="AM690" s="4" t="str">
        <f t="shared" si="2"/>
        <v>VAN GEORGE CLOSE</v>
      </c>
    </row>
    <row r="691">
      <c r="A691" s="3">
        <f>IFERROR(__xludf.DUMMYFUNCTION("""COMPUTED_VALUE"""),45856.63453413194)</f>
        <v>45856.63453</v>
      </c>
      <c r="B691" s="4" t="str">
        <f>IFERROR(__xludf.DUMMYFUNCTION("""COMPUTED_VALUE"""),"umrdalhatu@gmail.com")</f>
        <v>umrdalhatu@gmail.com</v>
      </c>
      <c r="C691" s="4" t="str">
        <f>IFERROR(__xludf.DUMMYFUNCTION("""COMPUTED_VALUE"""),"Umar Dalhatu")</f>
        <v>Umar Dalhatu</v>
      </c>
      <c r="D691" s="4"/>
      <c r="E691" s="4"/>
      <c r="F691" s="4"/>
      <c r="G691" s="4"/>
      <c r="H691" s="4"/>
      <c r="I691" s="4"/>
      <c r="J691" s="4" t="str">
        <f>IFERROR(__xludf.DUMMYFUNCTION("""COMPUTED_VALUE"""),"Cluster 1")</f>
        <v>Cluster 1</v>
      </c>
      <c r="K691" s="4" t="str">
        <f>IFERROR(__xludf.DUMMYFUNCTION("""COMPUTED_VALUE"""),"ZAKARI SADIQ LINK")</f>
        <v>ZAKARI SADIQ LINK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 t="str">
        <f>IFERROR(__xludf.DUMMYFUNCTION("""COMPUTED_VALUE"""),"Point 2")</f>
        <v>Point 2</v>
      </c>
      <c r="AC691" s="4">
        <f>IFERROR(__xludf.DUMMYFUNCTION("""COMPUTED_VALUE"""),11.99574036)</f>
        <v>11.99574036</v>
      </c>
      <c r="AD691" s="4">
        <f>IFERROR(__xludf.DUMMYFUNCTION("""COMPUTED_VALUE"""),8.57262602)</f>
        <v>8.57262602</v>
      </c>
      <c r="AE691" s="5" t="str">
        <f>IFERROR(__xludf.DUMMYFUNCTION("""COMPUTED_VALUE"""),"https://drive.google.com/open?id=1qAW2yUdrldUPqC1U72cDuHbFwzr9E1tr")</f>
        <v>https://drive.google.com/open?id=1qAW2yUdrldUPqC1U72cDuHbFwzr9E1tr</v>
      </c>
      <c r="AF691" s="4"/>
      <c r="AG691" s="4"/>
      <c r="AH691" s="4"/>
      <c r="AI691" s="4"/>
      <c r="AL691" s="4" t="str">
        <f t="shared" si="1"/>
        <v>Cluster 1</v>
      </c>
      <c r="AM691" s="4" t="str">
        <f t="shared" si="2"/>
        <v>ZAKARI SADIQ LINK</v>
      </c>
    </row>
    <row r="692">
      <c r="A692" s="3">
        <f>IFERROR(__xludf.DUMMYFUNCTION("""COMPUTED_VALUE"""),45856.63289655093)</f>
        <v>45856.6329</v>
      </c>
      <c r="B692" s="4" t="str">
        <f>IFERROR(__xludf.DUMMYFUNCTION("""COMPUTED_VALUE"""),"umrdalhatu@gmail.com")</f>
        <v>umrdalhatu@gmail.com</v>
      </c>
      <c r="C692" s="4" t="str">
        <f>IFERROR(__xludf.DUMMYFUNCTION("""COMPUTED_VALUE"""),"Umar Dalhatu")</f>
        <v>Umar Dalhatu</v>
      </c>
      <c r="D692" s="4"/>
      <c r="E692" s="4"/>
      <c r="F692" s="4"/>
      <c r="G692" s="4"/>
      <c r="H692" s="4"/>
      <c r="I692" s="4"/>
      <c r="J692" s="4" t="str">
        <f>IFERROR(__xludf.DUMMYFUNCTION("""COMPUTED_VALUE"""),"Cluster 1")</f>
        <v>Cluster 1</v>
      </c>
      <c r="K692" s="4" t="str">
        <f>IFERROR(__xludf.DUMMYFUNCTION("""COMPUTED_VALUE"""),"ZAKARI SADIQ LINK")</f>
        <v>ZAKARI SADIQ LINK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 t="str">
        <f>IFERROR(__xludf.DUMMYFUNCTION("""COMPUTED_VALUE"""),"Point 1")</f>
        <v>Point 1</v>
      </c>
      <c r="AC692" s="4">
        <f>IFERROR(__xludf.DUMMYFUNCTION("""COMPUTED_VALUE"""),11.99574199)</f>
        <v>11.99574199</v>
      </c>
      <c r="AD692" s="4">
        <f>IFERROR(__xludf.DUMMYFUNCTION("""COMPUTED_VALUE"""),8.573188963)</f>
        <v>8.573188963</v>
      </c>
      <c r="AE692" s="5" t="str">
        <f>IFERROR(__xludf.DUMMYFUNCTION("""COMPUTED_VALUE"""),"https://drive.google.com/open?id=1QMo9VUlyBNC4rZABdBry1l9DtCSmbS24")</f>
        <v>https://drive.google.com/open?id=1QMo9VUlyBNC4rZABdBry1l9DtCSmbS24</v>
      </c>
      <c r="AF692" s="4"/>
      <c r="AG692" s="4"/>
      <c r="AH692" s="4"/>
      <c r="AI692" s="4"/>
      <c r="AL692" s="4" t="str">
        <f t="shared" si="1"/>
        <v>Cluster 1</v>
      </c>
      <c r="AM692" s="4" t="str">
        <f t="shared" si="2"/>
        <v>ZAKARI SADIQ LINK</v>
      </c>
    </row>
    <row r="693">
      <c r="A693" s="3">
        <f>IFERROR(__xludf.DUMMYFUNCTION("""COMPUTED_VALUE"""),45856.61838783565)</f>
        <v>45856.61839</v>
      </c>
      <c r="B693" s="4" t="str">
        <f>IFERROR(__xludf.DUMMYFUNCTION("""COMPUTED_VALUE"""),"umrdalhatu@gmail.com")</f>
        <v>umrdalhatu@gmail.com</v>
      </c>
      <c r="C693" s="4" t="str">
        <f>IFERROR(__xludf.DUMMYFUNCTION("""COMPUTED_VALUE"""),"Umar Dalhatu")</f>
        <v>Umar Dalhatu</v>
      </c>
      <c r="D693" s="4"/>
      <c r="E693" s="4"/>
      <c r="F693" s="4"/>
      <c r="G693" s="4"/>
      <c r="H693" s="4"/>
      <c r="I693" s="4"/>
      <c r="J693" s="4" t="str">
        <f>IFERROR(__xludf.DUMMYFUNCTION("""COMPUTED_VALUE"""),"Cluster 7")</f>
        <v>Cluster 7</v>
      </c>
      <c r="K693" s="4"/>
      <c r="L693" s="4" t="str">
        <f>IFERROR(__xludf.DUMMYFUNCTION("""COMPUTED_VALUE"""),"IBRAHIM ZUBAIRU STREET")</f>
        <v>IBRAHIM ZUBAIRU STREET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 t="str">
        <f>IFERROR(__xludf.DUMMYFUNCTION("""COMPUTED_VALUE"""),"Point 2")</f>
        <v>Point 2</v>
      </c>
      <c r="AC693" s="4">
        <f>IFERROR(__xludf.DUMMYFUNCTION("""COMPUTED_VALUE"""),12.01543107)</f>
        <v>12.01543107</v>
      </c>
      <c r="AD693" s="4">
        <f>IFERROR(__xludf.DUMMYFUNCTION("""COMPUTED_VALUE"""),8.576785043)</f>
        <v>8.576785043</v>
      </c>
      <c r="AE693" s="5" t="str">
        <f>IFERROR(__xludf.DUMMYFUNCTION("""COMPUTED_VALUE"""),"https://drive.google.com/open?id=1N35tc77yMm-tLpDtB-bS2dPXTrBNlSLM")</f>
        <v>https://drive.google.com/open?id=1N35tc77yMm-tLpDtB-bS2dPXTrBNlSLM</v>
      </c>
      <c r="AF693" s="4"/>
      <c r="AG693" s="4"/>
      <c r="AH693" s="4"/>
      <c r="AI693" s="4"/>
      <c r="AL693" s="4" t="str">
        <f t="shared" si="1"/>
        <v>Cluster 7</v>
      </c>
      <c r="AM693" s="4" t="str">
        <f t="shared" si="2"/>
        <v>IBRAHIM ZUBAIRU STREET</v>
      </c>
    </row>
    <row r="694">
      <c r="A694" s="3">
        <f>IFERROR(__xludf.DUMMYFUNCTION("""COMPUTED_VALUE"""),45856.60897792824)</f>
        <v>45856.60898</v>
      </c>
      <c r="B694" s="4" t="str">
        <f>IFERROR(__xludf.DUMMYFUNCTION("""COMPUTED_VALUE"""),"umrdalhatu@gmail.com")</f>
        <v>umrdalhatu@gmail.com</v>
      </c>
      <c r="C694" s="4" t="str">
        <f>IFERROR(__xludf.DUMMYFUNCTION("""COMPUTED_VALUE"""),"Umar Dalhatu")</f>
        <v>Umar Dalhatu</v>
      </c>
      <c r="D694" s="4"/>
      <c r="E694" s="4"/>
      <c r="F694" s="4"/>
      <c r="G694" s="4"/>
      <c r="H694" s="4"/>
      <c r="I694" s="4"/>
      <c r="J694" s="4" t="str">
        <f>IFERROR(__xludf.DUMMYFUNCTION("""COMPUTED_VALUE"""),"Cluster 7")</f>
        <v>Cluster 7</v>
      </c>
      <c r="K694" s="4"/>
      <c r="L694" s="4" t="str">
        <f>IFERROR(__xludf.DUMMYFUNCTION("""COMPUTED_VALUE"""),"IBRAHIM ZUBAIRU STREET")</f>
        <v>IBRAHIM ZUBAIRU STREET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 t="str">
        <f>IFERROR(__xludf.DUMMYFUNCTION("""COMPUTED_VALUE"""),"Point 1")</f>
        <v>Point 1</v>
      </c>
      <c r="AC694" s="4">
        <f>IFERROR(__xludf.DUMMYFUNCTION("""COMPUTED_VALUE"""),12.01532302)</f>
        <v>12.01532302</v>
      </c>
      <c r="AD694" s="4">
        <f>IFERROR(__xludf.DUMMYFUNCTION("""COMPUTED_VALUE"""),8.576187334)</f>
        <v>8.576187334</v>
      </c>
      <c r="AE694" s="5" t="str">
        <f>IFERROR(__xludf.DUMMYFUNCTION("""COMPUTED_VALUE"""),"https://drive.google.com/open?id=1wcZnQfd_eSb0l7d36lhJmbgNFW97910G")</f>
        <v>https://drive.google.com/open?id=1wcZnQfd_eSb0l7d36lhJmbgNFW97910G</v>
      </c>
      <c r="AF694" s="4"/>
      <c r="AG694" s="4"/>
      <c r="AH694" s="4"/>
      <c r="AI694" s="4"/>
      <c r="AL694" s="4" t="str">
        <f t="shared" si="1"/>
        <v>Cluster 7</v>
      </c>
      <c r="AM694" s="4" t="str">
        <f t="shared" si="2"/>
        <v>IBRAHIM ZUBAIRU STREET</v>
      </c>
    </row>
    <row r="695">
      <c r="A695" s="3">
        <f>IFERROR(__xludf.DUMMYFUNCTION("""COMPUTED_VALUE"""),45856.07272506945)</f>
        <v>45856.07273</v>
      </c>
      <c r="B695" s="4" t="str">
        <f>IFERROR(__xludf.DUMMYFUNCTION("""COMPUTED_VALUE"""),"elhabs256@gmail.com")</f>
        <v>elhabs256@gmail.com</v>
      </c>
      <c r="C695" s="4" t="str">
        <f>IFERROR(__xludf.DUMMYFUNCTION("""COMPUTED_VALUE"""),"Abdullahi Elhabeeb")</f>
        <v>Abdullahi Elhabeeb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 t="str">
        <f>IFERROR(__xludf.DUMMYFUNCTION("""COMPUTED_VALUE"""),"Cluster 6")</f>
        <v>Cluster 6</v>
      </c>
      <c r="Q695" s="4" t="str">
        <f>IFERROR(__xludf.DUMMYFUNCTION("""COMPUTED_VALUE"""),"MAL. HUSSAINI STREET")</f>
        <v>MAL. HUSSAINI STREET</v>
      </c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 t="str">
        <f>IFERROR(__xludf.DUMMYFUNCTION("""COMPUTED_VALUE"""),"Point 1")</f>
        <v>Point 1</v>
      </c>
      <c r="AC695" s="4">
        <f>IFERROR(__xludf.DUMMYFUNCTION("""COMPUTED_VALUE"""),11.977492)</f>
        <v>11.977492</v>
      </c>
      <c r="AD695" s="4">
        <f>IFERROR(__xludf.DUMMYFUNCTION("""COMPUTED_VALUE"""),8.558792)</f>
        <v>8.558792</v>
      </c>
      <c r="AE695" s="5" t="str">
        <f>IFERROR(__xludf.DUMMYFUNCTION("""COMPUTED_VALUE"""),"https://drive.google.com/open?id=1mS9-mrWSTTaoDnr5VehdWJzAR0iYow0I")</f>
        <v>https://drive.google.com/open?id=1mS9-mrWSTTaoDnr5VehdWJzAR0iYow0I</v>
      </c>
      <c r="AF695" s="4"/>
      <c r="AG695" s="4"/>
      <c r="AH695" s="4"/>
      <c r="AI695" s="4"/>
      <c r="AL695" s="4" t="str">
        <f t="shared" si="1"/>
        <v>Cluster 6</v>
      </c>
      <c r="AM695" s="4" t="str">
        <f t="shared" si="2"/>
        <v>MAL. HUSSAINI STREET</v>
      </c>
    </row>
    <row r="696">
      <c r="A696" s="3">
        <f>IFERROR(__xludf.DUMMYFUNCTION("""COMPUTED_VALUE"""),45856.04659846065)</f>
        <v>45856.0466</v>
      </c>
      <c r="B696" s="4" t="str">
        <f>IFERROR(__xludf.DUMMYFUNCTION("""COMPUTED_VALUE"""),"elhabs256@gmail.com")</f>
        <v>elhabs256@gmail.com</v>
      </c>
      <c r="C696" s="4" t="str">
        <f>IFERROR(__xludf.DUMMYFUNCTION("""COMPUTED_VALUE"""),"Abdullahi Elhabeeb")</f>
        <v>Abdullahi Elhabeeb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 t="str">
        <f>IFERROR(__xludf.DUMMYFUNCTION("""COMPUTED_VALUE"""),"Cluster 6")</f>
        <v>Cluster 6</v>
      </c>
      <c r="Q696" s="4" t="str">
        <f>IFERROR(__xludf.DUMMYFUNCTION("""COMPUTED_VALUE"""),"FOUNDATION ROAD")</f>
        <v>FOUNDATION ROAD</v>
      </c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 t="str">
        <f>IFERROR(__xludf.DUMMYFUNCTION("""COMPUTED_VALUE"""),"Point 2")</f>
        <v>Point 2</v>
      </c>
      <c r="AC696" s="4">
        <f>IFERROR(__xludf.DUMMYFUNCTION("""COMPUTED_VALUE"""),11.97757)</f>
        <v>11.97757</v>
      </c>
      <c r="AD696" s="4">
        <f>IFERROR(__xludf.DUMMYFUNCTION("""COMPUTED_VALUE"""),8.549244)</f>
        <v>8.549244</v>
      </c>
      <c r="AE696" s="5" t="str">
        <f>IFERROR(__xludf.DUMMYFUNCTION("""COMPUTED_VALUE"""),"https://drive.google.com/open?id=1YxaXw_crsDqXmaqZt0C9Z1v9YDVLZZao")</f>
        <v>https://drive.google.com/open?id=1YxaXw_crsDqXmaqZt0C9Z1v9YDVLZZao</v>
      </c>
      <c r="AF696" s="4"/>
      <c r="AG696" s="4"/>
      <c r="AH696" s="4"/>
      <c r="AI696" s="4"/>
      <c r="AL696" s="4" t="str">
        <f t="shared" si="1"/>
        <v>Cluster 6</v>
      </c>
      <c r="AM696" s="4" t="str">
        <f t="shared" si="2"/>
        <v>FOUNDATION ROAD</v>
      </c>
    </row>
    <row r="697">
      <c r="A697" s="3">
        <f>IFERROR(__xludf.DUMMYFUNCTION("""COMPUTED_VALUE"""),45856.04524892361)</f>
        <v>45856.04525</v>
      </c>
      <c r="B697" s="4" t="str">
        <f>IFERROR(__xludf.DUMMYFUNCTION("""COMPUTED_VALUE"""),"elhabs256@gmail.com")</f>
        <v>elhabs256@gmail.com</v>
      </c>
      <c r="C697" s="4" t="str">
        <f>IFERROR(__xludf.DUMMYFUNCTION("""COMPUTED_VALUE"""),"Abdullahi Elhabeeb")</f>
        <v>Abdullahi Elhabeeb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 t="str">
        <f>IFERROR(__xludf.DUMMYFUNCTION("""COMPUTED_VALUE"""),"Cluster 6")</f>
        <v>Cluster 6</v>
      </c>
      <c r="Q697" s="4" t="str">
        <f>IFERROR(__xludf.DUMMYFUNCTION("""COMPUTED_VALUE"""),"FOUNDATION ROAD")</f>
        <v>FOUNDATION ROAD</v>
      </c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 t="str">
        <f>IFERROR(__xludf.DUMMYFUNCTION("""COMPUTED_VALUE"""),"Point 1")</f>
        <v>Point 1</v>
      </c>
      <c r="AC697" s="4">
        <f>IFERROR(__xludf.DUMMYFUNCTION("""COMPUTED_VALUE"""),11.976886)</f>
        <v>11.976886</v>
      </c>
      <c r="AD697" s="4">
        <f>IFERROR(__xludf.DUMMYFUNCTION("""COMPUTED_VALUE"""),8.549244)</f>
        <v>8.549244</v>
      </c>
      <c r="AE697" s="5" t="str">
        <f>IFERROR(__xludf.DUMMYFUNCTION("""COMPUTED_VALUE"""),"https://drive.google.com/open?id=1tHSkLw_tTbq1TCdjs6BO7SgnEoJEzcq7")</f>
        <v>https://drive.google.com/open?id=1tHSkLw_tTbq1TCdjs6BO7SgnEoJEzcq7</v>
      </c>
      <c r="AF697" s="4"/>
      <c r="AG697" s="4"/>
      <c r="AH697" s="4"/>
      <c r="AI697" s="4"/>
      <c r="AL697" s="4" t="str">
        <f t="shared" si="1"/>
        <v>Cluster 6</v>
      </c>
      <c r="AM697" s="4" t="str">
        <f t="shared" si="2"/>
        <v>FOUNDATION ROAD</v>
      </c>
    </row>
    <row r="698">
      <c r="A698" s="3">
        <f>IFERROR(__xludf.DUMMYFUNCTION("""COMPUTED_VALUE"""),45856.043520844905)</f>
        <v>45856.04352</v>
      </c>
      <c r="B698" s="4" t="str">
        <f>IFERROR(__xludf.DUMMYFUNCTION("""COMPUTED_VALUE"""),"elhabs256@gmail.com")</f>
        <v>elhabs256@gmail.com</v>
      </c>
      <c r="C698" s="4" t="str">
        <f>IFERROR(__xludf.DUMMYFUNCTION("""COMPUTED_VALUE"""),"Abdullahi Elhabeeb")</f>
        <v>Abdullahi Elhabeeb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 t="str">
        <f>IFERROR(__xludf.DUMMYFUNCTION("""COMPUTED_VALUE"""),"Cluster 6")</f>
        <v>Cluster 6</v>
      </c>
      <c r="Q698" s="4" t="str">
        <f>IFERROR(__xludf.DUMMYFUNCTION("""COMPUTED_VALUE"""),"MAL. BILYA STREET")</f>
        <v>MAL. BILYA STREET</v>
      </c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 t="str">
        <f>IFERROR(__xludf.DUMMYFUNCTION("""COMPUTED_VALUE"""),"Point 2")</f>
        <v>Point 2</v>
      </c>
      <c r="AC698" s="4">
        <f>IFERROR(__xludf.DUMMYFUNCTION("""COMPUTED_VALUE"""),11.977354)</f>
        <v>11.977354</v>
      </c>
      <c r="AD698" s="4">
        <f>IFERROR(__xludf.DUMMYFUNCTION("""COMPUTED_VALUE"""),8.55877)</f>
        <v>8.55877</v>
      </c>
      <c r="AE698" s="5" t="str">
        <f>IFERROR(__xludf.DUMMYFUNCTION("""COMPUTED_VALUE"""),"https://drive.google.com/open?id=1XfERPLZmAQngetUOd_0aRaY6ajtPmGe7")</f>
        <v>https://drive.google.com/open?id=1XfERPLZmAQngetUOd_0aRaY6ajtPmGe7</v>
      </c>
      <c r="AF698" s="4"/>
      <c r="AG698" s="4"/>
      <c r="AH698" s="4"/>
      <c r="AI698" s="4"/>
      <c r="AL698" s="4" t="str">
        <f t="shared" si="1"/>
        <v>Cluster 6</v>
      </c>
      <c r="AM698" s="4" t="str">
        <f t="shared" si="2"/>
        <v>MAL. BILYA STREET</v>
      </c>
    </row>
    <row r="699">
      <c r="A699" s="3">
        <f>IFERROR(__xludf.DUMMYFUNCTION("""COMPUTED_VALUE"""),45856.040969548616)</f>
        <v>45856.04097</v>
      </c>
      <c r="B699" s="4" t="str">
        <f>IFERROR(__xludf.DUMMYFUNCTION("""COMPUTED_VALUE"""),"elhabs256@gmail.com")</f>
        <v>elhabs256@gmail.com</v>
      </c>
      <c r="C699" s="4" t="str">
        <f>IFERROR(__xludf.DUMMYFUNCTION("""COMPUTED_VALUE"""),"Abdullahi Elhabeeb")</f>
        <v>Abdullahi Elhabeeb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 t="str">
        <f>IFERROR(__xludf.DUMMYFUNCTION("""COMPUTED_VALUE"""),"Cluster 6")</f>
        <v>Cluster 6</v>
      </c>
      <c r="Q699" s="4" t="str">
        <f>IFERROR(__xludf.DUMMYFUNCTION("""COMPUTED_VALUE"""),"MAL. BILYA STREET")</f>
        <v>MAL. BILYA STREET</v>
      </c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 t="str">
        <f>IFERROR(__xludf.DUMMYFUNCTION("""COMPUTED_VALUE"""),"Point 1")</f>
        <v>Point 1</v>
      </c>
      <c r="AC699" s="4">
        <f>IFERROR(__xludf.DUMMYFUNCTION("""COMPUTED_VALUE"""),11.976922)</f>
        <v>11.976922</v>
      </c>
      <c r="AD699" s="4">
        <f>IFERROR(__xludf.DUMMYFUNCTION("""COMPUTED_VALUE"""),8.557162)</f>
        <v>8.557162</v>
      </c>
      <c r="AE699" s="5" t="str">
        <f>IFERROR(__xludf.DUMMYFUNCTION("""COMPUTED_VALUE"""),"https://drive.google.com/open?id=1-fXveZaPPMd06QuFnZMr_EmXBKN_UjCk")</f>
        <v>https://drive.google.com/open?id=1-fXveZaPPMd06QuFnZMr_EmXBKN_UjCk</v>
      </c>
      <c r="AF699" s="4"/>
      <c r="AG699" s="4"/>
      <c r="AH699" s="4"/>
      <c r="AI699" s="4"/>
      <c r="AL699" s="4" t="str">
        <f t="shared" si="1"/>
        <v>Cluster 6</v>
      </c>
      <c r="AM699" s="4" t="str">
        <f t="shared" si="2"/>
        <v>MAL. BILYA STREET</v>
      </c>
    </row>
    <row r="700">
      <c r="A700" s="3">
        <f>IFERROR(__xludf.DUMMYFUNCTION("""COMPUTED_VALUE"""),45856.038573136575)</f>
        <v>45856.03857</v>
      </c>
      <c r="B700" s="4" t="str">
        <f>IFERROR(__xludf.DUMMYFUNCTION("""COMPUTED_VALUE"""),"elhabs256@gmail.com")</f>
        <v>elhabs256@gmail.com</v>
      </c>
      <c r="C700" s="4" t="str">
        <f>IFERROR(__xludf.DUMMYFUNCTION("""COMPUTED_VALUE"""),"Abdullahi Elhabeeb")</f>
        <v>Abdullahi Elhabeeb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 t="str">
        <f>IFERROR(__xludf.DUMMYFUNCTION("""COMPUTED_VALUE"""),"Cluster 6")</f>
        <v>Cluster 6</v>
      </c>
      <c r="Q700" s="4" t="str">
        <f>IFERROR(__xludf.DUMMYFUNCTION("""COMPUTED_VALUE"""),"ADO JA'AFAR STREET")</f>
        <v>ADO JA'AFAR STREET</v>
      </c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 t="str">
        <f>IFERROR(__xludf.DUMMYFUNCTION("""COMPUTED_VALUE"""),"Point 2")</f>
        <v>Point 2</v>
      </c>
      <c r="AC700" s="4">
        <f>IFERROR(__xludf.DUMMYFUNCTION("""COMPUTED_VALUE"""),11.96986)</f>
        <v>11.96986</v>
      </c>
      <c r="AD700" s="4">
        <f>IFERROR(__xludf.DUMMYFUNCTION("""COMPUTED_VALUE"""),8.559807)</f>
        <v>8.559807</v>
      </c>
      <c r="AE700" s="5" t="str">
        <f>IFERROR(__xludf.DUMMYFUNCTION("""COMPUTED_VALUE"""),"https://drive.google.com/open?id=1jKwZTOLv6h7pHsmtdUp6LJlRM6ILO1Eb")</f>
        <v>https://drive.google.com/open?id=1jKwZTOLv6h7pHsmtdUp6LJlRM6ILO1Eb</v>
      </c>
      <c r="AF700" s="4"/>
      <c r="AG700" s="4"/>
      <c r="AH700" s="4"/>
      <c r="AI700" s="4"/>
      <c r="AL700" s="4" t="str">
        <f t="shared" si="1"/>
        <v>Cluster 6</v>
      </c>
      <c r="AM700" s="4" t="str">
        <f t="shared" si="2"/>
        <v>ADO JA'AFAR STREET</v>
      </c>
    </row>
    <row r="701">
      <c r="A701" s="3">
        <f>IFERROR(__xludf.DUMMYFUNCTION("""COMPUTED_VALUE"""),45856.037012291665)</f>
        <v>45856.03701</v>
      </c>
      <c r="B701" s="4" t="str">
        <f>IFERROR(__xludf.DUMMYFUNCTION("""COMPUTED_VALUE"""),"elhabs256@gmail.com")</f>
        <v>elhabs256@gmail.com</v>
      </c>
      <c r="C701" s="4" t="str">
        <f>IFERROR(__xludf.DUMMYFUNCTION("""COMPUTED_VALUE"""),"Abdullahi Elhabeeb")</f>
        <v>Abdullahi Elhabeeb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 t="str">
        <f>IFERROR(__xludf.DUMMYFUNCTION("""COMPUTED_VALUE"""),"Cluster 6")</f>
        <v>Cluster 6</v>
      </c>
      <c r="Q701" s="4" t="str">
        <f>IFERROR(__xludf.DUMMYFUNCTION("""COMPUTED_VALUE"""),"ADO JA'AFAR STREET")</f>
        <v>ADO JA'AFAR STREET</v>
      </c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 t="str">
        <f>IFERROR(__xludf.DUMMYFUNCTION("""COMPUTED_VALUE"""),"Point 1")</f>
        <v>Point 1</v>
      </c>
      <c r="AC701" s="4">
        <f>IFERROR(__xludf.DUMMYFUNCTION("""COMPUTED_VALUE"""),11.96986)</f>
        <v>11.96986</v>
      </c>
      <c r="AD701" s="4">
        <f>IFERROR(__xludf.DUMMYFUNCTION("""COMPUTED_VALUE"""),8.562698)</f>
        <v>8.562698</v>
      </c>
      <c r="AE701" s="5" t="str">
        <f>IFERROR(__xludf.DUMMYFUNCTION("""COMPUTED_VALUE"""),"https://drive.google.com/open?id=1GE7wkgUlunkmrkkIIkVN_acDDoKXk99S")</f>
        <v>https://drive.google.com/open?id=1GE7wkgUlunkmrkkIIkVN_acDDoKXk99S</v>
      </c>
      <c r="AF701" s="4"/>
      <c r="AG701" s="4"/>
      <c r="AH701" s="4"/>
      <c r="AI701" s="4"/>
      <c r="AL701" s="4" t="str">
        <f t="shared" si="1"/>
        <v>Cluster 6</v>
      </c>
      <c r="AM701" s="4" t="str">
        <f t="shared" si="2"/>
        <v>ADO JA'AFAR STREET</v>
      </c>
    </row>
    <row r="702">
      <c r="A702" s="3">
        <f>IFERROR(__xludf.DUMMYFUNCTION("""COMPUTED_VALUE"""),45856.034942812505)</f>
        <v>45856.03494</v>
      </c>
      <c r="B702" s="4" t="str">
        <f>IFERROR(__xludf.DUMMYFUNCTION("""COMPUTED_VALUE"""),"elhabs256@gmail.com")</f>
        <v>elhabs256@gmail.com</v>
      </c>
      <c r="C702" s="4" t="str">
        <f>IFERROR(__xludf.DUMMYFUNCTION("""COMPUTED_VALUE"""),"Abdullahi Elhabeeb")</f>
        <v>Abdullahi Elhabeeb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 t="str">
        <f>IFERROR(__xludf.DUMMYFUNCTION("""COMPUTED_VALUE"""),"Cluster 6")</f>
        <v>Cluster 6</v>
      </c>
      <c r="Q702" s="4" t="str">
        <f>IFERROR(__xludf.DUMMYFUNCTION("""COMPUTED_VALUE"""),"TARAUNI MARKET ROAD")</f>
        <v>TARAUNI MARKET ROAD</v>
      </c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 t="str">
        <f>IFERROR(__xludf.DUMMYFUNCTION("""COMPUTED_VALUE"""),"Point 2")</f>
        <v>Point 2</v>
      </c>
      <c r="AC702" s="4">
        <f>IFERROR(__xludf.DUMMYFUNCTION("""COMPUTED_VALUE"""),11.979989)</f>
        <v>11.979989</v>
      </c>
      <c r="AD702" s="4">
        <f>IFERROR(__xludf.DUMMYFUNCTION("""COMPUTED_VALUE"""),8.560751)</f>
        <v>8.560751</v>
      </c>
      <c r="AE702" s="5" t="str">
        <f>IFERROR(__xludf.DUMMYFUNCTION("""COMPUTED_VALUE"""),"https://drive.google.com/open?id=1g5lANzP7Vr-Rtwzz6FttfMsteB4UBGRg")</f>
        <v>https://drive.google.com/open?id=1g5lANzP7Vr-Rtwzz6FttfMsteB4UBGRg</v>
      </c>
      <c r="AF702" s="4"/>
      <c r="AG702" s="4"/>
      <c r="AH702" s="4"/>
      <c r="AI702" s="4"/>
      <c r="AL702" s="4" t="str">
        <f t="shared" si="1"/>
        <v>Cluster 6</v>
      </c>
      <c r="AM702" s="4" t="str">
        <f t="shared" si="2"/>
        <v>TARAUNI MARKET ROAD</v>
      </c>
    </row>
    <row r="703">
      <c r="A703" s="3">
        <f>IFERROR(__xludf.DUMMYFUNCTION("""COMPUTED_VALUE"""),45856.028365590275)</f>
        <v>45856.02837</v>
      </c>
      <c r="B703" s="4" t="str">
        <f>IFERROR(__xludf.DUMMYFUNCTION("""COMPUTED_VALUE"""),"elhabs256@gmail.com")</f>
        <v>elhabs256@gmail.com</v>
      </c>
      <c r="C703" s="4" t="str">
        <f>IFERROR(__xludf.DUMMYFUNCTION("""COMPUTED_VALUE"""),"Abdullahi Elhabeeb")</f>
        <v>Abdullahi Elhabeeb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 t="str">
        <f>IFERROR(__xludf.DUMMYFUNCTION("""COMPUTED_VALUE"""),"Cluster 6")</f>
        <v>Cluster 6</v>
      </c>
      <c r="Q703" s="4" t="str">
        <f>IFERROR(__xludf.DUMMYFUNCTION("""COMPUTED_VALUE"""),"TARAUNI MARKET ROAD")</f>
        <v>TARAUNI MARKET ROAD</v>
      </c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 t="str">
        <f>IFERROR(__xludf.DUMMYFUNCTION("""COMPUTED_VALUE"""),"Point 1")</f>
        <v>Point 1</v>
      </c>
      <c r="AC703" s="4">
        <f>IFERROR(__xludf.DUMMYFUNCTION("""COMPUTED_VALUE"""),11.973295)</f>
        <v>11.973295</v>
      </c>
      <c r="AD703" s="4">
        <f>IFERROR(__xludf.DUMMYFUNCTION("""COMPUTED_VALUE"""),8.560544)</f>
        <v>8.560544</v>
      </c>
      <c r="AE703" s="5" t="str">
        <f>IFERROR(__xludf.DUMMYFUNCTION("""COMPUTED_VALUE"""),"https://drive.google.com/open?id=1e2roHVnz0t-rZ9okAh1ftdGw1TFlFAY6")</f>
        <v>https://drive.google.com/open?id=1e2roHVnz0t-rZ9okAh1ftdGw1TFlFAY6</v>
      </c>
      <c r="AF703" s="4"/>
      <c r="AG703" s="4"/>
      <c r="AH703" s="4"/>
      <c r="AI703" s="4"/>
      <c r="AL703" s="4" t="str">
        <f t="shared" si="1"/>
        <v>Cluster 6</v>
      </c>
      <c r="AM703" s="4" t="str">
        <f t="shared" si="2"/>
        <v>TARAUNI MARKET ROAD</v>
      </c>
    </row>
    <row r="704">
      <c r="A704" s="3">
        <f>IFERROR(__xludf.DUMMYFUNCTION("""COMPUTED_VALUE"""),45855.83797361111)</f>
        <v>45855.83797</v>
      </c>
      <c r="B704" s="4" t="str">
        <f>IFERROR(__xludf.DUMMYFUNCTION("""COMPUTED_VALUE"""),"m.salisushehu18@gmail.com")</f>
        <v>m.salisushehu18@gmail.com</v>
      </c>
      <c r="C704" s="4" t="str">
        <f>IFERROR(__xludf.DUMMYFUNCTION("""COMPUTED_VALUE"""),"Umar Dalhatu")</f>
        <v>Umar Dalhatu</v>
      </c>
      <c r="D704" s="4"/>
      <c r="E704" s="4"/>
      <c r="F704" s="4"/>
      <c r="G704" s="4"/>
      <c r="H704" s="4"/>
      <c r="I704" s="4"/>
      <c r="J704" s="4" t="str">
        <f>IFERROR(__xludf.DUMMYFUNCTION("""COMPUTED_VALUE"""),"Cluster 10")</f>
        <v>Cluster 10</v>
      </c>
      <c r="K704" s="4"/>
      <c r="L704" s="4"/>
      <c r="M704" s="4" t="str">
        <f>IFERROR(__xludf.DUMMYFUNCTION("""COMPUTED_VALUE"""),"MUSTAPHA TELA CLOSE")</f>
        <v>MUSTAPHA TELA CLOSE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 t="str">
        <f>IFERROR(__xludf.DUMMYFUNCTION("""COMPUTED_VALUE"""),"Point 1")</f>
        <v>Point 1</v>
      </c>
      <c r="AC704" s="4">
        <f>IFERROR(__xludf.DUMMYFUNCTION("""COMPUTED_VALUE"""),11.98011822)</f>
        <v>11.98011822</v>
      </c>
      <c r="AD704" s="4">
        <f>IFERROR(__xludf.DUMMYFUNCTION("""COMPUTED_VALUE"""),8.575006416)</f>
        <v>8.575006416</v>
      </c>
      <c r="AE704" s="5" t="str">
        <f>IFERROR(__xludf.DUMMYFUNCTION("""COMPUTED_VALUE"""),"https://drive.google.com/open?id=1o5EnA7AEFRRro0lbUGfYlIJ3K_8-5svY")</f>
        <v>https://drive.google.com/open?id=1o5EnA7AEFRRro0lbUGfYlIJ3K_8-5svY</v>
      </c>
      <c r="AF704" s="4"/>
      <c r="AG704" s="4"/>
      <c r="AH704" s="4"/>
      <c r="AI704" s="4"/>
      <c r="AL704" s="4" t="str">
        <f t="shared" si="1"/>
        <v>Cluster 10</v>
      </c>
      <c r="AM704" s="4" t="str">
        <f t="shared" si="2"/>
        <v>MUSTAPHA TELA CLOSE</v>
      </c>
    </row>
    <row r="705">
      <c r="A705" s="3">
        <f>IFERROR(__xludf.DUMMYFUNCTION("""COMPUTED_VALUE"""),45855.8366250463)</f>
        <v>45855.83663</v>
      </c>
      <c r="B705" s="4" t="str">
        <f>IFERROR(__xludf.DUMMYFUNCTION("""COMPUTED_VALUE"""),"m.salisushehu18@gmail.com")</f>
        <v>m.salisushehu18@gmail.com</v>
      </c>
      <c r="C705" s="4" t="str">
        <f>IFERROR(__xludf.DUMMYFUNCTION("""COMPUTED_VALUE"""),"Umar Dalhatu")</f>
        <v>Umar Dalhatu</v>
      </c>
      <c r="D705" s="4"/>
      <c r="E705" s="4"/>
      <c r="F705" s="4"/>
      <c r="G705" s="4"/>
      <c r="H705" s="4"/>
      <c r="I705" s="4"/>
      <c r="J705" s="4" t="str">
        <f>IFERROR(__xludf.DUMMYFUNCTION("""COMPUTED_VALUE"""),"Cluster 1")</f>
        <v>Cluster 1</v>
      </c>
      <c r="K705" s="4" t="str">
        <f>IFERROR(__xludf.DUMMYFUNCTION("""COMPUTED_VALUE"""),"IZZUDDEEN ABUBAKAR LINK")</f>
        <v>IZZUDDEEN ABUBAKAR LINK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 t="str">
        <f>IFERROR(__xludf.DUMMYFUNCTION("""COMPUTED_VALUE"""),"Point 2")</f>
        <v>Point 2</v>
      </c>
      <c r="AC705" s="4">
        <f>IFERROR(__xludf.DUMMYFUNCTION("""COMPUTED_VALUE"""),11.9944163)</f>
        <v>11.9944163</v>
      </c>
      <c r="AD705" s="4">
        <f>IFERROR(__xludf.DUMMYFUNCTION("""COMPUTED_VALUE"""),8.572159484)</f>
        <v>8.572159484</v>
      </c>
      <c r="AE705" s="5" t="str">
        <f>IFERROR(__xludf.DUMMYFUNCTION("""COMPUTED_VALUE"""),"https://drive.google.com/open?id=1nXmNz-eKrfFTajybbumrp0JWdcAfYf4h")</f>
        <v>https://drive.google.com/open?id=1nXmNz-eKrfFTajybbumrp0JWdcAfYf4h</v>
      </c>
      <c r="AF705" s="4"/>
      <c r="AG705" s="4"/>
      <c r="AH705" s="4"/>
      <c r="AI705" s="4"/>
      <c r="AL705" s="4" t="str">
        <f t="shared" si="1"/>
        <v>Cluster 1</v>
      </c>
      <c r="AM705" s="4" t="str">
        <f t="shared" si="2"/>
        <v>IZZUDDEEN ABUBAKAR LINK</v>
      </c>
    </row>
    <row r="706">
      <c r="A706" s="3">
        <f>IFERROR(__xludf.DUMMYFUNCTION("""COMPUTED_VALUE"""),45855.83543144676)</f>
        <v>45855.83543</v>
      </c>
      <c r="B706" s="4" t="str">
        <f>IFERROR(__xludf.DUMMYFUNCTION("""COMPUTED_VALUE"""),"m.salisushehu18@gmail.com")</f>
        <v>m.salisushehu18@gmail.com</v>
      </c>
      <c r="C706" s="4" t="str">
        <f>IFERROR(__xludf.DUMMYFUNCTION("""COMPUTED_VALUE"""),"Umar Dalhatu")</f>
        <v>Umar Dalhatu</v>
      </c>
      <c r="D706" s="4"/>
      <c r="E706" s="4"/>
      <c r="F706" s="4"/>
      <c r="G706" s="4"/>
      <c r="H706" s="4"/>
      <c r="I706" s="4"/>
      <c r="J706" s="4" t="str">
        <f>IFERROR(__xludf.DUMMYFUNCTION("""COMPUTED_VALUE"""),"Cluster 1")</f>
        <v>Cluster 1</v>
      </c>
      <c r="K706" s="4" t="str">
        <f>IFERROR(__xludf.DUMMYFUNCTION("""COMPUTED_VALUE"""),"IZZUDDEEN ABUBAKAR LINK")</f>
        <v>IZZUDDEEN ABUBAKAR LINK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 t="str">
        <f>IFERROR(__xludf.DUMMYFUNCTION("""COMPUTED_VALUE"""),"Point 1")</f>
        <v>Point 1</v>
      </c>
      <c r="AC706" s="4">
        <f>IFERROR(__xludf.DUMMYFUNCTION("""COMPUTED_VALUE"""),11.99357844)</f>
        <v>11.99357844</v>
      </c>
      <c r="AD706" s="4">
        <f>IFERROR(__xludf.DUMMYFUNCTION("""COMPUTED_VALUE"""),8.572088571)</f>
        <v>8.572088571</v>
      </c>
      <c r="AE706" s="5" t="str">
        <f>IFERROR(__xludf.DUMMYFUNCTION("""COMPUTED_VALUE"""),"https://drive.google.com/open?id=1VitsENYn4hOZFwQsaPtFygDccXk-gFGB")</f>
        <v>https://drive.google.com/open?id=1VitsENYn4hOZFwQsaPtFygDccXk-gFGB</v>
      </c>
      <c r="AF706" s="4"/>
      <c r="AG706" s="4"/>
      <c r="AH706" s="4"/>
      <c r="AI706" s="4"/>
      <c r="AL706" s="4" t="str">
        <f t="shared" si="1"/>
        <v>Cluster 1</v>
      </c>
      <c r="AM706" s="4" t="str">
        <f t="shared" si="2"/>
        <v>IZZUDDEEN ABUBAKAR LINK</v>
      </c>
    </row>
    <row r="707">
      <c r="A707" s="3">
        <f>IFERROR(__xludf.DUMMYFUNCTION("""COMPUTED_VALUE"""),45855.81963082176)</f>
        <v>45855.81963</v>
      </c>
      <c r="B707" s="4" t="str">
        <f>IFERROR(__xludf.DUMMYFUNCTION("""COMPUTED_VALUE"""),"m.salisushehu18@gmail.com")</f>
        <v>m.salisushehu18@gmail.com</v>
      </c>
      <c r="C707" s="4" t="str">
        <f>IFERROR(__xludf.DUMMYFUNCTION("""COMPUTED_VALUE"""),"Umar Dalhatu")</f>
        <v>Umar Dalhatu</v>
      </c>
      <c r="D707" s="4"/>
      <c r="E707" s="4"/>
      <c r="F707" s="4"/>
      <c r="G707" s="4"/>
      <c r="H707" s="4"/>
      <c r="I707" s="4"/>
      <c r="J707" s="4" t="str">
        <f>IFERROR(__xludf.DUMMYFUNCTION("""COMPUTED_VALUE"""),"Cluster 1")</f>
        <v>Cluster 1</v>
      </c>
      <c r="K707" s="4" t="str">
        <f>IFERROR(__xludf.DUMMYFUNCTION("""COMPUTED_VALUE"""),"A.M. PANDA STREET")</f>
        <v>A.M. PANDA STREET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 t="str">
        <f>IFERROR(__xludf.DUMMYFUNCTION("""COMPUTED_VALUE"""),"Point 1")</f>
        <v>Point 1</v>
      </c>
      <c r="AC707" s="4">
        <f>IFERROR(__xludf.DUMMYFUNCTION("""COMPUTED_VALUE"""),11.99629225)</f>
        <v>11.99629225</v>
      </c>
      <c r="AD707" s="4">
        <f>IFERROR(__xludf.DUMMYFUNCTION("""COMPUTED_VALUE"""),8.574767172)</f>
        <v>8.574767172</v>
      </c>
      <c r="AE707" s="5" t="str">
        <f>IFERROR(__xludf.DUMMYFUNCTION("""COMPUTED_VALUE"""),"https://drive.google.com/open?id=1jCcIXzBFhHaRtoWji_tgWTIqV7b_f6bU")</f>
        <v>https://drive.google.com/open?id=1jCcIXzBFhHaRtoWji_tgWTIqV7b_f6bU</v>
      </c>
      <c r="AF707" s="4"/>
      <c r="AG707" s="4"/>
      <c r="AH707" s="4"/>
      <c r="AI707" s="4"/>
      <c r="AL707" s="4" t="str">
        <f t="shared" si="1"/>
        <v>Cluster 1</v>
      </c>
      <c r="AM707" s="4" t="str">
        <f t="shared" si="2"/>
        <v>A.M. PANDA STREET</v>
      </c>
    </row>
    <row r="708">
      <c r="A708" s="3">
        <f>IFERROR(__xludf.DUMMYFUNCTION("""COMPUTED_VALUE"""),45855.814905057865)</f>
        <v>45855.81491</v>
      </c>
      <c r="B708" s="4" t="str">
        <f>IFERROR(__xludf.DUMMYFUNCTION("""COMPUTED_VALUE"""),"m.salisushehu18@gmail.com")</f>
        <v>m.salisushehu18@gmail.com</v>
      </c>
      <c r="C708" s="4" t="str">
        <f>IFERROR(__xludf.DUMMYFUNCTION("""COMPUTED_VALUE"""),"Umar Dalhatu")</f>
        <v>Umar Dalhatu</v>
      </c>
      <c r="D708" s="4"/>
      <c r="E708" s="4"/>
      <c r="F708" s="4"/>
      <c r="G708" s="4"/>
      <c r="H708" s="4"/>
      <c r="I708" s="4"/>
      <c r="J708" s="4" t="str">
        <f>IFERROR(__xludf.DUMMYFUNCTION("""COMPUTED_VALUE"""),"Cluster 1")</f>
        <v>Cluster 1</v>
      </c>
      <c r="K708" s="4" t="str">
        <f>IFERROR(__xludf.DUMMYFUNCTION("""COMPUTED_VALUE"""),"ABDULRAHMAN ABUBAKAR LINK")</f>
        <v>ABDULRAHMAN ABUBAKAR LINK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 t="str">
        <f>IFERROR(__xludf.DUMMYFUNCTION("""COMPUTED_VALUE"""),"Point 1")</f>
        <v>Point 1</v>
      </c>
      <c r="AC708" s="4">
        <f>IFERROR(__xludf.DUMMYFUNCTION("""COMPUTED_VALUE"""),11.99690006)</f>
        <v>11.99690006</v>
      </c>
      <c r="AD708" s="4">
        <f>IFERROR(__xludf.DUMMYFUNCTION("""COMPUTED_VALUE"""),8.571570159)</f>
        <v>8.571570159</v>
      </c>
      <c r="AE708" s="5" t="str">
        <f>IFERROR(__xludf.DUMMYFUNCTION("""COMPUTED_VALUE"""),"https://drive.google.com/open?id=1k-ehv01sfq2aATVfm9jNqAr6tjvhcqfs")</f>
        <v>https://drive.google.com/open?id=1k-ehv01sfq2aATVfm9jNqAr6tjvhcqfs</v>
      </c>
      <c r="AF708" s="4"/>
      <c r="AG708" s="4"/>
      <c r="AH708" s="4"/>
      <c r="AI708" s="4"/>
      <c r="AL708" s="4" t="str">
        <f t="shared" si="1"/>
        <v>Cluster 1</v>
      </c>
      <c r="AM708" s="4" t="str">
        <f t="shared" si="2"/>
        <v>ABDULRAHMAN ABUBAKAR LINK</v>
      </c>
    </row>
    <row r="709">
      <c r="A709" s="3">
        <f>IFERROR(__xludf.DUMMYFUNCTION("""COMPUTED_VALUE"""),45855.81359351852)</f>
        <v>45855.81359</v>
      </c>
      <c r="B709" s="4" t="str">
        <f>IFERROR(__xludf.DUMMYFUNCTION("""COMPUTED_VALUE"""),"m.salisushehu18@gmail.com")</f>
        <v>m.salisushehu18@gmail.com</v>
      </c>
      <c r="C709" s="4" t="str">
        <f>IFERROR(__xludf.DUMMYFUNCTION("""COMPUTED_VALUE"""),"Umar Dalhatu")</f>
        <v>Umar Dalhatu</v>
      </c>
      <c r="D709" s="4"/>
      <c r="E709" s="4"/>
      <c r="F709" s="4"/>
      <c r="G709" s="4"/>
      <c r="H709" s="4"/>
      <c r="I709" s="4"/>
      <c r="J709" s="4" t="str">
        <f>IFERROR(__xludf.DUMMYFUNCTION("""COMPUTED_VALUE"""),"Cluster 1")</f>
        <v>Cluster 1</v>
      </c>
      <c r="K709" s="4" t="str">
        <f>IFERROR(__xludf.DUMMYFUNCTION("""COMPUTED_VALUE"""),"BICHI LINK")</f>
        <v>BICHI LINK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 t="str">
        <f>IFERROR(__xludf.DUMMYFUNCTION("""COMPUTED_VALUE"""),"Point 2")</f>
        <v>Point 2</v>
      </c>
      <c r="AC709" s="4">
        <f>IFERROR(__xludf.DUMMYFUNCTION("""COMPUTED_VALUE"""),11.99574036)</f>
        <v>11.99574036</v>
      </c>
      <c r="AD709" s="4">
        <f>IFERROR(__xludf.DUMMYFUNCTION("""COMPUTED_VALUE"""),8.57262602)</f>
        <v>8.57262602</v>
      </c>
      <c r="AE709" s="5" t="str">
        <f>IFERROR(__xludf.DUMMYFUNCTION("""COMPUTED_VALUE"""),"https://drive.google.com/open?id=1F-iNqufq8UGp4H9pW7VbjF7zxM7E4RJJ")</f>
        <v>https://drive.google.com/open?id=1F-iNqufq8UGp4H9pW7VbjF7zxM7E4RJJ</v>
      </c>
      <c r="AF709" s="4"/>
      <c r="AG709" s="4"/>
      <c r="AH709" s="4"/>
      <c r="AI709" s="4"/>
      <c r="AL709" s="4" t="str">
        <f t="shared" si="1"/>
        <v>Cluster 1</v>
      </c>
      <c r="AM709" s="4" t="str">
        <f t="shared" si="2"/>
        <v>BICHI LINK</v>
      </c>
    </row>
    <row r="710">
      <c r="A710" s="3">
        <f>IFERROR(__xludf.DUMMYFUNCTION("""COMPUTED_VALUE"""),45855.81260533565)</f>
        <v>45855.81261</v>
      </c>
      <c r="B710" s="4" t="str">
        <f>IFERROR(__xludf.DUMMYFUNCTION("""COMPUTED_VALUE"""),"m.salisushehu18@gmail.com")</f>
        <v>m.salisushehu18@gmail.com</v>
      </c>
      <c r="C710" s="4" t="str">
        <f>IFERROR(__xludf.DUMMYFUNCTION("""COMPUTED_VALUE"""),"Umar Dalhatu")</f>
        <v>Umar Dalhatu</v>
      </c>
      <c r="D710" s="4"/>
      <c r="E710" s="4"/>
      <c r="F710" s="4"/>
      <c r="G710" s="4"/>
      <c r="H710" s="4"/>
      <c r="I710" s="4"/>
      <c r="J710" s="4" t="str">
        <f>IFERROR(__xludf.DUMMYFUNCTION("""COMPUTED_VALUE"""),"Cluster 1")</f>
        <v>Cluster 1</v>
      </c>
      <c r="K710" s="4" t="str">
        <f>IFERROR(__xludf.DUMMYFUNCTION("""COMPUTED_VALUE"""),"BICHI LINK")</f>
        <v>BICHI LINK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 t="str">
        <f>IFERROR(__xludf.DUMMYFUNCTION("""COMPUTED_VALUE"""),"Point 1")</f>
        <v>Point 1</v>
      </c>
      <c r="AC710" s="4">
        <f>IFERROR(__xludf.DUMMYFUNCTION("""COMPUTED_VALUE"""),11.99574036)</f>
        <v>11.99574036</v>
      </c>
      <c r="AD710" s="4">
        <f>IFERROR(__xludf.DUMMYFUNCTION("""COMPUTED_VALUE"""),8.57262602)</f>
        <v>8.57262602</v>
      </c>
      <c r="AE710" s="5" t="str">
        <f>IFERROR(__xludf.DUMMYFUNCTION("""COMPUTED_VALUE"""),"https://drive.google.com/open?id=1PCt5ErtuJCQRPLKg90iIzlAzlS-ofCw8")</f>
        <v>https://drive.google.com/open?id=1PCt5ErtuJCQRPLKg90iIzlAzlS-ofCw8</v>
      </c>
      <c r="AF710" s="4"/>
      <c r="AG710" s="4"/>
      <c r="AH710" s="4"/>
      <c r="AI710" s="4"/>
      <c r="AL710" s="4" t="str">
        <f t="shared" si="1"/>
        <v>Cluster 1</v>
      </c>
      <c r="AM710" s="4" t="str">
        <f t="shared" si="2"/>
        <v>BICHI LINK</v>
      </c>
    </row>
    <row r="711">
      <c r="A711" s="3">
        <f>IFERROR(__xludf.DUMMYFUNCTION("""COMPUTED_VALUE"""),45855.72650575232)</f>
        <v>45855.72651</v>
      </c>
      <c r="B711" s="4" t="str">
        <f>IFERROR(__xludf.DUMMYFUNCTION("""COMPUTED_VALUE"""),"m.salisushehu18@gmail.com")</f>
        <v>m.salisushehu18@gmail.com</v>
      </c>
      <c r="C711" s="4" t="str">
        <f>IFERROR(__xludf.DUMMYFUNCTION("""COMPUTED_VALUE"""),"Umar Dalhatu")</f>
        <v>Umar Dalhatu</v>
      </c>
      <c r="D711" s="4"/>
      <c r="E711" s="4"/>
      <c r="F711" s="4"/>
      <c r="G711" s="4"/>
      <c r="H711" s="4"/>
      <c r="I711" s="4"/>
      <c r="J711" s="4" t="str">
        <f>IFERROR(__xludf.DUMMYFUNCTION("""COMPUTED_VALUE"""),"Cluster 1")</f>
        <v>Cluster 1</v>
      </c>
      <c r="K711" s="4" t="str">
        <f>IFERROR(__xludf.DUMMYFUNCTION("""COMPUTED_VALUE"""),"SALIHU GALEEL STREET")</f>
        <v>SALIHU GALEEL STREET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 t="str">
        <f>IFERROR(__xludf.DUMMYFUNCTION("""COMPUTED_VALUE"""),"Point 2")</f>
        <v>Point 2</v>
      </c>
      <c r="AC711" s="4">
        <f>IFERROR(__xludf.DUMMYFUNCTION("""COMPUTED_VALUE"""),11.9951966)</f>
        <v>11.9951966</v>
      </c>
      <c r="AD711" s="4">
        <f>IFERROR(__xludf.DUMMYFUNCTION("""COMPUTED_VALUE"""),8.572100486)</f>
        <v>8.572100486</v>
      </c>
      <c r="AE711" s="5" t="str">
        <f>IFERROR(__xludf.DUMMYFUNCTION("""COMPUTED_VALUE"""),"https://drive.google.com/open?id=1IDZSPkBx_IIro0njyYU4-tF-qsXzjBWb")</f>
        <v>https://drive.google.com/open?id=1IDZSPkBx_IIro0njyYU4-tF-qsXzjBWb</v>
      </c>
      <c r="AF711" s="4"/>
      <c r="AG711" s="4"/>
      <c r="AH711" s="4"/>
      <c r="AI711" s="4"/>
      <c r="AL711" s="4" t="str">
        <f t="shared" si="1"/>
        <v>Cluster 1</v>
      </c>
      <c r="AM711" s="4" t="str">
        <f t="shared" si="2"/>
        <v>SALIHU GALEEL STREET</v>
      </c>
    </row>
    <row r="712">
      <c r="A712" s="3">
        <f>IFERROR(__xludf.DUMMYFUNCTION("""COMPUTED_VALUE"""),45855.725297013894)</f>
        <v>45855.7253</v>
      </c>
      <c r="B712" s="4" t="str">
        <f>IFERROR(__xludf.DUMMYFUNCTION("""COMPUTED_VALUE"""),"m.salisushehu18@gmail.com")</f>
        <v>m.salisushehu18@gmail.com</v>
      </c>
      <c r="C712" s="4" t="str">
        <f>IFERROR(__xludf.DUMMYFUNCTION("""COMPUTED_VALUE"""),"Umar Dalhatu")</f>
        <v>Umar Dalhatu</v>
      </c>
      <c r="D712" s="4"/>
      <c r="E712" s="4"/>
      <c r="F712" s="4"/>
      <c r="G712" s="4"/>
      <c r="H712" s="4"/>
      <c r="I712" s="4"/>
      <c r="J712" s="4" t="str">
        <f>IFERROR(__xludf.DUMMYFUNCTION("""COMPUTED_VALUE"""),"Cluster 1")</f>
        <v>Cluster 1</v>
      </c>
      <c r="K712" s="4" t="str">
        <f>IFERROR(__xludf.DUMMYFUNCTION("""COMPUTED_VALUE"""),"SALIHU GALEEL STREET")</f>
        <v>SALIHU GALEEL STREET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 t="str">
        <f>IFERROR(__xludf.DUMMYFUNCTION("""COMPUTED_VALUE"""),"Point 1")</f>
        <v>Point 1</v>
      </c>
      <c r="AC712" s="4">
        <f>IFERROR(__xludf.DUMMYFUNCTION("""COMPUTED_VALUE"""),11.9951966)</f>
        <v>11.9951966</v>
      </c>
      <c r="AD712" s="4">
        <f>IFERROR(__xludf.DUMMYFUNCTION("""COMPUTED_VALUE"""),8.572100486)</f>
        <v>8.572100486</v>
      </c>
      <c r="AE712" s="5" t="str">
        <f>IFERROR(__xludf.DUMMYFUNCTION("""COMPUTED_VALUE"""),"https://drive.google.com/open?id=1fYFYWX3Iwe73RpvTYMiBp2H0heFzoMvW")</f>
        <v>https://drive.google.com/open?id=1fYFYWX3Iwe73RpvTYMiBp2H0heFzoMvW</v>
      </c>
      <c r="AF712" s="4"/>
      <c r="AG712" s="4"/>
      <c r="AH712" s="4"/>
      <c r="AI712" s="4"/>
      <c r="AL712" s="4" t="str">
        <f t="shared" si="1"/>
        <v>Cluster 1</v>
      </c>
      <c r="AM712" s="4" t="str">
        <f t="shared" si="2"/>
        <v>SALIHU GALEEL STREET</v>
      </c>
    </row>
    <row r="713">
      <c r="A713" s="3">
        <f>IFERROR(__xludf.DUMMYFUNCTION("""COMPUTED_VALUE"""),45855.39865017361)</f>
        <v>45855.39865</v>
      </c>
      <c r="B713" s="4" t="str">
        <f>IFERROR(__xludf.DUMMYFUNCTION("""COMPUTED_VALUE"""),"elhabs256@gmail.com")</f>
        <v>elhabs256@gmail.com</v>
      </c>
      <c r="C713" s="4" t="str">
        <f>IFERROR(__xludf.DUMMYFUNCTION("""COMPUTED_VALUE"""),"Abdullahi Elhabeeb")</f>
        <v>Abdullahi Elhabeeb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 t="str">
        <f>IFERROR(__xludf.DUMMYFUNCTION("""COMPUTED_VALUE"""),"Cluster 16")</f>
        <v>Cluster 16</v>
      </c>
      <c r="Q713" s="4"/>
      <c r="R713" s="4"/>
      <c r="S713" s="4" t="str">
        <f>IFERROR(__xludf.DUMMYFUNCTION("""COMPUTED_VALUE"""),"IBRAHIM UMAR STREET")</f>
        <v>IBRAHIM UMAR STREET</v>
      </c>
      <c r="T713" s="4"/>
      <c r="U713" s="4"/>
      <c r="V713" s="4"/>
      <c r="W713" s="4"/>
      <c r="X713" s="4"/>
      <c r="Y713" s="4"/>
      <c r="Z713" s="4"/>
      <c r="AA713" s="4"/>
      <c r="AB713" s="4" t="str">
        <f>IFERROR(__xludf.DUMMYFUNCTION("""COMPUTED_VALUE"""),"Point 2")</f>
        <v>Point 2</v>
      </c>
      <c r="AC713" s="4">
        <f>IFERROR(__xludf.DUMMYFUNCTION("""COMPUTED_VALUE"""),11.97592)</f>
        <v>11.97592</v>
      </c>
      <c r="AD713" s="4">
        <f>IFERROR(__xludf.DUMMYFUNCTION("""COMPUTED_VALUE"""),8.538696)</f>
        <v>8.538696</v>
      </c>
      <c r="AE713" s="5" t="str">
        <f>IFERROR(__xludf.DUMMYFUNCTION("""COMPUTED_VALUE"""),"https://drive.google.com/open?id=10u4HQrJqstHzI0bSzdnvwmT--HR5m-Au")</f>
        <v>https://drive.google.com/open?id=10u4HQrJqstHzI0bSzdnvwmT--HR5m-Au</v>
      </c>
      <c r="AF713" s="4"/>
      <c r="AG713" s="4"/>
      <c r="AH713" s="4"/>
      <c r="AI713" s="4"/>
      <c r="AL713" s="4" t="str">
        <f t="shared" si="1"/>
        <v>Cluster 16</v>
      </c>
      <c r="AM713" s="4" t="str">
        <f t="shared" si="2"/>
        <v>IBRAHIM UMAR STREET</v>
      </c>
    </row>
    <row r="714">
      <c r="A714" s="3">
        <f>IFERROR(__xludf.DUMMYFUNCTION("""COMPUTED_VALUE"""),45855.397545451386)</f>
        <v>45855.39755</v>
      </c>
      <c r="B714" s="4" t="str">
        <f>IFERROR(__xludf.DUMMYFUNCTION("""COMPUTED_VALUE"""),"elhabs256@gmail.com")</f>
        <v>elhabs256@gmail.com</v>
      </c>
      <c r="C714" s="4" t="str">
        <f>IFERROR(__xludf.DUMMYFUNCTION("""COMPUTED_VALUE"""),"Abdullahi Elhabeeb")</f>
        <v>Abdullahi Elhabeeb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 t="str">
        <f>IFERROR(__xludf.DUMMYFUNCTION("""COMPUTED_VALUE"""),"Cluster 16")</f>
        <v>Cluster 16</v>
      </c>
      <c r="Q714" s="4"/>
      <c r="R714" s="4"/>
      <c r="S714" s="4" t="str">
        <f>IFERROR(__xludf.DUMMYFUNCTION("""COMPUTED_VALUE"""),"IBRAHIM UMAR STREET")</f>
        <v>IBRAHIM UMAR STREET</v>
      </c>
      <c r="T714" s="4"/>
      <c r="U714" s="4"/>
      <c r="V714" s="4"/>
      <c r="W714" s="4"/>
      <c r="X714" s="4"/>
      <c r="Y714" s="4"/>
      <c r="Z714" s="4"/>
      <c r="AA714" s="4"/>
      <c r="AB714" s="4" t="str">
        <f>IFERROR(__xludf.DUMMYFUNCTION("""COMPUTED_VALUE"""),"Point 1")</f>
        <v>Point 1</v>
      </c>
      <c r="AC714" s="4">
        <f>IFERROR(__xludf.DUMMYFUNCTION("""COMPUTED_VALUE"""),11.97592)</f>
        <v>11.97592</v>
      </c>
      <c r="AD714" s="4">
        <f>IFERROR(__xludf.DUMMYFUNCTION("""COMPUTED_VALUE"""),8.538696)</f>
        <v>8.538696</v>
      </c>
      <c r="AE714" s="5" t="str">
        <f>IFERROR(__xludf.DUMMYFUNCTION("""COMPUTED_VALUE"""),"https://drive.google.com/open?id=1YEzDDIBkCi0D7LfdkCaPc4306qOfrnqT")</f>
        <v>https://drive.google.com/open?id=1YEzDDIBkCi0D7LfdkCaPc4306qOfrnqT</v>
      </c>
      <c r="AF714" s="4"/>
      <c r="AG714" s="4"/>
      <c r="AH714" s="4"/>
      <c r="AI714" s="4"/>
      <c r="AL714" s="4" t="str">
        <f t="shared" si="1"/>
        <v>Cluster 16</v>
      </c>
      <c r="AM714" s="4" t="str">
        <f t="shared" si="2"/>
        <v>IBRAHIM UMAR STREET</v>
      </c>
    </row>
    <row r="715">
      <c r="A715" s="3">
        <f>IFERROR(__xludf.DUMMYFUNCTION("""COMPUTED_VALUE"""),45855.39528748843)</f>
        <v>45855.39529</v>
      </c>
      <c r="B715" s="4" t="str">
        <f>IFERROR(__xludf.DUMMYFUNCTION("""COMPUTED_VALUE"""),"elhabs256@gmail.com")</f>
        <v>elhabs256@gmail.com</v>
      </c>
      <c r="C715" s="4" t="str">
        <f>IFERROR(__xludf.DUMMYFUNCTION("""COMPUTED_VALUE"""),"Abdullahi Elhabeeb")</f>
        <v>Abdullahi Elhabeeb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 t="str">
        <f>IFERROR(__xludf.DUMMYFUNCTION("""COMPUTED_VALUE"""),"Cluster 16")</f>
        <v>Cluster 16</v>
      </c>
      <c r="Q715" s="4"/>
      <c r="R715" s="4"/>
      <c r="S715" s="4" t="str">
        <f>IFERROR(__xludf.DUMMYFUNCTION("""COMPUTED_VALUE"""),"BAWO ROAD")</f>
        <v>BAWO ROAD</v>
      </c>
      <c r="T715" s="4"/>
      <c r="U715" s="4"/>
      <c r="V715" s="4"/>
      <c r="W715" s="4"/>
      <c r="X715" s="4"/>
      <c r="Y715" s="4"/>
      <c r="Z715" s="4"/>
      <c r="AA715" s="4"/>
      <c r="AB715" s="4" t="str">
        <f>IFERROR(__xludf.DUMMYFUNCTION("""COMPUTED_VALUE"""),"Point 2")</f>
        <v>Point 2</v>
      </c>
      <c r="AC715" s="4">
        <f>IFERROR(__xludf.DUMMYFUNCTION("""COMPUTED_VALUE"""),11.96756)</f>
        <v>11.96756</v>
      </c>
      <c r="AD715" s="4">
        <f>IFERROR(__xludf.DUMMYFUNCTION("""COMPUTED_VALUE"""),8.536651)</f>
        <v>8.536651</v>
      </c>
      <c r="AE715" s="5" t="str">
        <f>IFERROR(__xludf.DUMMYFUNCTION("""COMPUTED_VALUE"""),"https://drive.google.com/open?id=15-hDgzBEXpf8GrfyEZBr3SkBqlWY-2GN")</f>
        <v>https://drive.google.com/open?id=15-hDgzBEXpf8GrfyEZBr3SkBqlWY-2GN</v>
      </c>
      <c r="AF715" s="4"/>
      <c r="AG715" s="4"/>
      <c r="AH715" s="4"/>
      <c r="AI715" s="4"/>
      <c r="AL715" s="4" t="str">
        <f t="shared" si="1"/>
        <v>Cluster 16</v>
      </c>
      <c r="AM715" s="4" t="str">
        <f t="shared" si="2"/>
        <v>BAWO ROAD</v>
      </c>
    </row>
    <row r="716">
      <c r="A716" s="3">
        <f>IFERROR(__xludf.DUMMYFUNCTION("""COMPUTED_VALUE"""),45855.394000879634)</f>
        <v>45855.394</v>
      </c>
      <c r="B716" s="4" t="str">
        <f>IFERROR(__xludf.DUMMYFUNCTION("""COMPUTED_VALUE"""),"elhabs256@gmail.com")</f>
        <v>elhabs256@gmail.com</v>
      </c>
      <c r="C716" s="4" t="str">
        <f>IFERROR(__xludf.DUMMYFUNCTION("""COMPUTED_VALUE"""),"Abdullahi Elhabeeb")</f>
        <v>Abdullahi Elhabeeb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 t="str">
        <f>IFERROR(__xludf.DUMMYFUNCTION("""COMPUTED_VALUE"""),"Cluster 16")</f>
        <v>Cluster 16</v>
      </c>
      <c r="Q716" s="4"/>
      <c r="R716" s="4"/>
      <c r="S716" s="4" t="str">
        <f>IFERROR(__xludf.DUMMYFUNCTION("""COMPUTED_VALUE"""),"BAWO ROAD")</f>
        <v>BAWO ROAD</v>
      </c>
      <c r="T716" s="4"/>
      <c r="U716" s="4"/>
      <c r="V716" s="4"/>
      <c r="W716" s="4"/>
      <c r="X716" s="4"/>
      <c r="Y716" s="4"/>
      <c r="Z716" s="4"/>
      <c r="AA716" s="4"/>
      <c r="AB716" s="4" t="str">
        <f>IFERROR(__xludf.DUMMYFUNCTION("""COMPUTED_VALUE"""),"Point 1")</f>
        <v>Point 1</v>
      </c>
      <c r="AC716" s="4">
        <f>IFERROR(__xludf.DUMMYFUNCTION("""COMPUTED_VALUE"""),11.96756)</f>
        <v>11.96756</v>
      </c>
      <c r="AD716" s="4">
        <f>IFERROR(__xludf.DUMMYFUNCTION("""COMPUTED_VALUE"""),8.536651)</f>
        <v>8.536651</v>
      </c>
      <c r="AE716" s="5" t="str">
        <f>IFERROR(__xludf.DUMMYFUNCTION("""COMPUTED_VALUE"""),"https://drive.google.com/open?id=1X9Ftr5F8j-ljHJd4F6w-6bqJnlXzciYW")</f>
        <v>https://drive.google.com/open?id=1X9Ftr5F8j-ljHJd4F6w-6bqJnlXzciYW</v>
      </c>
      <c r="AF716" s="4"/>
      <c r="AG716" s="4"/>
      <c r="AH716" s="4"/>
      <c r="AI716" s="4"/>
      <c r="AL716" s="4" t="str">
        <f t="shared" si="1"/>
        <v>Cluster 16</v>
      </c>
      <c r="AM716" s="4" t="str">
        <f t="shared" si="2"/>
        <v>BAWO ROAD</v>
      </c>
    </row>
    <row r="717">
      <c r="A717" s="3">
        <f>IFERROR(__xludf.DUMMYFUNCTION("""COMPUTED_VALUE"""),45855.392376585645)</f>
        <v>45855.39238</v>
      </c>
      <c r="B717" s="4" t="str">
        <f>IFERROR(__xludf.DUMMYFUNCTION("""COMPUTED_VALUE"""),"elhabs256@gmail.com")</f>
        <v>elhabs256@gmail.com</v>
      </c>
      <c r="C717" s="4" t="str">
        <f>IFERROR(__xludf.DUMMYFUNCTION("""COMPUTED_VALUE"""),"Abdullahi Elhabeeb")</f>
        <v>Abdullahi Elhabeeb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 t="str">
        <f>IFERROR(__xludf.DUMMYFUNCTION("""COMPUTED_VALUE"""),"Cluster 16")</f>
        <v>Cluster 16</v>
      </c>
      <c r="Q717" s="4"/>
      <c r="R717" s="4"/>
      <c r="S717" s="4" t="str">
        <f>IFERROR(__xludf.DUMMYFUNCTION("""COMPUTED_VALUE"""),"19TH LINK")</f>
        <v>19TH LINK</v>
      </c>
      <c r="T717" s="4"/>
      <c r="U717" s="4"/>
      <c r="V717" s="4"/>
      <c r="W717" s="4"/>
      <c r="X717" s="4"/>
      <c r="Y717" s="4"/>
      <c r="Z717" s="4"/>
      <c r="AA717" s="4"/>
      <c r="AB717" s="4" t="str">
        <f>IFERROR(__xludf.DUMMYFUNCTION("""COMPUTED_VALUE"""),"Point 1")</f>
        <v>Point 1</v>
      </c>
      <c r="AC717" s="4">
        <f>IFERROR(__xludf.DUMMYFUNCTION("""COMPUTED_VALUE"""),11.97015)</f>
        <v>11.97015</v>
      </c>
      <c r="AD717" s="4">
        <f>IFERROR(__xludf.DUMMYFUNCTION("""COMPUTED_VALUE"""),8.537989)</f>
        <v>8.537989</v>
      </c>
      <c r="AE717" s="5" t="str">
        <f>IFERROR(__xludf.DUMMYFUNCTION("""COMPUTED_VALUE"""),"https://drive.google.com/open?id=1iJGE8FFl0RC5i05z05QeOeu633ujRtbb")</f>
        <v>https://drive.google.com/open?id=1iJGE8FFl0RC5i05z05QeOeu633ujRtbb</v>
      </c>
      <c r="AF717" s="4"/>
      <c r="AG717" s="4"/>
      <c r="AH717" s="4"/>
      <c r="AI717" s="4"/>
      <c r="AL717" s="4" t="str">
        <f t="shared" si="1"/>
        <v>Cluster 16</v>
      </c>
      <c r="AM717" s="4" t="str">
        <f t="shared" si="2"/>
        <v>19TH LINK</v>
      </c>
    </row>
    <row r="718">
      <c r="A718" s="3">
        <f>IFERROR(__xludf.DUMMYFUNCTION("""COMPUTED_VALUE"""),45855.39057523148)</f>
        <v>45855.39058</v>
      </c>
      <c r="B718" s="4" t="str">
        <f>IFERROR(__xludf.DUMMYFUNCTION("""COMPUTED_VALUE"""),"elhabs256@gmail.com")</f>
        <v>elhabs256@gmail.com</v>
      </c>
      <c r="C718" s="4" t="str">
        <f>IFERROR(__xludf.DUMMYFUNCTION("""COMPUTED_VALUE"""),"Abdullahi Elhabeeb")</f>
        <v>Abdullahi Elhabeeb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 t="str">
        <f>IFERROR(__xludf.DUMMYFUNCTION("""COMPUTED_VALUE"""),"Cluster 16")</f>
        <v>Cluster 16</v>
      </c>
      <c r="Q718" s="4"/>
      <c r="R718" s="4"/>
      <c r="S718" s="4" t="str">
        <f>IFERROR(__xludf.DUMMYFUNCTION("""COMPUTED_VALUE"""),"LAWAN NA'ALLAH STREET")</f>
        <v>LAWAN NA'ALLAH STREET</v>
      </c>
      <c r="T718" s="4"/>
      <c r="U718" s="4"/>
      <c r="V718" s="4"/>
      <c r="W718" s="4"/>
      <c r="X718" s="4"/>
      <c r="Y718" s="4"/>
      <c r="Z718" s="4"/>
      <c r="AA718" s="4"/>
      <c r="AB718" s="4" t="str">
        <f>IFERROR(__xludf.DUMMYFUNCTION("""COMPUTED_VALUE"""),"Point 2")</f>
        <v>Point 2</v>
      </c>
      <c r="AC718" s="4">
        <f>IFERROR(__xludf.DUMMYFUNCTION("""COMPUTED_VALUE"""),11.9748)</f>
        <v>11.9748</v>
      </c>
      <c r="AD718" s="4">
        <f>IFERROR(__xludf.DUMMYFUNCTION("""COMPUTED_VALUE"""),8.53734)</f>
        <v>8.53734</v>
      </c>
      <c r="AE718" s="5" t="str">
        <f>IFERROR(__xludf.DUMMYFUNCTION("""COMPUTED_VALUE"""),"https://drive.google.com/open?id=1H5gSAsVMO5HGQfdgit8M3Gmrr983SXYK")</f>
        <v>https://drive.google.com/open?id=1H5gSAsVMO5HGQfdgit8M3Gmrr983SXYK</v>
      </c>
      <c r="AF718" s="4"/>
      <c r="AG718" s="4"/>
      <c r="AH718" s="4"/>
      <c r="AI718" s="4"/>
      <c r="AL718" s="4" t="str">
        <f t="shared" si="1"/>
        <v>Cluster 16</v>
      </c>
      <c r="AM718" s="4" t="str">
        <f t="shared" si="2"/>
        <v>LAWAN NA'ALLAH STREET</v>
      </c>
    </row>
    <row r="719">
      <c r="A719" s="3">
        <f>IFERROR(__xludf.DUMMYFUNCTION("""COMPUTED_VALUE"""),45855.38929097222)</f>
        <v>45855.38929</v>
      </c>
      <c r="B719" s="4" t="str">
        <f>IFERROR(__xludf.DUMMYFUNCTION("""COMPUTED_VALUE"""),"elhabs256@gmail.com")</f>
        <v>elhabs256@gmail.com</v>
      </c>
      <c r="C719" s="4" t="str">
        <f>IFERROR(__xludf.DUMMYFUNCTION("""COMPUTED_VALUE"""),"Abdullahi Elhabeeb")</f>
        <v>Abdullahi Elhabeeb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 t="str">
        <f>IFERROR(__xludf.DUMMYFUNCTION("""COMPUTED_VALUE"""),"Cluster 16")</f>
        <v>Cluster 16</v>
      </c>
      <c r="Q719" s="4"/>
      <c r="R719" s="4"/>
      <c r="S719" s="4" t="str">
        <f>IFERROR(__xludf.DUMMYFUNCTION("""COMPUTED_VALUE"""),"LAWAN NA'ALLAH STREET")</f>
        <v>LAWAN NA'ALLAH STREET</v>
      </c>
      <c r="T719" s="4"/>
      <c r="U719" s="4"/>
      <c r="V719" s="4"/>
      <c r="W719" s="4"/>
      <c r="X719" s="4"/>
      <c r="Y719" s="4"/>
      <c r="Z719" s="4"/>
      <c r="AA719" s="4"/>
      <c r="AB719" s="4" t="str">
        <f>IFERROR(__xludf.DUMMYFUNCTION("""COMPUTED_VALUE"""),"Point 1")</f>
        <v>Point 1</v>
      </c>
      <c r="AC719" s="4">
        <f>IFERROR(__xludf.DUMMYFUNCTION("""COMPUTED_VALUE"""),8.53734)</f>
        <v>8.53734</v>
      </c>
      <c r="AD719" s="4">
        <f>IFERROR(__xludf.DUMMYFUNCTION("""COMPUTED_VALUE"""),11.9748)</f>
        <v>11.9748</v>
      </c>
      <c r="AE719" s="5" t="str">
        <f>IFERROR(__xludf.DUMMYFUNCTION("""COMPUTED_VALUE"""),"https://drive.google.com/open?id=1_Gbf0SkTIcHOnNIw2TlavubZvN-tUuEu")</f>
        <v>https://drive.google.com/open?id=1_Gbf0SkTIcHOnNIw2TlavubZvN-tUuEu</v>
      </c>
      <c r="AF719" s="4"/>
      <c r="AG719" s="4"/>
      <c r="AH719" s="4"/>
      <c r="AI719" s="4"/>
      <c r="AL719" s="4" t="str">
        <f t="shared" si="1"/>
        <v>Cluster 16</v>
      </c>
      <c r="AM719" s="4" t="str">
        <f t="shared" si="2"/>
        <v>LAWAN NA'ALLAH STREET</v>
      </c>
    </row>
    <row r="720">
      <c r="A720" s="3">
        <f>IFERROR(__xludf.DUMMYFUNCTION("""COMPUTED_VALUE"""),45855.38713754629)</f>
        <v>45855.38714</v>
      </c>
      <c r="B720" s="4" t="str">
        <f>IFERROR(__xludf.DUMMYFUNCTION("""COMPUTED_VALUE"""),"elhabs256@gmail.com")</f>
        <v>elhabs256@gmail.com</v>
      </c>
      <c r="C720" s="4" t="str">
        <f>IFERROR(__xludf.DUMMYFUNCTION("""COMPUTED_VALUE"""),"Abdullahi Elhabeeb")</f>
        <v>Abdullahi Elhabeeb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 t="str">
        <f>IFERROR(__xludf.DUMMYFUNCTION("""COMPUTED_VALUE"""),"Cluster 16")</f>
        <v>Cluster 16</v>
      </c>
      <c r="Q720" s="4"/>
      <c r="R720" s="4"/>
      <c r="S720" s="4" t="str">
        <f>IFERROR(__xludf.DUMMYFUNCTION("""COMPUTED_VALUE"""),"ISAH KAITA ROAD")</f>
        <v>ISAH KAITA ROAD</v>
      </c>
      <c r="T720" s="4"/>
      <c r="U720" s="4"/>
      <c r="V720" s="4"/>
      <c r="W720" s="4"/>
      <c r="X720" s="4"/>
      <c r="Y720" s="4"/>
      <c r="Z720" s="4"/>
      <c r="AA720" s="4"/>
      <c r="AB720" s="4" t="str">
        <f>IFERROR(__xludf.DUMMYFUNCTION("""COMPUTED_VALUE"""),"Point 2")</f>
        <v>Point 2</v>
      </c>
      <c r="AC720" s="4">
        <f>IFERROR(__xludf.DUMMYFUNCTION("""COMPUTED_VALUE"""),11.97024)</f>
        <v>11.97024</v>
      </c>
      <c r="AD720" s="4">
        <f>IFERROR(__xludf.DUMMYFUNCTION("""COMPUTED_VALUE"""),8.535393)</f>
        <v>8.535393</v>
      </c>
      <c r="AE720" s="5" t="str">
        <f>IFERROR(__xludf.DUMMYFUNCTION("""COMPUTED_VALUE"""),"https://drive.google.com/open?id=14NZ91MkKchpk7rq91yPAERvBRsxCBExE")</f>
        <v>https://drive.google.com/open?id=14NZ91MkKchpk7rq91yPAERvBRsxCBExE</v>
      </c>
      <c r="AF720" s="4"/>
      <c r="AG720" s="4"/>
      <c r="AH720" s="4"/>
      <c r="AI720" s="4"/>
      <c r="AL720" s="4" t="str">
        <f t="shared" si="1"/>
        <v>Cluster 16</v>
      </c>
      <c r="AM720" s="4" t="str">
        <f t="shared" si="2"/>
        <v>ISAH KAITA ROAD</v>
      </c>
    </row>
    <row r="721">
      <c r="A721" s="3">
        <f>IFERROR(__xludf.DUMMYFUNCTION("""COMPUTED_VALUE"""),45853.5618916088)</f>
        <v>45853.56189</v>
      </c>
      <c r="B721" s="4" t="str">
        <f>IFERROR(__xludf.DUMMYFUNCTION("""COMPUTED_VALUE"""),"elhabs256@gmail.com")</f>
        <v>elhabs256@gmail.com</v>
      </c>
      <c r="C721" s="4" t="str">
        <f>IFERROR(__xludf.DUMMYFUNCTION("""COMPUTED_VALUE"""),"Abdullahi Elhabeeb")</f>
        <v>Abdullahi Elhabeeb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 t="str">
        <f>IFERROR(__xludf.DUMMYFUNCTION("""COMPUTED_VALUE"""),"Cluster 2")</f>
        <v>Cluster 2</v>
      </c>
      <c r="Q721" s="4"/>
      <c r="R721" s="4" t="str">
        <f>IFERROR(__xludf.DUMMYFUNCTION("""COMPUTED_VALUE"""),"IBRAHIM TAIWO ROAD")</f>
        <v>IBRAHIM TAIWO ROAD</v>
      </c>
      <c r="S721" s="4"/>
      <c r="T721" s="4"/>
      <c r="U721" s="4"/>
      <c r="V721" s="4"/>
      <c r="W721" s="4"/>
      <c r="X721" s="4"/>
      <c r="Y721" s="4"/>
      <c r="Z721" s="4"/>
      <c r="AA721" s="4"/>
      <c r="AB721" s="4" t="str">
        <f>IFERROR(__xludf.DUMMYFUNCTION("""COMPUTED_VALUE"""),"Point 1")</f>
        <v>Point 1</v>
      </c>
      <c r="AC721" s="4">
        <f>IFERROR(__xludf.DUMMYFUNCTION("""COMPUTED_VALUE"""),11.9895)</f>
        <v>11.9895</v>
      </c>
      <c r="AD721" s="4">
        <f>IFERROR(__xludf.DUMMYFUNCTION("""COMPUTED_VALUE"""),8.53414)</f>
        <v>8.53414</v>
      </c>
      <c r="AE721" s="5" t="str">
        <f>IFERROR(__xludf.DUMMYFUNCTION("""COMPUTED_VALUE"""),"https://drive.google.com/open?id=17Zw8YArcMiNYbFevfXNnrOz5Kg1NSzpN")</f>
        <v>https://drive.google.com/open?id=17Zw8YArcMiNYbFevfXNnrOz5Kg1NSzpN</v>
      </c>
      <c r="AF721" s="4"/>
      <c r="AG721" s="4"/>
      <c r="AH721" s="4"/>
      <c r="AI721" s="4"/>
      <c r="AL721" s="4" t="str">
        <f t="shared" si="1"/>
        <v>Cluster 2</v>
      </c>
      <c r="AM721" s="4" t="str">
        <f t="shared" si="2"/>
        <v>IBRAHIM TAIWO ROAD</v>
      </c>
    </row>
    <row r="722">
      <c r="A722" s="3">
        <f>IFERROR(__xludf.DUMMYFUNCTION("""COMPUTED_VALUE"""),45853.54478604167)</f>
        <v>45853.54479</v>
      </c>
      <c r="B722" s="4" t="str">
        <f>IFERROR(__xludf.DUMMYFUNCTION("""COMPUTED_VALUE"""),"elhabs256@gmail.com")</f>
        <v>elhabs256@gmail.com</v>
      </c>
      <c r="C722" s="4" t="str">
        <f>IFERROR(__xludf.DUMMYFUNCTION("""COMPUTED_VALUE"""),"Abdullahi Elhabeeb")</f>
        <v>Abdullahi Elhabeeb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 t="str">
        <f>IFERROR(__xludf.DUMMYFUNCTION("""COMPUTED_VALUE"""),"Cluster 2")</f>
        <v>Cluster 2</v>
      </c>
      <c r="Q722" s="4"/>
      <c r="R722" s="4" t="str">
        <f>IFERROR(__xludf.DUMMYFUNCTION("""COMPUTED_VALUE"""),"IBRAHIM TAIWO ROAD")</f>
        <v>IBRAHIM TAIWO ROAD</v>
      </c>
      <c r="S722" s="4"/>
      <c r="T722" s="4"/>
      <c r="U722" s="4"/>
      <c r="V722" s="4"/>
      <c r="W722" s="4"/>
      <c r="X722" s="4"/>
      <c r="Y722" s="4"/>
      <c r="Z722" s="4"/>
      <c r="AA722" s="4"/>
      <c r="AB722" s="4" t="str">
        <f>IFERROR(__xludf.DUMMYFUNCTION("""COMPUTED_VALUE"""),"Point 2")</f>
        <v>Point 2</v>
      </c>
      <c r="AC722" s="4">
        <f>IFERROR(__xludf.DUMMYFUNCTION("""COMPUTED_VALUE"""),11.99366)</f>
        <v>11.99366</v>
      </c>
      <c r="AD722" s="4">
        <f>IFERROR(__xludf.DUMMYFUNCTION("""COMPUTED_VALUE"""),8.533535)</f>
        <v>8.533535</v>
      </c>
      <c r="AE722" s="5" t="str">
        <f>IFERROR(__xludf.DUMMYFUNCTION("""COMPUTED_VALUE"""),"https://drive.google.com/open?id=1zQm6y7zpjeYm063MiGUVioYw_lTp7GiW")</f>
        <v>https://drive.google.com/open?id=1zQm6y7zpjeYm063MiGUVioYw_lTp7GiW</v>
      </c>
      <c r="AF722" s="4"/>
      <c r="AG722" s="4"/>
      <c r="AH722" s="4"/>
      <c r="AI722" s="4"/>
      <c r="AL722" s="4" t="str">
        <f t="shared" si="1"/>
        <v>Cluster 2</v>
      </c>
      <c r="AM722" s="4" t="str">
        <f t="shared" si="2"/>
        <v>IBRAHIM TAIWO ROAD</v>
      </c>
    </row>
    <row r="723">
      <c r="A723" s="3">
        <f>IFERROR(__xludf.DUMMYFUNCTION("""COMPUTED_VALUE"""),45853.543514907404)</f>
        <v>45853.54351</v>
      </c>
      <c r="B723" s="4" t="str">
        <f>IFERROR(__xludf.DUMMYFUNCTION("""COMPUTED_VALUE"""),"elhabs256@gmail.com")</f>
        <v>elhabs256@gmail.com</v>
      </c>
      <c r="C723" s="4" t="str">
        <f>IFERROR(__xludf.DUMMYFUNCTION("""COMPUTED_VALUE"""),"Abdullahi Elhabeeb")</f>
        <v>Abdullahi Elhabeeb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 t="str">
        <f>IFERROR(__xludf.DUMMYFUNCTION("""COMPUTED_VALUE"""),"Cluster 2")</f>
        <v>Cluster 2</v>
      </c>
      <c r="Q723" s="4"/>
      <c r="R723" s="4" t="str">
        <f>IFERROR(__xludf.DUMMYFUNCTION("""COMPUTED_VALUE"""),"IBRAHIM TAIWO ROAD")</f>
        <v>IBRAHIM TAIWO ROAD</v>
      </c>
      <c r="S723" s="4"/>
      <c r="T723" s="4"/>
      <c r="U723" s="4"/>
      <c r="V723" s="4"/>
      <c r="W723" s="4"/>
      <c r="X723" s="4"/>
      <c r="Y723" s="4"/>
      <c r="Z723" s="4"/>
      <c r="AA723" s="4"/>
      <c r="AB723" s="4" t="str">
        <f>IFERROR(__xludf.DUMMYFUNCTION("""COMPUTED_VALUE"""),"Point 1")</f>
        <v>Point 1</v>
      </c>
      <c r="AC723" s="4">
        <f>IFERROR(__xludf.DUMMYFUNCTION("""COMPUTED_VALUE"""),11.99367)</f>
        <v>11.99367</v>
      </c>
      <c r="AD723" s="4">
        <f>IFERROR(__xludf.DUMMYFUNCTION("""COMPUTED_VALUE"""),8.533535)</f>
        <v>8.533535</v>
      </c>
      <c r="AE723" s="5" t="str">
        <f>IFERROR(__xludf.DUMMYFUNCTION("""COMPUTED_VALUE"""),"https://drive.google.com/open?id=1YFQUE_lltibu0o77yalcme-rAwZeqAf8")</f>
        <v>https://drive.google.com/open?id=1YFQUE_lltibu0o77yalcme-rAwZeqAf8</v>
      </c>
      <c r="AF723" s="4"/>
      <c r="AG723" s="4"/>
      <c r="AH723" s="4"/>
      <c r="AI723" s="4"/>
      <c r="AL723" s="4" t="str">
        <f t="shared" si="1"/>
        <v>Cluster 2</v>
      </c>
      <c r="AM723" s="4" t="str">
        <f t="shared" si="2"/>
        <v>IBRAHIM TAIWO ROAD</v>
      </c>
    </row>
    <row r="724">
      <c r="A724" s="3">
        <f>IFERROR(__xludf.DUMMYFUNCTION("""COMPUTED_VALUE"""),45853.53936638889)</f>
        <v>45853.53937</v>
      </c>
      <c r="B724" s="4" t="str">
        <f>IFERROR(__xludf.DUMMYFUNCTION("""COMPUTED_VALUE"""),"elhabs256@gmail.com")</f>
        <v>elhabs256@gmail.com</v>
      </c>
      <c r="C724" s="4" t="str">
        <f>IFERROR(__xludf.DUMMYFUNCTION("""COMPUTED_VALUE"""),"Abdullahi Elhabeeb")</f>
        <v>Abdullahi Elhabeeb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 t="str">
        <f>IFERROR(__xludf.DUMMYFUNCTION("""COMPUTED_VALUE"""),"Cluster 2")</f>
        <v>Cluster 2</v>
      </c>
      <c r="Q724" s="4"/>
      <c r="R724" s="4" t="str">
        <f>IFERROR(__xludf.DUMMYFUNCTION("""COMPUTED_VALUE"""),"ARAKAN ROAD")</f>
        <v>ARAKAN ROAD</v>
      </c>
      <c r="S724" s="4"/>
      <c r="T724" s="4"/>
      <c r="U724" s="4"/>
      <c r="V724" s="4"/>
      <c r="W724" s="4"/>
      <c r="X724" s="4"/>
      <c r="Y724" s="4"/>
      <c r="Z724" s="4"/>
      <c r="AA724" s="4"/>
      <c r="AB724" s="4" t="str">
        <f>IFERROR(__xludf.DUMMYFUNCTION("""COMPUTED_VALUE"""),"Point 2")</f>
        <v>Point 2</v>
      </c>
      <c r="AC724" s="4">
        <f>IFERROR(__xludf.DUMMYFUNCTION("""COMPUTED_VALUE"""),11.00123)</f>
        <v>11.00123</v>
      </c>
      <c r="AD724" s="4">
        <f>IFERROR(__xludf.DUMMYFUNCTION("""COMPUTED_VALUE"""),8.544757)</f>
        <v>8.544757</v>
      </c>
      <c r="AE724" s="5" t="str">
        <f>IFERROR(__xludf.DUMMYFUNCTION("""COMPUTED_VALUE"""),"https://drive.google.com/open?id=1OyPTmwCt2kKIlKEZADbqS26WZMxEyw4C")</f>
        <v>https://drive.google.com/open?id=1OyPTmwCt2kKIlKEZADbqS26WZMxEyw4C</v>
      </c>
      <c r="AF724" s="4"/>
      <c r="AG724" s="4"/>
      <c r="AH724" s="4"/>
      <c r="AI724" s="4"/>
      <c r="AL724" s="4" t="str">
        <f t="shared" si="1"/>
        <v>Cluster 2</v>
      </c>
      <c r="AM724" s="4" t="str">
        <f t="shared" si="2"/>
        <v>ARAKAN ROAD</v>
      </c>
    </row>
    <row r="725">
      <c r="A725" s="3">
        <f>IFERROR(__xludf.DUMMYFUNCTION("""COMPUTED_VALUE"""),45853.53789251157)</f>
        <v>45853.53789</v>
      </c>
      <c r="B725" s="4" t="str">
        <f>IFERROR(__xludf.DUMMYFUNCTION("""COMPUTED_VALUE"""),"elhabs256@gmail.com")</f>
        <v>elhabs256@gmail.com</v>
      </c>
      <c r="C725" s="4" t="str">
        <f>IFERROR(__xludf.DUMMYFUNCTION("""COMPUTED_VALUE"""),"Abdullahi Elhabeeb")</f>
        <v>Abdullahi Elhabeeb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 t="str">
        <f>IFERROR(__xludf.DUMMYFUNCTION("""COMPUTED_VALUE"""),"Cluster 2")</f>
        <v>Cluster 2</v>
      </c>
      <c r="Q725" s="4"/>
      <c r="R725" s="4" t="str">
        <f>IFERROR(__xludf.DUMMYFUNCTION("""COMPUTED_VALUE"""),"ARAKAN ROAD")</f>
        <v>ARAKAN ROAD</v>
      </c>
      <c r="S725" s="4"/>
      <c r="T725" s="4"/>
      <c r="U725" s="4"/>
      <c r="V725" s="4"/>
      <c r="W725" s="4"/>
      <c r="X725" s="4"/>
      <c r="Y725" s="4"/>
      <c r="Z725" s="4"/>
      <c r="AA725" s="4"/>
      <c r="AB725" s="4" t="str">
        <f>IFERROR(__xludf.DUMMYFUNCTION("""COMPUTED_VALUE"""),"Point 1")</f>
        <v>Point 1</v>
      </c>
      <c r="AC725" s="4">
        <f>IFERROR(__xludf.DUMMYFUNCTION("""COMPUTED_VALUE"""),11.00123)</f>
        <v>11.00123</v>
      </c>
      <c r="AD725" s="4">
        <f>IFERROR(__xludf.DUMMYFUNCTION("""COMPUTED_VALUE"""),8.544757)</f>
        <v>8.544757</v>
      </c>
      <c r="AE725" s="5" t="str">
        <f>IFERROR(__xludf.DUMMYFUNCTION("""COMPUTED_VALUE"""),"https://drive.google.com/open?id=10OLrAYynQrMGj9M584OD8c5qFpDVNG1K")</f>
        <v>https://drive.google.com/open?id=10OLrAYynQrMGj9M584OD8c5qFpDVNG1K</v>
      </c>
      <c r="AF725" s="4"/>
      <c r="AG725" s="4"/>
      <c r="AH725" s="4"/>
      <c r="AI725" s="4"/>
      <c r="AL725" s="4" t="str">
        <f t="shared" si="1"/>
        <v>Cluster 2</v>
      </c>
      <c r="AM725" s="4" t="str">
        <f t="shared" si="2"/>
        <v>ARAKAN ROAD</v>
      </c>
    </row>
    <row r="726">
      <c r="A726" s="3">
        <f>IFERROR(__xludf.DUMMYFUNCTION("""COMPUTED_VALUE"""),45853.53562268519)</f>
        <v>45853.53562</v>
      </c>
      <c r="B726" s="4" t="str">
        <f>IFERROR(__xludf.DUMMYFUNCTION("""COMPUTED_VALUE"""),"elhabs256@gmail.com")</f>
        <v>elhabs256@gmail.com</v>
      </c>
      <c r="C726" s="4" t="str">
        <f>IFERROR(__xludf.DUMMYFUNCTION("""COMPUTED_VALUE"""),"Abdullahi Elhabeeb")</f>
        <v>Abdullahi Elhabeeb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 t="str">
        <f>IFERROR(__xludf.DUMMYFUNCTION("""COMPUTED_VALUE"""),"Cluster 2")</f>
        <v>Cluster 2</v>
      </c>
      <c r="Q726" s="4"/>
      <c r="R726" s="4" t="str">
        <f>IFERROR(__xludf.DUMMYFUNCTION("""COMPUTED_VALUE"""),"TAMANDU CLOSE")</f>
        <v>TAMANDU CLOSE</v>
      </c>
      <c r="S726" s="4"/>
      <c r="T726" s="4"/>
      <c r="U726" s="4"/>
      <c r="V726" s="4"/>
      <c r="W726" s="4"/>
      <c r="X726" s="4"/>
      <c r="Y726" s="4"/>
      <c r="Z726" s="4"/>
      <c r="AA726" s="4"/>
      <c r="AB726" s="4" t="str">
        <f>IFERROR(__xludf.DUMMYFUNCTION("""COMPUTED_VALUE"""),"Point 1")</f>
        <v>Point 1</v>
      </c>
      <c r="AC726" s="4">
        <f>IFERROR(__xludf.DUMMYFUNCTION("""COMPUTED_VALUE"""),11.99758)</f>
        <v>11.99758</v>
      </c>
      <c r="AD726" s="4">
        <f>IFERROR(__xludf.DUMMYFUNCTION("""COMPUTED_VALUE"""),8.544588)</f>
        <v>8.544588</v>
      </c>
      <c r="AE726" s="5" t="str">
        <f>IFERROR(__xludf.DUMMYFUNCTION("""COMPUTED_VALUE"""),"https://drive.google.com/open?id=1nodnw6JwD5ZjHdothjmJtaChF4lxJYFm")</f>
        <v>https://drive.google.com/open?id=1nodnw6JwD5ZjHdothjmJtaChF4lxJYFm</v>
      </c>
      <c r="AF726" s="4"/>
      <c r="AG726" s="4"/>
      <c r="AH726" s="4"/>
      <c r="AI726" s="4"/>
      <c r="AL726" s="4" t="str">
        <f t="shared" si="1"/>
        <v>Cluster 2</v>
      </c>
      <c r="AM726" s="4" t="str">
        <f t="shared" si="2"/>
        <v>TAMANDU CLOSE</v>
      </c>
    </row>
    <row r="727">
      <c r="A727" s="3">
        <f>IFERROR(__xludf.DUMMYFUNCTION("""COMPUTED_VALUE"""),45853.53394692129)</f>
        <v>45853.53395</v>
      </c>
      <c r="B727" s="4" t="str">
        <f>IFERROR(__xludf.DUMMYFUNCTION("""COMPUTED_VALUE"""),"elhabs256@gmail.com")</f>
        <v>elhabs256@gmail.com</v>
      </c>
      <c r="C727" s="4" t="str">
        <f>IFERROR(__xludf.DUMMYFUNCTION("""COMPUTED_VALUE"""),"Abdullahi Elhabeeb")</f>
        <v>Abdullahi Elhabeeb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 t="str">
        <f>IFERROR(__xludf.DUMMYFUNCTION("""COMPUTED_VALUE"""),"Cluster 2")</f>
        <v>Cluster 2</v>
      </c>
      <c r="Q727" s="4"/>
      <c r="R727" s="4" t="str">
        <f>IFERROR(__xludf.DUMMYFUNCTION("""COMPUTED_VALUE"""),"TAMANDU ROAD")</f>
        <v>TAMANDU ROAD</v>
      </c>
      <c r="S727" s="4"/>
      <c r="T727" s="4"/>
      <c r="U727" s="4"/>
      <c r="V727" s="4"/>
      <c r="W727" s="4"/>
      <c r="X727" s="4"/>
      <c r="Y727" s="4"/>
      <c r="Z727" s="4"/>
      <c r="AA727" s="4"/>
      <c r="AB727" s="4" t="str">
        <f>IFERROR(__xludf.DUMMYFUNCTION("""COMPUTED_VALUE"""),"Point 2")</f>
        <v>Point 2</v>
      </c>
      <c r="AC727" s="4">
        <f>IFERROR(__xludf.DUMMYFUNCTION("""COMPUTED_VALUE"""),11.99542)</f>
        <v>11.99542</v>
      </c>
      <c r="AD727" s="4">
        <f>IFERROR(__xludf.DUMMYFUNCTION("""COMPUTED_VALUE"""),8.543925)</f>
        <v>8.543925</v>
      </c>
      <c r="AE727" s="5" t="str">
        <f>IFERROR(__xludf.DUMMYFUNCTION("""COMPUTED_VALUE"""),"https://drive.google.com/open?id=1q_dkuGxG2V4tuYVxrD51yo3yl0E3L17t")</f>
        <v>https://drive.google.com/open?id=1q_dkuGxG2V4tuYVxrD51yo3yl0E3L17t</v>
      </c>
      <c r="AF727" s="4"/>
      <c r="AG727" s="4"/>
      <c r="AH727" s="4"/>
      <c r="AI727" s="4"/>
      <c r="AL727" s="4" t="str">
        <f t="shared" si="1"/>
        <v>Cluster 2</v>
      </c>
      <c r="AM727" s="4" t="str">
        <f t="shared" si="2"/>
        <v>TAMANDU ROAD</v>
      </c>
    </row>
    <row r="728">
      <c r="A728" s="3">
        <f>IFERROR(__xludf.DUMMYFUNCTION("""COMPUTED_VALUE"""),45853.531080636574)</f>
        <v>45853.53108</v>
      </c>
      <c r="B728" s="4" t="str">
        <f>IFERROR(__xludf.DUMMYFUNCTION("""COMPUTED_VALUE"""),"elhabs256@gmail.com")</f>
        <v>elhabs256@gmail.com</v>
      </c>
      <c r="C728" s="4" t="str">
        <f>IFERROR(__xludf.DUMMYFUNCTION("""COMPUTED_VALUE"""),"Abdullahi Elhabeeb")</f>
        <v>Abdullahi Elhabeeb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 t="str">
        <f>IFERROR(__xludf.DUMMYFUNCTION("""COMPUTED_VALUE"""),"Cluster 2")</f>
        <v>Cluster 2</v>
      </c>
      <c r="Q728" s="4"/>
      <c r="R728" s="4" t="str">
        <f>IFERROR(__xludf.DUMMYFUNCTION("""COMPUTED_VALUE"""),"TAMANDU ROAD")</f>
        <v>TAMANDU ROAD</v>
      </c>
      <c r="S728" s="4"/>
      <c r="T728" s="4"/>
      <c r="U728" s="4"/>
      <c r="V728" s="4"/>
      <c r="W728" s="4"/>
      <c r="X728" s="4"/>
      <c r="Y728" s="4"/>
      <c r="Z728" s="4"/>
      <c r="AA728" s="4"/>
      <c r="AB728" s="4" t="str">
        <f>IFERROR(__xludf.DUMMYFUNCTION("""COMPUTED_VALUE"""),"Point 1")</f>
        <v>Point 1</v>
      </c>
      <c r="AC728" s="4">
        <f>IFERROR(__xludf.DUMMYFUNCTION("""COMPUTED_VALUE"""),11.99542)</f>
        <v>11.99542</v>
      </c>
      <c r="AD728" s="4">
        <f>IFERROR(__xludf.DUMMYFUNCTION("""COMPUTED_VALUE"""),8.543925)</f>
        <v>8.543925</v>
      </c>
      <c r="AE728" s="5" t="str">
        <f>IFERROR(__xludf.DUMMYFUNCTION("""COMPUTED_VALUE"""),"https://drive.google.com/open?id=18c67s4Et6ebUByEfpbJAEDAv_qQngLUN")</f>
        <v>https://drive.google.com/open?id=18c67s4Et6ebUByEfpbJAEDAv_qQngLUN</v>
      </c>
      <c r="AF728" s="4"/>
      <c r="AG728" s="4"/>
      <c r="AH728" s="4"/>
      <c r="AI728" s="4"/>
      <c r="AL728" s="4" t="str">
        <f t="shared" si="1"/>
        <v>Cluster 2</v>
      </c>
      <c r="AM728" s="4" t="str">
        <f t="shared" si="2"/>
        <v>TAMANDU ROAD</v>
      </c>
    </row>
    <row r="729">
      <c r="A729" s="3">
        <f>IFERROR(__xludf.DUMMYFUNCTION("""COMPUTED_VALUE"""),45853.52832846065)</f>
        <v>45853.52833</v>
      </c>
      <c r="B729" s="4" t="str">
        <f>IFERROR(__xludf.DUMMYFUNCTION("""COMPUTED_VALUE"""),"elhabs256@gmail.com")</f>
        <v>elhabs256@gmail.com</v>
      </c>
      <c r="C729" s="4" t="str">
        <f>IFERROR(__xludf.DUMMYFUNCTION("""COMPUTED_VALUE"""),"Abdullahi Elhabeeb")</f>
        <v>Abdullahi Elhabeeb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 t="str">
        <f>IFERROR(__xludf.DUMMYFUNCTION("""COMPUTED_VALUE"""),"Cluster 2")</f>
        <v>Cluster 2</v>
      </c>
      <c r="Q729" s="4"/>
      <c r="R729" s="4" t="str">
        <f>IFERROR(__xludf.DUMMYFUNCTION("""COMPUTED_VALUE"""),"LAWAN ATANA ROAD")</f>
        <v>LAWAN ATANA ROAD</v>
      </c>
      <c r="S729" s="4"/>
      <c r="T729" s="4"/>
      <c r="U729" s="4"/>
      <c r="V729" s="4"/>
      <c r="W729" s="4"/>
      <c r="X729" s="4"/>
      <c r="Y729" s="4"/>
      <c r="Z729" s="4"/>
      <c r="AA729" s="4"/>
      <c r="AB729" s="4" t="str">
        <f>IFERROR(__xludf.DUMMYFUNCTION("""COMPUTED_VALUE"""),"Point 2")</f>
        <v>Point 2</v>
      </c>
      <c r="AC729" s="4">
        <f>IFERROR(__xludf.DUMMYFUNCTION("""COMPUTED_VALUE"""),11.9936)</f>
        <v>11.9936</v>
      </c>
      <c r="AD729" s="4">
        <f>IFERROR(__xludf.DUMMYFUNCTION("""COMPUTED_VALUE"""),8.543319)</f>
        <v>8.543319</v>
      </c>
      <c r="AE729" s="5" t="str">
        <f>IFERROR(__xludf.DUMMYFUNCTION("""COMPUTED_VALUE"""),"https://drive.google.com/open?id=1UPcKqRp1P6zlO21GSuYwCse9RkGZtFJd")</f>
        <v>https://drive.google.com/open?id=1UPcKqRp1P6zlO21GSuYwCse9RkGZtFJd</v>
      </c>
      <c r="AF729" s="4"/>
      <c r="AG729" s="4"/>
      <c r="AH729" s="4"/>
      <c r="AI729" s="4"/>
      <c r="AL729" s="4" t="str">
        <f t="shared" si="1"/>
        <v>Cluster 2</v>
      </c>
      <c r="AM729" s="4" t="str">
        <f t="shared" si="2"/>
        <v>LAWAN ATANA ROAD</v>
      </c>
    </row>
    <row r="730">
      <c r="A730" s="3">
        <f>IFERROR(__xludf.DUMMYFUNCTION("""COMPUTED_VALUE"""),45853.52712650463)</f>
        <v>45853.52713</v>
      </c>
      <c r="B730" s="4" t="str">
        <f>IFERROR(__xludf.DUMMYFUNCTION("""COMPUTED_VALUE"""),"elhabs256@gmail.com")</f>
        <v>elhabs256@gmail.com</v>
      </c>
      <c r="C730" s="4" t="str">
        <f>IFERROR(__xludf.DUMMYFUNCTION("""COMPUTED_VALUE"""),"Abdullahi Elhabeeb")</f>
        <v>Abdullahi Elhabeeb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 t="str">
        <f>IFERROR(__xludf.DUMMYFUNCTION("""COMPUTED_VALUE"""),"Cluster 2")</f>
        <v>Cluster 2</v>
      </c>
      <c r="Q730" s="4"/>
      <c r="R730" s="4" t="str">
        <f>IFERROR(__xludf.DUMMYFUNCTION("""COMPUTED_VALUE"""),"LAWAN ATANA ROAD")</f>
        <v>LAWAN ATANA ROAD</v>
      </c>
      <c r="S730" s="4"/>
      <c r="T730" s="4"/>
      <c r="U730" s="4"/>
      <c r="V730" s="4"/>
      <c r="W730" s="4"/>
      <c r="X730" s="4"/>
      <c r="Y730" s="4"/>
      <c r="Z730" s="4"/>
      <c r="AA730" s="4"/>
      <c r="AB730" s="4" t="str">
        <f>IFERROR(__xludf.DUMMYFUNCTION("""COMPUTED_VALUE"""),"Point 1")</f>
        <v>Point 1</v>
      </c>
      <c r="AC730" s="4">
        <f>IFERROR(__xludf.DUMMYFUNCTION("""COMPUTED_VALUE"""),11.9936)</f>
        <v>11.9936</v>
      </c>
      <c r="AD730" s="4">
        <f>IFERROR(__xludf.DUMMYFUNCTION("""COMPUTED_VALUE"""),8.543319)</f>
        <v>8.543319</v>
      </c>
      <c r="AE730" s="5" t="str">
        <f>IFERROR(__xludf.DUMMYFUNCTION("""COMPUTED_VALUE"""),"https://drive.google.com/open?id=1WE9hse60cILk-10QEKvXJPSilKG_4egt")</f>
        <v>https://drive.google.com/open?id=1WE9hse60cILk-10QEKvXJPSilKG_4egt</v>
      </c>
      <c r="AF730" s="4"/>
      <c r="AG730" s="4"/>
      <c r="AH730" s="4"/>
      <c r="AI730" s="4"/>
      <c r="AL730" s="4" t="str">
        <f t="shared" si="1"/>
        <v>Cluster 2</v>
      </c>
      <c r="AM730" s="4" t="str">
        <f t="shared" si="2"/>
        <v>LAWAN ATANA ROAD</v>
      </c>
    </row>
    <row r="731">
      <c r="A731" s="3">
        <f>IFERROR(__xludf.DUMMYFUNCTION("""COMPUTED_VALUE"""),45853.52499076389)</f>
        <v>45853.52499</v>
      </c>
      <c r="B731" s="4" t="str">
        <f>IFERROR(__xludf.DUMMYFUNCTION("""COMPUTED_VALUE"""),"elhabs256@gmail.com")</f>
        <v>elhabs256@gmail.com</v>
      </c>
      <c r="C731" s="4" t="str">
        <f>IFERROR(__xludf.DUMMYFUNCTION("""COMPUTED_VALUE"""),"Abdullahi Elhabeeb")</f>
        <v>Abdullahi Elhabeeb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 t="str">
        <f>IFERROR(__xludf.DUMMYFUNCTION("""COMPUTED_VALUE"""),"Cluster 2")</f>
        <v>Cluster 2</v>
      </c>
      <c r="Q731" s="4"/>
      <c r="R731" s="4" t="str">
        <f>IFERROR(__xludf.DUMMYFUNCTION("""COMPUTED_VALUE"""),"OLUSEGUN OBASANJO WAY")</f>
        <v>OLUSEGUN OBASANJO WAY</v>
      </c>
      <c r="S731" s="4"/>
      <c r="T731" s="4"/>
      <c r="U731" s="4"/>
      <c r="V731" s="4"/>
      <c r="W731" s="4"/>
      <c r="X731" s="4"/>
      <c r="Y731" s="4"/>
      <c r="Z731" s="4"/>
      <c r="AA731" s="4"/>
      <c r="AB731" s="4" t="str">
        <f>IFERROR(__xludf.DUMMYFUNCTION("""COMPUTED_VALUE"""),"Point 2")</f>
        <v>Point 2</v>
      </c>
      <c r="AC731" s="4">
        <f>IFERROR(__xludf.DUMMYFUNCTION("""COMPUTED_VALUE"""),11.99348)</f>
        <v>11.99348</v>
      </c>
      <c r="AD731" s="4">
        <f>IFERROR(__xludf.DUMMYFUNCTION("""COMPUTED_VALUE"""),8.533897)</f>
        <v>8.533897</v>
      </c>
      <c r="AE731" s="5" t="str">
        <f>IFERROR(__xludf.DUMMYFUNCTION("""COMPUTED_VALUE"""),"https://drive.google.com/open?id=1oSdpfWyK4BgLARMvn9TZD45mONo7CKh5")</f>
        <v>https://drive.google.com/open?id=1oSdpfWyK4BgLARMvn9TZD45mONo7CKh5</v>
      </c>
      <c r="AF731" s="4"/>
      <c r="AG731" s="4"/>
      <c r="AH731" s="4"/>
      <c r="AI731" s="4"/>
      <c r="AL731" s="4" t="str">
        <f t="shared" si="1"/>
        <v>Cluster 2</v>
      </c>
      <c r="AM731" s="4" t="str">
        <f t="shared" si="2"/>
        <v>OLUSEGUN OBASANJO WAY</v>
      </c>
    </row>
    <row r="732">
      <c r="A732" s="3">
        <f>IFERROR(__xludf.DUMMYFUNCTION("""COMPUTED_VALUE"""),45853.52381482639)</f>
        <v>45853.52381</v>
      </c>
      <c r="B732" s="4" t="str">
        <f>IFERROR(__xludf.DUMMYFUNCTION("""COMPUTED_VALUE"""),"elhabs256@gmail.com")</f>
        <v>elhabs256@gmail.com</v>
      </c>
      <c r="C732" s="4" t="str">
        <f>IFERROR(__xludf.DUMMYFUNCTION("""COMPUTED_VALUE"""),"Abdullahi Elhabeeb")</f>
        <v>Abdullahi Elhabeeb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 t="str">
        <f>IFERROR(__xludf.DUMMYFUNCTION("""COMPUTED_VALUE"""),"Cluster 2")</f>
        <v>Cluster 2</v>
      </c>
      <c r="Q732" s="4"/>
      <c r="R732" s="4" t="str">
        <f>IFERROR(__xludf.DUMMYFUNCTION("""COMPUTED_VALUE"""),"IBRAHIM TAIWO ROAD")</f>
        <v>IBRAHIM TAIWO ROAD</v>
      </c>
      <c r="S732" s="4"/>
      <c r="T732" s="4"/>
      <c r="U732" s="4"/>
      <c r="V732" s="4"/>
      <c r="W732" s="4"/>
      <c r="X732" s="4"/>
      <c r="Y732" s="4"/>
      <c r="Z732" s="4"/>
      <c r="AA732" s="4"/>
      <c r="AB732" s="4" t="str">
        <f>IFERROR(__xludf.DUMMYFUNCTION("""COMPUTED_VALUE"""),"Point 1")</f>
        <v>Point 1</v>
      </c>
      <c r="AC732" s="4">
        <f>IFERROR(__xludf.DUMMYFUNCTION("""COMPUTED_VALUE"""),11.99348)</f>
        <v>11.99348</v>
      </c>
      <c r="AD732" s="4">
        <f>IFERROR(__xludf.DUMMYFUNCTION("""COMPUTED_VALUE"""),8.533897)</f>
        <v>8.533897</v>
      </c>
      <c r="AE732" s="5" t="str">
        <f>IFERROR(__xludf.DUMMYFUNCTION("""COMPUTED_VALUE"""),"https://drive.google.com/open?id=1lw89tfDsaK6Ai0otcMBCBfMvGvldNBb-")</f>
        <v>https://drive.google.com/open?id=1lw89tfDsaK6Ai0otcMBCBfMvGvldNBb-</v>
      </c>
      <c r="AF732" s="4"/>
      <c r="AG732" s="4"/>
      <c r="AH732" s="4"/>
      <c r="AI732" s="4"/>
      <c r="AL732" s="4" t="str">
        <f t="shared" si="1"/>
        <v>Cluster 2</v>
      </c>
      <c r="AM732" s="4" t="str">
        <f t="shared" si="2"/>
        <v>IBRAHIM TAIWO ROAD</v>
      </c>
    </row>
    <row r="733">
      <c r="A733" s="3">
        <f>IFERROR(__xludf.DUMMYFUNCTION("""COMPUTED_VALUE"""),45853.52226142361)</f>
        <v>45853.52226</v>
      </c>
      <c r="B733" s="4" t="str">
        <f>IFERROR(__xludf.DUMMYFUNCTION("""COMPUTED_VALUE"""),"elhabs256@gmail.com")</f>
        <v>elhabs256@gmail.com</v>
      </c>
      <c r="C733" s="4" t="str">
        <f>IFERROR(__xludf.DUMMYFUNCTION("""COMPUTED_VALUE"""),"Abdullahi Elhabeeb")</f>
        <v>Abdullahi Elhabeeb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 t="str">
        <f>IFERROR(__xludf.DUMMYFUNCTION("""COMPUTED_VALUE"""),"Cluster 2")</f>
        <v>Cluster 2</v>
      </c>
      <c r="Q733" s="4"/>
      <c r="R733" s="4" t="str">
        <f>IFERROR(__xludf.DUMMYFUNCTION("""COMPUTED_VALUE"""),"STADIUM ROAD")</f>
        <v>STADIUM ROAD</v>
      </c>
      <c r="S733" s="4"/>
      <c r="T733" s="4"/>
      <c r="U733" s="4"/>
      <c r="V733" s="4"/>
      <c r="W733" s="4"/>
      <c r="X733" s="4"/>
      <c r="Y733" s="4"/>
      <c r="Z733" s="4"/>
      <c r="AA733" s="4"/>
      <c r="AB733" s="4" t="str">
        <f>IFERROR(__xludf.DUMMYFUNCTION("""COMPUTED_VALUE"""),"Point 2")</f>
        <v>Point 2</v>
      </c>
      <c r="AC733" s="4">
        <f>IFERROR(__xludf.DUMMYFUNCTION("""COMPUTED_VALUE"""),11.9918)</f>
        <v>11.9918</v>
      </c>
      <c r="AD733" s="4">
        <f>IFERROR(__xludf.DUMMYFUNCTION("""COMPUTED_VALUE"""),8.53252)</f>
        <v>8.53252</v>
      </c>
      <c r="AE733" s="5" t="str">
        <f>IFERROR(__xludf.DUMMYFUNCTION("""COMPUTED_VALUE"""),"https://drive.google.com/open?id=1_kerHhLn1ehrNbaBI2fvWgOhPKhji4b3")</f>
        <v>https://drive.google.com/open?id=1_kerHhLn1ehrNbaBI2fvWgOhPKhji4b3</v>
      </c>
      <c r="AF733" s="4"/>
      <c r="AG733" s="4"/>
      <c r="AH733" s="4"/>
      <c r="AI733" s="4"/>
      <c r="AL733" s="4" t="str">
        <f t="shared" si="1"/>
        <v>Cluster 2</v>
      </c>
      <c r="AM733" s="4" t="str">
        <f t="shared" si="2"/>
        <v>STADIUM ROAD</v>
      </c>
    </row>
    <row r="734">
      <c r="A734" s="3">
        <f>IFERROR(__xludf.DUMMYFUNCTION("""COMPUTED_VALUE"""),45853.52078047454)</f>
        <v>45853.52078</v>
      </c>
      <c r="B734" s="4" t="str">
        <f>IFERROR(__xludf.DUMMYFUNCTION("""COMPUTED_VALUE"""),"elhabs256@gmail.com")</f>
        <v>elhabs256@gmail.com</v>
      </c>
      <c r="C734" s="4" t="str">
        <f>IFERROR(__xludf.DUMMYFUNCTION("""COMPUTED_VALUE"""),"Abdullahi Elhabeeb")</f>
        <v>Abdullahi Elhabeeb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 t="str">
        <f>IFERROR(__xludf.DUMMYFUNCTION("""COMPUTED_VALUE"""),"Cluster 2")</f>
        <v>Cluster 2</v>
      </c>
      <c r="Q734" s="4"/>
      <c r="R734" s="4" t="str">
        <f>IFERROR(__xludf.DUMMYFUNCTION("""COMPUTED_VALUE"""),"STADIUM ROAD")</f>
        <v>STADIUM ROAD</v>
      </c>
      <c r="S734" s="4"/>
      <c r="T734" s="4"/>
      <c r="U734" s="4"/>
      <c r="V734" s="4"/>
      <c r="W734" s="4"/>
      <c r="X734" s="4"/>
      <c r="Y734" s="4"/>
      <c r="Z734" s="4"/>
      <c r="AA734" s="4"/>
      <c r="AB734" s="4" t="str">
        <f>IFERROR(__xludf.DUMMYFUNCTION("""COMPUTED_VALUE"""),"Point 1")</f>
        <v>Point 1</v>
      </c>
      <c r="AC734" s="4">
        <f>IFERROR(__xludf.DUMMYFUNCTION("""COMPUTED_VALUE"""),11.9918)</f>
        <v>11.9918</v>
      </c>
      <c r="AD734" s="4">
        <f>IFERROR(__xludf.DUMMYFUNCTION("""COMPUTED_VALUE"""),8.53252)</f>
        <v>8.53252</v>
      </c>
      <c r="AE734" s="5" t="str">
        <f>IFERROR(__xludf.DUMMYFUNCTION("""COMPUTED_VALUE"""),"https://drive.google.com/open?id=1nsk1Hh8hax68Hh6NAs1mg_lTAZwQv6KI")</f>
        <v>https://drive.google.com/open?id=1nsk1Hh8hax68Hh6NAs1mg_lTAZwQv6KI</v>
      </c>
      <c r="AF734" s="4"/>
      <c r="AG734" s="4"/>
      <c r="AH734" s="4"/>
      <c r="AI734" s="4"/>
      <c r="AL734" s="4" t="str">
        <f t="shared" si="1"/>
        <v>Cluster 2</v>
      </c>
      <c r="AM734" s="4" t="str">
        <f t="shared" si="2"/>
        <v>STADIUM ROAD</v>
      </c>
    </row>
    <row r="735">
      <c r="A735" s="3">
        <f>IFERROR(__xludf.DUMMYFUNCTION("""COMPUTED_VALUE"""),45853.51918819445)</f>
        <v>45853.51919</v>
      </c>
      <c r="B735" s="4" t="str">
        <f>IFERROR(__xludf.DUMMYFUNCTION("""COMPUTED_VALUE"""),"elhabs256@gmail.com")</f>
        <v>elhabs256@gmail.com</v>
      </c>
      <c r="C735" s="4" t="str">
        <f>IFERROR(__xludf.DUMMYFUNCTION("""COMPUTED_VALUE"""),"Abdullahi Elhabeeb")</f>
        <v>Abdullahi Elhabeeb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 t="str">
        <f>IFERROR(__xludf.DUMMYFUNCTION("""COMPUTED_VALUE"""),"Cluster 2")</f>
        <v>Cluster 2</v>
      </c>
      <c r="Q735" s="4"/>
      <c r="R735" s="4" t="str">
        <f>IFERROR(__xludf.DUMMYFUNCTION("""COMPUTED_VALUE"""),"BUK ROAD")</f>
        <v>BUK ROAD</v>
      </c>
      <c r="S735" s="4"/>
      <c r="T735" s="4"/>
      <c r="U735" s="4"/>
      <c r="V735" s="4"/>
      <c r="W735" s="4"/>
      <c r="X735" s="4"/>
      <c r="Y735" s="4"/>
      <c r="Z735" s="4"/>
      <c r="AA735" s="4"/>
      <c r="AB735" s="4" t="str">
        <f>IFERROR(__xludf.DUMMYFUNCTION("""COMPUTED_VALUE"""),"Point 1")</f>
        <v>Point 1</v>
      </c>
      <c r="AC735" s="4">
        <f>IFERROR(__xludf.DUMMYFUNCTION("""COMPUTED_VALUE"""),11.9903)</f>
        <v>11.9903</v>
      </c>
      <c r="AD735" s="4">
        <f>IFERROR(__xludf.DUMMYFUNCTION("""COMPUTED_VALUE"""),8.53184)</f>
        <v>8.53184</v>
      </c>
      <c r="AE735" s="5" t="str">
        <f>IFERROR(__xludf.DUMMYFUNCTION("""COMPUTED_VALUE"""),"https://drive.google.com/open?id=1JJYSuM2TImiIRjiWiuksvs3de_PAFQbn")</f>
        <v>https://drive.google.com/open?id=1JJYSuM2TImiIRjiWiuksvs3de_PAFQbn</v>
      </c>
      <c r="AF735" s="4"/>
      <c r="AG735" s="4"/>
      <c r="AH735" s="4"/>
      <c r="AI735" s="4"/>
      <c r="AL735" s="4" t="str">
        <f t="shared" si="1"/>
        <v>Cluster 2</v>
      </c>
      <c r="AM735" s="4" t="str">
        <f t="shared" si="2"/>
        <v>BUK ROAD</v>
      </c>
    </row>
    <row r="736">
      <c r="A736" s="3">
        <f>IFERROR(__xludf.DUMMYFUNCTION("""COMPUTED_VALUE"""),45853.51764634259)</f>
        <v>45853.51765</v>
      </c>
      <c r="B736" s="4" t="str">
        <f>IFERROR(__xludf.DUMMYFUNCTION("""COMPUTED_VALUE"""),"elhabs256@gmail.com")</f>
        <v>elhabs256@gmail.com</v>
      </c>
      <c r="C736" s="4" t="str">
        <f>IFERROR(__xludf.DUMMYFUNCTION("""COMPUTED_VALUE"""),"Abdullahi Elhabeeb")</f>
        <v>Abdullahi Elhabeeb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 t="str">
        <f>IFERROR(__xludf.DUMMYFUNCTION("""COMPUTED_VALUE"""),"Cluster 2")</f>
        <v>Cluster 2</v>
      </c>
      <c r="Q736" s="4"/>
      <c r="R736" s="4" t="str">
        <f>IFERROR(__xludf.DUMMYFUNCTION("""COMPUTED_VALUE"""),"EMIR ROAD")</f>
        <v>EMIR ROAD</v>
      </c>
      <c r="S736" s="4"/>
      <c r="T736" s="4"/>
      <c r="U736" s="4"/>
      <c r="V736" s="4"/>
      <c r="W736" s="4"/>
      <c r="X736" s="4"/>
      <c r="Y736" s="4"/>
      <c r="Z736" s="4"/>
      <c r="AA736" s="4"/>
      <c r="AB736" s="4" t="str">
        <f>IFERROR(__xludf.DUMMYFUNCTION("""COMPUTED_VALUE"""),"Point 1")</f>
        <v>Point 1</v>
      </c>
      <c r="AC736" s="4">
        <f>IFERROR(__xludf.DUMMYFUNCTION("""COMPUTED_VALUE"""),11.9904)</f>
        <v>11.9904</v>
      </c>
      <c r="AD736" s="4">
        <f>IFERROR(__xludf.DUMMYFUNCTION("""COMPUTED_VALUE"""),8.53185)</f>
        <v>8.53185</v>
      </c>
      <c r="AE736" s="5" t="str">
        <f>IFERROR(__xludf.DUMMYFUNCTION("""COMPUTED_VALUE"""),"https://drive.google.com/open?id=1M7zkWXnIErGG7toIVgeKc5xdZaduMGkG")</f>
        <v>https://drive.google.com/open?id=1M7zkWXnIErGG7toIVgeKc5xdZaduMGkG</v>
      </c>
      <c r="AF736" s="4"/>
      <c r="AG736" s="4"/>
      <c r="AH736" s="4"/>
      <c r="AI736" s="4"/>
      <c r="AL736" s="4" t="str">
        <f t="shared" si="1"/>
        <v>Cluster 2</v>
      </c>
      <c r="AM736" s="4" t="str">
        <f t="shared" si="2"/>
        <v>EMIR ROAD</v>
      </c>
    </row>
    <row r="737">
      <c r="A737" s="3">
        <f>IFERROR(__xludf.DUMMYFUNCTION("""COMPUTED_VALUE"""),45853.499224687504)</f>
        <v>45853.49922</v>
      </c>
      <c r="B737" s="4" t="str">
        <f>IFERROR(__xludf.DUMMYFUNCTION("""COMPUTED_VALUE"""),"elhabs256@gmail.com")</f>
        <v>elhabs256@gmail.com</v>
      </c>
      <c r="C737" s="4" t="str">
        <f>IFERROR(__xludf.DUMMYFUNCTION("""COMPUTED_VALUE"""),"Abdullahi Elhabeeb")</f>
        <v>Abdullahi Elhabeeb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 t="str">
        <f>IFERROR(__xludf.DUMMYFUNCTION("""COMPUTED_VALUE"""),"Cluster 2")</f>
        <v>Cluster 2</v>
      </c>
      <c r="Q737" s="4"/>
      <c r="R737" s="4" t="str">
        <f>IFERROR(__xludf.DUMMYFUNCTION("""COMPUTED_VALUE"""),"OBASANJO ROAD")</f>
        <v>OBASANJO ROAD</v>
      </c>
      <c r="S737" s="4"/>
      <c r="T737" s="4"/>
      <c r="U737" s="4"/>
      <c r="V737" s="4"/>
      <c r="W737" s="4"/>
      <c r="X737" s="4"/>
      <c r="Y737" s="4"/>
      <c r="Z737" s="4"/>
      <c r="AA737" s="4"/>
      <c r="AB737" s="4" t="str">
        <f>IFERROR(__xludf.DUMMYFUNCTION("""COMPUTED_VALUE"""),"Point 2")</f>
        <v>Point 2</v>
      </c>
      <c r="AC737" s="4">
        <f>IFERROR(__xludf.DUMMYFUNCTION("""COMPUTED_VALUE"""),11.99)</f>
        <v>11.99</v>
      </c>
      <c r="AD737" s="4">
        <f>IFERROR(__xludf.DUMMYFUNCTION("""COMPUTED_VALUE"""),8.53414)</f>
        <v>8.53414</v>
      </c>
      <c r="AE737" s="5" t="str">
        <f>IFERROR(__xludf.DUMMYFUNCTION("""COMPUTED_VALUE"""),"https://drive.google.com/open?id=1eDFV02S-XTBBRGjeMGbAccLrtTzZVAEi")</f>
        <v>https://drive.google.com/open?id=1eDFV02S-XTBBRGjeMGbAccLrtTzZVAEi</v>
      </c>
      <c r="AF737" s="4"/>
      <c r="AG737" s="4"/>
      <c r="AH737" s="4"/>
      <c r="AI737" s="4"/>
      <c r="AL737" s="4" t="str">
        <f t="shared" si="1"/>
        <v>Cluster 2</v>
      </c>
      <c r="AM737" s="4" t="str">
        <f t="shared" si="2"/>
        <v>OBASANJO ROAD</v>
      </c>
    </row>
    <row r="738">
      <c r="A738" s="3">
        <f>IFERROR(__xludf.DUMMYFUNCTION("""COMPUTED_VALUE"""),45853.49486896991)</f>
        <v>45853.49487</v>
      </c>
      <c r="B738" s="4" t="str">
        <f>IFERROR(__xludf.DUMMYFUNCTION("""COMPUTED_VALUE"""),"elhabs256@gmail.com")</f>
        <v>elhabs256@gmail.com</v>
      </c>
      <c r="C738" s="4" t="str">
        <f>IFERROR(__xludf.DUMMYFUNCTION("""COMPUTED_VALUE"""),"Abdullahi Elhabeeb")</f>
        <v>Abdullahi Elhabeeb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 t="str">
        <f>IFERROR(__xludf.DUMMYFUNCTION("""COMPUTED_VALUE"""),"Cluster 2")</f>
        <v>Cluster 2</v>
      </c>
      <c r="Q738" s="4"/>
      <c r="R738" s="4" t="str">
        <f>IFERROR(__xludf.DUMMYFUNCTION("""COMPUTED_VALUE"""),"OBASANJO ROAD")</f>
        <v>OBASANJO ROAD</v>
      </c>
      <c r="S738" s="4"/>
      <c r="T738" s="4"/>
      <c r="U738" s="4"/>
      <c r="V738" s="4"/>
      <c r="W738" s="4"/>
      <c r="X738" s="4"/>
      <c r="Y738" s="4"/>
      <c r="Z738" s="4"/>
      <c r="AA738" s="4"/>
      <c r="AB738" s="4" t="str">
        <f>IFERROR(__xludf.DUMMYFUNCTION("""COMPUTED_VALUE"""),"Point 1")</f>
        <v>Point 1</v>
      </c>
      <c r="AC738" s="4">
        <f>IFERROR(__xludf.DUMMYFUNCTION("""COMPUTED_VALUE"""),11.99)</f>
        <v>11.99</v>
      </c>
      <c r="AD738" s="4">
        <f>IFERROR(__xludf.DUMMYFUNCTION("""COMPUTED_VALUE"""),8.53414)</f>
        <v>8.53414</v>
      </c>
      <c r="AE738" s="5" t="str">
        <f>IFERROR(__xludf.DUMMYFUNCTION("""COMPUTED_VALUE"""),"https://drive.google.com/open?id=1o6kxWBXmtD5YUB79Ua3asVKOqQZoHv9Y")</f>
        <v>https://drive.google.com/open?id=1o6kxWBXmtD5YUB79Ua3asVKOqQZoHv9Y</v>
      </c>
      <c r="AF738" s="4"/>
      <c r="AG738" s="4"/>
      <c r="AH738" s="4"/>
      <c r="AI738" s="4"/>
      <c r="AL738" s="4" t="str">
        <f t="shared" si="1"/>
        <v>Cluster 2</v>
      </c>
      <c r="AM738" s="4" t="str">
        <f t="shared" si="2"/>
        <v>OBASANJO ROAD</v>
      </c>
    </row>
    <row r="739">
      <c r="A739" s="3">
        <f>IFERROR(__xludf.DUMMYFUNCTION("""COMPUTED_VALUE"""),45853.48698851852)</f>
        <v>45853.48699</v>
      </c>
      <c r="B739" s="4" t="str">
        <f>IFERROR(__xludf.DUMMYFUNCTION("""COMPUTED_VALUE"""),"elhabs256@gmail.com")</f>
        <v>elhabs256@gmail.com</v>
      </c>
      <c r="C739" s="4" t="str">
        <f>IFERROR(__xludf.DUMMYFUNCTION("""COMPUTED_VALUE"""),"Abdullahi Elhabeeb")</f>
        <v>Abdullahi Elhabeeb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 t="str">
        <f>IFERROR(__xludf.DUMMYFUNCTION("""COMPUTED_VALUE"""),"Cluster 2")</f>
        <v>Cluster 2</v>
      </c>
      <c r="Q739" s="4"/>
      <c r="R739" s="4" t="str">
        <f>IFERROR(__xludf.DUMMYFUNCTION("""COMPUTED_VALUE"""),"YUSUF KURFI STREET")</f>
        <v>YUSUF KURFI STREET</v>
      </c>
      <c r="S739" s="4"/>
      <c r="T739" s="4"/>
      <c r="U739" s="4"/>
      <c r="V739" s="4"/>
      <c r="W739" s="4"/>
      <c r="X739" s="4"/>
      <c r="Y739" s="4"/>
      <c r="Z739" s="4"/>
      <c r="AA739" s="4"/>
      <c r="AB739" s="4" t="str">
        <f>IFERROR(__xludf.DUMMYFUNCTION("""COMPUTED_VALUE"""),"Point 2")</f>
        <v>Point 2</v>
      </c>
      <c r="AC739" s="4">
        <f>IFERROR(__xludf.DUMMYFUNCTION("""COMPUTED_VALUE"""),11.9982)</f>
        <v>11.9982</v>
      </c>
      <c r="AD739" s="4">
        <f>IFERROR(__xludf.DUMMYFUNCTION("""COMPUTED_VALUE"""),8.53958)</f>
        <v>8.53958</v>
      </c>
      <c r="AE739" s="5" t="str">
        <f>IFERROR(__xludf.DUMMYFUNCTION("""COMPUTED_VALUE"""),"https://drive.google.com/open?id=1jZzvfTpjOgRgw7rT6UQXgPPdxNP_K84s")</f>
        <v>https://drive.google.com/open?id=1jZzvfTpjOgRgw7rT6UQXgPPdxNP_K84s</v>
      </c>
      <c r="AF739" s="4"/>
      <c r="AG739" s="4"/>
      <c r="AH739" s="4"/>
      <c r="AI739" s="4"/>
      <c r="AL739" s="4" t="str">
        <f t="shared" si="1"/>
        <v>Cluster 2</v>
      </c>
      <c r="AM739" s="4" t="str">
        <f t="shared" si="2"/>
        <v>YUSUF KURFI STREET</v>
      </c>
    </row>
    <row r="740">
      <c r="A740" s="3">
        <f>IFERROR(__xludf.DUMMYFUNCTION("""COMPUTED_VALUE"""),45853.48584217593)</f>
        <v>45853.48584</v>
      </c>
      <c r="B740" s="4" t="str">
        <f>IFERROR(__xludf.DUMMYFUNCTION("""COMPUTED_VALUE"""),"elhabs256@gmail.com")</f>
        <v>elhabs256@gmail.com</v>
      </c>
      <c r="C740" s="4" t="str">
        <f>IFERROR(__xludf.DUMMYFUNCTION("""COMPUTED_VALUE"""),"Abdullahi Elhabeeb")</f>
        <v>Abdullahi Elhabeeb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 t="str">
        <f>IFERROR(__xludf.DUMMYFUNCTION("""COMPUTED_VALUE"""),"Cluster 2")</f>
        <v>Cluster 2</v>
      </c>
      <c r="Q740" s="4"/>
      <c r="R740" s="4" t="str">
        <f>IFERROR(__xludf.DUMMYFUNCTION("""COMPUTED_VALUE"""),"YUSUF KURFI STREET")</f>
        <v>YUSUF KURFI STREET</v>
      </c>
      <c r="S740" s="4"/>
      <c r="T740" s="4"/>
      <c r="U740" s="4"/>
      <c r="V740" s="4"/>
      <c r="W740" s="4"/>
      <c r="X740" s="4"/>
      <c r="Y740" s="4"/>
      <c r="Z740" s="4"/>
      <c r="AA740" s="4"/>
      <c r="AB740" s="4" t="str">
        <f>IFERROR(__xludf.DUMMYFUNCTION("""COMPUTED_VALUE"""),"Point 1")</f>
        <v>Point 1</v>
      </c>
      <c r="AC740" s="4">
        <f>IFERROR(__xludf.DUMMYFUNCTION("""COMPUTED_VALUE"""),11.9982)</f>
        <v>11.9982</v>
      </c>
      <c r="AD740" s="4">
        <f>IFERROR(__xludf.DUMMYFUNCTION("""COMPUTED_VALUE"""),8.53958)</f>
        <v>8.53958</v>
      </c>
      <c r="AE740" s="5" t="str">
        <f>IFERROR(__xludf.DUMMYFUNCTION("""COMPUTED_VALUE"""),"https://drive.google.com/open?id=16cE4bC7KkjSwHzIbhPTuDP4SO1swb3vC")</f>
        <v>https://drive.google.com/open?id=16cE4bC7KkjSwHzIbhPTuDP4SO1swb3vC</v>
      </c>
      <c r="AF740" s="4"/>
      <c r="AG740" s="4"/>
      <c r="AH740" s="4"/>
      <c r="AI740" s="4"/>
      <c r="AL740" s="4" t="str">
        <f t="shared" si="1"/>
        <v>Cluster 2</v>
      </c>
      <c r="AM740" s="4" t="str">
        <f t="shared" si="2"/>
        <v>YUSUF KURFI STREET</v>
      </c>
    </row>
    <row r="741">
      <c r="A741" s="3">
        <f>IFERROR(__xludf.DUMMYFUNCTION("""COMPUTED_VALUE"""),45853.47657753472)</f>
        <v>45853.47658</v>
      </c>
      <c r="B741" s="4" t="str">
        <f>IFERROR(__xludf.DUMMYFUNCTION("""COMPUTED_VALUE"""),"elhabs256@gmail.com")</f>
        <v>elhabs256@gmail.com</v>
      </c>
      <c r="C741" s="4" t="str">
        <f>IFERROR(__xludf.DUMMYFUNCTION("""COMPUTED_VALUE"""),"Abdullahi Elhabeeb")</f>
        <v>Abdullahi Elhabeeb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 t="str">
        <f>IFERROR(__xludf.DUMMYFUNCTION("""COMPUTED_VALUE"""),"Cluster 2")</f>
        <v>Cluster 2</v>
      </c>
      <c r="Q741" s="4"/>
      <c r="R741" s="4" t="str">
        <f>IFERROR(__xludf.DUMMYFUNCTION("""COMPUTED_VALUE"""),"REVENUE ROAD")</f>
        <v>REVENUE ROAD</v>
      </c>
      <c r="S741" s="4"/>
      <c r="T741" s="4"/>
      <c r="U741" s="4"/>
      <c r="V741" s="4"/>
      <c r="W741" s="4"/>
      <c r="X741" s="4"/>
      <c r="Y741" s="4"/>
      <c r="Z741" s="4"/>
      <c r="AA741" s="4"/>
      <c r="AB741" s="4" t="str">
        <f>IFERROR(__xludf.DUMMYFUNCTION("""COMPUTED_VALUE"""),"Point 2")</f>
        <v>Point 2</v>
      </c>
      <c r="AC741" s="4">
        <f>IFERROR(__xludf.DUMMYFUNCTION("""COMPUTED_VALUE"""),12.0041)</f>
        <v>12.0041</v>
      </c>
      <c r="AD741" s="4">
        <f>IFERROR(__xludf.DUMMYFUNCTION("""COMPUTED_VALUE"""),8.538057)</f>
        <v>8.538057</v>
      </c>
      <c r="AE741" s="5" t="str">
        <f>IFERROR(__xludf.DUMMYFUNCTION("""COMPUTED_VALUE"""),"https://drive.google.com/open?id=1QoCkhNCH01AHUs3xZnsg4LtdVMhZY5EK")</f>
        <v>https://drive.google.com/open?id=1QoCkhNCH01AHUs3xZnsg4LtdVMhZY5EK</v>
      </c>
      <c r="AF741" s="4"/>
      <c r="AG741" s="4"/>
      <c r="AH741" s="4"/>
      <c r="AI741" s="4"/>
      <c r="AL741" s="4" t="str">
        <f t="shared" si="1"/>
        <v>Cluster 2</v>
      </c>
      <c r="AM741" s="4" t="str">
        <f t="shared" si="2"/>
        <v>REVENUE ROAD</v>
      </c>
    </row>
    <row r="742">
      <c r="A742" s="3">
        <f>IFERROR(__xludf.DUMMYFUNCTION("""COMPUTED_VALUE"""),45853.475141435185)</f>
        <v>45853.47514</v>
      </c>
      <c r="B742" s="4" t="str">
        <f>IFERROR(__xludf.DUMMYFUNCTION("""COMPUTED_VALUE"""),"elhabs256@gmail.com")</f>
        <v>elhabs256@gmail.com</v>
      </c>
      <c r="C742" s="4" t="str">
        <f>IFERROR(__xludf.DUMMYFUNCTION("""COMPUTED_VALUE"""),"Abdullahi Elhabeeb")</f>
        <v>Abdullahi Elhabeeb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 t="str">
        <f>IFERROR(__xludf.DUMMYFUNCTION("""COMPUTED_VALUE"""),"Cluster 2")</f>
        <v>Cluster 2</v>
      </c>
      <c r="Q742" s="4"/>
      <c r="R742" s="4" t="str">
        <f>IFERROR(__xludf.DUMMYFUNCTION("""COMPUTED_VALUE"""),"REVENUE ROAD")</f>
        <v>REVENUE ROAD</v>
      </c>
      <c r="S742" s="4"/>
      <c r="T742" s="4"/>
      <c r="U742" s="4"/>
      <c r="V742" s="4"/>
      <c r="W742" s="4"/>
      <c r="X742" s="4"/>
      <c r="Y742" s="4"/>
      <c r="Z742" s="4"/>
      <c r="AA742" s="4"/>
      <c r="AB742" s="4" t="str">
        <f>IFERROR(__xludf.DUMMYFUNCTION("""COMPUTED_VALUE"""),"Point 1")</f>
        <v>Point 1</v>
      </c>
      <c r="AC742" s="4">
        <f>IFERROR(__xludf.DUMMYFUNCTION("""COMPUTED_VALUE"""),12.0041)</f>
        <v>12.0041</v>
      </c>
      <c r="AD742" s="4">
        <f>IFERROR(__xludf.DUMMYFUNCTION("""COMPUTED_VALUE"""),8.538057)</f>
        <v>8.538057</v>
      </c>
      <c r="AE742" s="5" t="str">
        <f>IFERROR(__xludf.DUMMYFUNCTION("""COMPUTED_VALUE"""),"https://drive.google.com/open?id=1P1GROxTfVUjtczD03hJHCD-uay9boGdx")</f>
        <v>https://drive.google.com/open?id=1P1GROxTfVUjtczD03hJHCD-uay9boGdx</v>
      </c>
      <c r="AF742" s="4"/>
      <c r="AG742" s="4"/>
      <c r="AH742" s="4"/>
      <c r="AI742" s="4"/>
      <c r="AL742" s="4" t="str">
        <f t="shared" si="1"/>
        <v>Cluster 2</v>
      </c>
      <c r="AM742" s="4" t="str">
        <f t="shared" si="2"/>
        <v>REVENUE ROAD</v>
      </c>
    </row>
    <row r="743">
      <c r="A743" s="3">
        <f>IFERROR(__xludf.DUMMYFUNCTION("""COMPUTED_VALUE"""),45853.47145327546)</f>
        <v>45853.47145</v>
      </c>
      <c r="B743" s="4" t="str">
        <f>IFERROR(__xludf.DUMMYFUNCTION("""COMPUTED_VALUE"""),"elhabs256@gmail.com")</f>
        <v>elhabs256@gmail.com</v>
      </c>
      <c r="C743" s="4" t="str">
        <f>IFERROR(__xludf.DUMMYFUNCTION("""COMPUTED_VALUE"""),"Abdullahi Elhabeeb")</f>
        <v>Abdullahi Elhabeeb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 t="str">
        <f>IFERROR(__xludf.DUMMYFUNCTION("""COMPUTED_VALUE"""),"Cluster 2")</f>
        <v>Cluster 2</v>
      </c>
      <c r="Q743" s="4"/>
      <c r="R743" s="4" t="str">
        <f>IFERROR(__xludf.DUMMYFUNCTION("""COMPUTED_VALUE"""),"ALWALI ROAD")</f>
        <v>ALWALI ROAD</v>
      </c>
      <c r="S743" s="4"/>
      <c r="T743" s="4"/>
      <c r="U743" s="4"/>
      <c r="V743" s="4"/>
      <c r="W743" s="4"/>
      <c r="X743" s="4"/>
      <c r="Y743" s="4"/>
      <c r="Z743" s="4"/>
      <c r="AA743" s="4"/>
      <c r="AB743" s="4" t="str">
        <f>IFERROR(__xludf.DUMMYFUNCTION("""COMPUTED_VALUE"""),"Point 2")</f>
        <v>Point 2</v>
      </c>
      <c r="AC743" s="4">
        <f>IFERROR(__xludf.DUMMYFUNCTION("""COMPUTED_VALUE"""),12.00256)</f>
        <v>12.00256</v>
      </c>
      <c r="AD743" s="4">
        <f>IFERROR(__xludf.DUMMYFUNCTION("""COMPUTED_VALUE"""),8.537688)</f>
        <v>8.537688</v>
      </c>
      <c r="AE743" s="5" t="str">
        <f>IFERROR(__xludf.DUMMYFUNCTION("""COMPUTED_VALUE"""),"https://drive.google.com/open?id=1NrJEiz7utU2Eou67f8b4p4z4hjr1hCDd")</f>
        <v>https://drive.google.com/open?id=1NrJEiz7utU2Eou67f8b4p4z4hjr1hCDd</v>
      </c>
      <c r="AF743" s="4"/>
      <c r="AG743" s="4"/>
      <c r="AH743" s="4"/>
      <c r="AI743" s="4"/>
      <c r="AL743" s="4" t="str">
        <f t="shared" si="1"/>
        <v>Cluster 2</v>
      </c>
      <c r="AM743" s="4" t="str">
        <f t="shared" si="2"/>
        <v>ALWALI ROAD</v>
      </c>
    </row>
    <row r="744">
      <c r="A744" s="3">
        <f>IFERROR(__xludf.DUMMYFUNCTION("""COMPUTED_VALUE"""),45853.468287916665)</f>
        <v>45853.46829</v>
      </c>
      <c r="B744" s="4" t="str">
        <f>IFERROR(__xludf.DUMMYFUNCTION("""COMPUTED_VALUE"""),"elhabs256@gmail.com")</f>
        <v>elhabs256@gmail.com</v>
      </c>
      <c r="C744" s="4" t="str">
        <f>IFERROR(__xludf.DUMMYFUNCTION("""COMPUTED_VALUE"""),"Abdullahi Elhabeeb")</f>
        <v>Abdullahi Elhabeeb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 t="str">
        <f>IFERROR(__xludf.DUMMYFUNCTION("""COMPUTED_VALUE"""),"Cluster 2")</f>
        <v>Cluster 2</v>
      </c>
      <c r="Q744" s="4"/>
      <c r="R744" s="4" t="str">
        <f>IFERROR(__xludf.DUMMYFUNCTION("""COMPUTED_VALUE"""),"ALWALI ROAD")</f>
        <v>ALWALI ROAD</v>
      </c>
      <c r="S744" s="4"/>
      <c r="T744" s="4"/>
      <c r="U744" s="4"/>
      <c r="V744" s="4"/>
      <c r="W744" s="4"/>
      <c r="X744" s="4"/>
      <c r="Y744" s="4"/>
      <c r="Z744" s="4"/>
      <c r="AA744" s="4"/>
      <c r="AB744" s="4" t="str">
        <f>IFERROR(__xludf.DUMMYFUNCTION("""COMPUTED_VALUE"""),"Point 1")</f>
        <v>Point 1</v>
      </c>
      <c r="AC744" s="4">
        <f>IFERROR(__xludf.DUMMYFUNCTION("""COMPUTED_VALUE"""),12.00256)</f>
        <v>12.00256</v>
      </c>
      <c r="AD744" s="4">
        <f>IFERROR(__xludf.DUMMYFUNCTION("""COMPUTED_VALUE"""),8.537688)</f>
        <v>8.537688</v>
      </c>
      <c r="AE744" s="5" t="str">
        <f>IFERROR(__xludf.DUMMYFUNCTION("""COMPUTED_VALUE"""),"https://drive.google.com/open?id=1WZvILZNPN0q48_kblzNC5OD3Sr6sjLs_")</f>
        <v>https://drive.google.com/open?id=1WZvILZNPN0q48_kblzNC5OD3Sr6sjLs_</v>
      </c>
      <c r="AF744" s="4"/>
      <c r="AG744" s="4"/>
      <c r="AH744" s="4"/>
      <c r="AI744" s="4"/>
      <c r="AL744" s="4" t="str">
        <f t="shared" si="1"/>
        <v>Cluster 2</v>
      </c>
      <c r="AM744" s="4" t="str">
        <f t="shared" si="2"/>
        <v>ALWALI ROAD</v>
      </c>
    </row>
    <row r="745">
      <c r="A745" s="3">
        <f>IFERROR(__xludf.DUMMYFUNCTION("""COMPUTED_VALUE"""),45853.46636667824)</f>
        <v>45853.46637</v>
      </c>
      <c r="B745" s="4" t="str">
        <f>IFERROR(__xludf.DUMMYFUNCTION("""COMPUTED_VALUE"""),"elhabs256@gmail.com")</f>
        <v>elhabs256@gmail.com</v>
      </c>
      <c r="C745" s="4" t="str">
        <f>IFERROR(__xludf.DUMMYFUNCTION("""COMPUTED_VALUE"""),"Abdullahi Elhabeeb")</f>
        <v>Abdullahi Elhabeeb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 t="str">
        <f>IFERROR(__xludf.DUMMYFUNCTION("""COMPUTED_VALUE"""),"Cluster 2")</f>
        <v>Cluster 2</v>
      </c>
      <c r="Q745" s="4"/>
      <c r="R745" s="4" t="str">
        <f>IFERROR(__xludf.DUMMYFUNCTION("""COMPUTED_VALUE"""),"USMAN LIMAN ROAD")</f>
        <v>USMAN LIMAN ROAD</v>
      </c>
      <c r="S745" s="4"/>
      <c r="T745" s="4"/>
      <c r="U745" s="4"/>
      <c r="V745" s="4"/>
      <c r="W745" s="4"/>
      <c r="X745" s="4"/>
      <c r="Y745" s="4"/>
      <c r="Z745" s="4"/>
      <c r="AA745" s="4"/>
      <c r="AB745" s="4" t="str">
        <f>IFERROR(__xludf.DUMMYFUNCTION("""COMPUTED_VALUE"""),"Point 2")</f>
        <v>Point 2</v>
      </c>
      <c r="AC745" s="4">
        <f>IFERROR(__xludf.DUMMYFUNCTION("""COMPUTED_VALUE"""),12.00245)</f>
        <v>12.00245</v>
      </c>
      <c r="AD745" s="4">
        <f>IFERROR(__xludf.DUMMYFUNCTION("""COMPUTED_VALUE"""),8.53753)</f>
        <v>8.53753</v>
      </c>
      <c r="AE745" s="5" t="str">
        <f>IFERROR(__xludf.DUMMYFUNCTION("""COMPUTED_VALUE"""),"https://drive.google.com/open?id=1KF5X7YMh9js0cEZGrgTbjHdglquEQh2S")</f>
        <v>https://drive.google.com/open?id=1KF5X7YMh9js0cEZGrgTbjHdglquEQh2S</v>
      </c>
      <c r="AF745" s="4"/>
      <c r="AG745" s="4"/>
      <c r="AH745" s="4"/>
      <c r="AI745" s="4"/>
      <c r="AL745" s="4" t="str">
        <f t="shared" si="1"/>
        <v>Cluster 2</v>
      </c>
      <c r="AM745" s="4" t="str">
        <f t="shared" si="2"/>
        <v>USMAN LIMAN ROAD</v>
      </c>
    </row>
    <row r="746">
      <c r="A746" s="3">
        <f>IFERROR(__xludf.DUMMYFUNCTION("""COMPUTED_VALUE"""),45853.46346108796)</f>
        <v>45853.46346</v>
      </c>
      <c r="B746" s="4" t="str">
        <f>IFERROR(__xludf.DUMMYFUNCTION("""COMPUTED_VALUE"""),"elhabs256@gmail.com")</f>
        <v>elhabs256@gmail.com</v>
      </c>
      <c r="C746" s="4" t="str">
        <f>IFERROR(__xludf.DUMMYFUNCTION("""COMPUTED_VALUE"""),"Abdullahi Elhabeeb")</f>
        <v>Abdullahi Elhabeeb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 t="str">
        <f>IFERROR(__xludf.DUMMYFUNCTION("""COMPUTED_VALUE"""),"Cluster 2")</f>
        <v>Cluster 2</v>
      </c>
      <c r="Q746" s="4"/>
      <c r="R746" s="4" t="str">
        <f>IFERROR(__xludf.DUMMYFUNCTION("""COMPUTED_VALUE"""),"USMAN LIMAN ROAD")</f>
        <v>USMAN LIMAN ROAD</v>
      </c>
      <c r="S746" s="4"/>
      <c r="T746" s="4"/>
      <c r="U746" s="4"/>
      <c r="V746" s="4"/>
      <c r="W746" s="4"/>
      <c r="X746" s="4"/>
      <c r="Y746" s="4"/>
      <c r="Z746" s="4"/>
      <c r="AA746" s="4"/>
      <c r="AB746" s="4" t="str">
        <f>IFERROR(__xludf.DUMMYFUNCTION("""COMPUTED_VALUE"""),"Point 1")</f>
        <v>Point 1</v>
      </c>
      <c r="AC746" s="4">
        <f>IFERROR(__xludf.DUMMYFUNCTION("""COMPUTED_VALUE"""),12.00245)</f>
        <v>12.00245</v>
      </c>
      <c r="AD746" s="4">
        <f>IFERROR(__xludf.DUMMYFUNCTION("""COMPUTED_VALUE"""),8.53753)</f>
        <v>8.53753</v>
      </c>
      <c r="AE746" s="5" t="str">
        <f>IFERROR(__xludf.DUMMYFUNCTION("""COMPUTED_VALUE"""),"https://drive.google.com/open?id=10wlujz0dd1aCAiu7PQj39_O7UfMRWGON")</f>
        <v>https://drive.google.com/open?id=10wlujz0dd1aCAiu7PQj39_O7UfMRWGON</v>
      </c>
      <c r="AF746" s="4"/>
      <c r="AG746" s="4"/>
      <c r="AH746" s="4"/>
      <c r="AI746" s="4"/>
      <c r="AL746" s="4" t="str">
        <f t="shared" si="1"/>
        <v>Cluster 2</v>
      </c>
      <c r="AM746" s="4" t="str">
        <f t="shared" si="2"/>
        <v>USMAN LIMAN ROAD</v>
      </c>
    </row>
    <row r="747">
      <c r="A747" s="3">
        <f>IFERROR(__xludf.DUMMYFUNCTION("""COMPUTED_VALUE"""),45853.45715412037)</f>
        <v>45853.45715</v>
      </c>
      <c r="B747" s="4" t="str">
        <f>IFERROR(__xludf.DUMMYFUNCTION("""COMPUTED_VALUE"""),"elhabs256@gmail.com")</f>
        <v>elhabs256@gmail.com</v>
      </c>
      <c r="C747" s="4" t="str">
        <f>IFERROR(__xludf.DUMMYFUNCTION("""COMPUTED_VALUE"""),"Abdullahi Elhabeeb")</f>
        <v>Abdullahi Elhabeeb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 t="str">
        <f>IFERROR(__xludf.DUMMYFUNCTION("""COMPUTED_VALUE"""),"Cluster 2")</f>
        <v>Cluster 2</v>
      </c>
      <c r="Q747" s="4"/>
      <c r="R747" s="4" t="str">
        <f>IFERROR(__xludf.DUMMYFUNCTION("""COMPUTED_VALUE"""),"CIVIC CENTRE ROAD")</f>
        <v>CIVIC CENTRE ROAD</v>
      </c>
      <c r="S747" s="4"/>
      <c r="T747" s="4"/>
      <c r="U747" s="4"/>
      <c r="V747" s="4"/>
      <c r="W747" s="4"/>
      <c r="X747" s="4"/>
      <c r="Y747" s="4"/>
      <c r="Z747" s="4"/>
      <c r="AA747" s="4"/>
      <c r="AB747" s="4" t="str">
        <f>IFERROR(__xludf.DUMMYFUNCTION("""COMPUTED_VALUE"""),"Point 2")</f>
        <v>Point 2</v>
      </c>
      <c r="AC747" s="4">
        <f>IFERROR(__xludf.DUMMYFUNCTION("""COMPUTED_VALUE"""),12.0006)</f>
        <v>12.0006</v>
      </c>
      <c r="AD747" s="4">
        <f>IFERROR(__xludf.DUMMYFUNCTION("""COMPUTED_VALUE"""),8.53469)</f>
        <v>8.53469</v>
      </c>
      <c r="AE747" s="5" t="str">
        <f>IFERROR(__xludf.DUMMYFUNCTION("""COMPUTED_VALUE"""),"https://drive.google.com/open?id=1FyEenowVhdoJsuqg7d6cT7bOlN4CSXyI")</f>
        <v>https://drive.google.com/open?id=1FyEenowVhdoJsuqg7d6cT7bOlN4CSXyI</v>
      </c>
      <c r="AF747" s="4"/>
      <c r="AG747" s="4"/>
      <c r="AH747" s="4"/>
      <c r="AI747" s="4"/>
      <c r="AL747" s="4" t="str">
        <f t="shared" si="1"/>
        <v>Cluster 2</v>
      </c>
      <c r="AM747" s="4" t="str">
        <f t="shared" si="2"/>
        <v>CIVIC CENTRE ROAD</v>
      </c>
    </row>
    <row r="748">
      <c r="A748" s="3">
        <f>IFERROR(__xludf.DUMMYFUNCTION("""COMPUTED_VALUE"""),45853.455617997686)</f>
        <v>45853.45562</v>
      </c>
      <c r="B748" s="4" t="str">
        <f>IFERROR(__xludf.DUMMYFUNCTION("""COMPUTED_VALUE"""),"elhabs256@gmail.com")</f>
        <v>elhabs256@gmail.com</v>
      </c>
      <c r="C748" s="4" t="str">
        <f>IFERROR(__xludf.DUMMYFUNCTION("""COMPUTED_VALUE"""),"Abdullahi Elhabeeb")</f>
        <v>Abdullahi Elhabeeb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 t="str">
        <f>IFERROR(__xludf.DUMMYFUNCTION("""COMPUTED_VALUE"""),"Cluster 2")</f>
        <v>Cluster 2</v>
      </c>
      <c r="Q748" s="4"/>
      <c r="R748" s="4" t="str">
        <f>IFERROR(__xludf.DUMMYFUNCTION("""COMPUTED_VALUE"""),"CIVIC CENTRE ROAD")</f>
        <v>CIVIC CENTRE ROAD</v>
      </c>
      <c r="S748" s="4"/>
      <c r="T748" s="4"/>
      <c r="U748" s="4"/>
      <c r="V748" s="4"/>
      <c r="W748" s="4"/>
      <c r="X748" s="4"/>
      <c r="Y748" s="4"/>
      <c r="Z748" s="4"/>
      <c r="AA748" s="4"/>
      <c r="AB748" s="4" t="str">
        <f>IFERROR(__xludf.DUMMYFUNCTION("""COMPUTED_VALUE"""),"Point 1")</f>
        <v>Point 1</v>
      </c>
      <c r="AC748" s="4">
        <f>IFERROR(__xludf.DUMMYFUNCTION("""COMPUTED_VALUE"""),12.0006)</f>
        <v>12.0006</v>
      </c>
      <c r="AD748" s="4">
        <f>IFERROR(__xludf.DUMMYFUNCTION("""COMPUTED_VALUE"""),8.53469)</f>
        <v>8.53469</v>
      </c>
      <c r="AE748" s="5" t="str">
        <f>IFERROR(__xludf.DUMMYFUNCTION("""COMPUTED_VALUE"""),"https://drive.google.com/open?id=1SDwBtS_k7-b1UDCZ_AG3C-EU_9PQad4B")</f>
        <v>https://drive.google.com/open?id=1SDwBtS_k7-b1UDCZ_AG3C-EU_9PQad4B</v>
      </c>
      <c r="AF748" s="4"/>
      <c r="AG748" s="4"/>
      <c r="AH748" s="4"/>
      <c r="AI748" s="4"/>
      <c r="AL748" s="4" t="str">
        <f t="shared" si="1"/>
        <v>Cluster 2</v>
      </c>
      <c r="AM748" s="4" t="str">
        <f t="shared" si="2"/>
        <v>CIVIC CENTRE ROAD</v>
      </c>
    </row>
    <row r="749">
      <c r="A749" s="3">
        <f>IFERROR(__xludf.DUMMYFUNCTION("""COMPUTED_VALUE"""),45853.45385048611)</f>
        <v>45853.45385</v>
      </c>
      <c r="B749" s="4" t="str">
        <f>IFERROR(__xludf.DUMMYFUNCTION("""COMPUTED_VALUE"""),"elhabs256@gmail.com")</f>
        <v>elhabs256@gmail.com</v>
      </c>
      <c r="C749" s="4" t="str">
        <f>IFERROR(__xludf.DUMMYFUNCTION("""COMPUTED_VALUE"""),"Abdullahi Elhabeeb")</f>
        <v>Abdullahi Elhabeeb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 t="str">
        <f>IFERROR(__xludf.DUMMYFUNCTION("""COMPUTED_VALUE"""),"Cluster 2")</f>
        <v>Cluster 2</v>
      </c>
      <c r="Q749" s="4"/>
      <c r="R749" s="4" t="str">
        <f>IFERROR(__xludf.DUMMYFUNCTION("""COMPUTED_VALUE"""),"INUWA WADA LANE")</f>
        <v>INUWA WADA LANE</v>
      </c>
      <c r="S749" s="4"/>
      <c r="T749" s="4"/>
      <c r="U749" s="4"/>
      <c r="V749" s="4"/>
      <c r="W749" s="4"/>
      <c r="X749" s="4"/>
      <c r="Y749" s="4"/>
      <c r="Z749" s="4"/>
      <c r="AA749" s="4"/>
      <c r="AB749" s="4" t="str">
        <f>IFERROR(__xludf.DUMMYFUNCTION("""COMPUTED_VALUE"""),"Point 2")</f>
        <v>Point 2</v>
      </c>
      <c r="AC749" s="4">
        <f>IFERROR(__xludf.DUMMYFUNCTION("""COMPUTED_VALUE"""),12.0005)</f>
        <v>12.0005</v>
      </c>
      <c r="AD749" s="4">
        <f>IFERROR(__xludf.DUMMYFUNCTION("""COMPUTED_VALUE"""),8.535439)</f>
        <v>8.535439</v>
      </c>
      <c r="AE749" s="5" t="str">
        <f>IFERROR(__xludf.DUMMYFUNCTION("""COMPUTED_VALUE"""),"https://drive.google.com/open?id=1ZW8bIHdOKjtRyQ44WXtM4E57KIIwnlac")</f>
        <v>https://drive.google.com/open?id=1ZW8bIHdOKjtRyQ44WXtM4E57KIIwnlac</v>
      </c>
      <c r="AF749" s="4"/>
      <c r="AG749" s="4"/>
      <c r="AH749" s="4"/>
      <c r="AI749" s="4"/>
      <c r="AL749" s="4" t="str">
        <f t="shared" si="1"/>
        <v>Cluster 2</v>
      </c>
      <c r="AM749" s="4" t="str">
        <f t="shared" si="2"/>
        <v>INUWA WADA LANE</v>
      </c>
    </row>
    <row r="750">
      <c r="A750" s="3">
        <f>IFERROR(__xludf.DUMMYFUNCTION("""COMPUTED_VALUE"""),45853.45257673611)</f>
        <v>45853.45258</v>
      </c>
      <c r="B750" s="4" t="str">
        <f>IFERROR(__xludf.DUMMYFUNCTION("""COMPUTED_VALUE"""),"elhabs256@gmail.com")</f>
        <v>elhabs256@gmail.com</v>
      </c>
      <c r="C750" s="4" t="str">
        <f>IFERROR(__xludf.DUMMYFUNCTION("""COMPUTED_VALUE"""),"Abdullahi Elhabeeb")</f>
        <v>Abdullahi Elhabeeb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 t="str">
        <f>IFERROR(__xludf.DUMMYFUNCTION("""COMPUTED_VALUE"""),"Cluster 2")</f>
        <v>Cluster 2</v>
      </c>
      <c r="Q750" s="4"/>
      <c r="R750" s="4" t="str">
        <f>IFERROR(__xludf.DUMMYFUNCTION("""COMPUTED_VALUE"""),"INUWA WADA LANE")</f>
        <v>INUWA WADA LANE</v>
      </c>
      <c r="S750" s="4"/>
      <c r="T750" s="4"/>
      <c r="U750" s="4"/>
      <c r="V750" s="4"/>
      <c r="W750" s="4"/>
      <c r="X750" s="4"/>
      <c r="Y750" s="4"/>
      <c r="Z750" s="4"/>
      <c r="AA750" s="4"/>
      <c r="AB750" s="4" t="str">
        <f>IFERROR(__xludf.DUMMYFUNCTION("""COMPUTED_VALUE"""),"Point 1")</f>
        <v>Point 1</v>
      </c>
      <c r="AC750" s="4">
        <f>IFERROR(__xludf.DUMMYFUNCTION("""COMPUTED_VALUE"""),12.0005)</f>
        <v>12.0005</v>
      </c>
      <c r="AD750" s="4">
        <f>IFERROR(__xludf.DUMMYFUNCTION("""COMPUTED_VALUE"""),8.535439)</f>
        <v>8.535439</v>
      </c>
      <c r="AE750" s="5" t="str">
        <f>IFERROR(__xludf.DUMMYFUNCTION("""COMPUTED_VALUE"""),"https://drive.google.com/open?id=1V8RVXzBEarCVxbZQg1sU0ExU24zuFfsU")</f>
        <v>https://drive.google.com/open?id=1V8RVXzBEarCVxbZQg1sU0ExU24zuFfsU</v>
      </c>
      <c r="AF750" s="4"/>
      <c r="AG750" s="4"/>
      <c r="AH750" s="4"/>
      <c r="AI750" s="4"/>
      <c r="AL750" s="4" t="str">
        <f t="shared" si="1"/>
        <v>Cluster 2</v>
      </c>
      <c r="AM750" s="4" t="str">
        <f t="shared" si="2"/>
        <v>INUWA WADA LANE</v>
      </c>
    </row>
    <row r="751">
      <c r="A751" s="3">
        <f>IFERROR(__xludf.DUMMYFUNCTION("""COMPUTED_VALUE"""),45853.450815000004)</f>
        <v>45853.45082</v>
      </c>
      <c r="B751" s="4" t="str">
        <f>IFERROR(__xludf.DUMMYFUNCTION("""COMPUTED_VALUE"""),"elhabs256@gmail.com")</f>
        <v>elhabs256@gmail.com</v>
      </c>
      <c r="C751" s="4" t="str">
        <f>IFERROR(__xludf.DUMMYFUNCTION("""COMPUTED_VALUE"""),"Abdullahi Elhabeeb")</f>
        <v>Abdullahi Elhabeeb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 t="str">
        <f>IFERROR(__xludf.DUMMYFUNCTION("""COMPUTED_VALUE"""),"Cluster 2")</f>
        <v>Cluster 2</v>
      </c>
      <c r="Q751" s="4"/>
      <c r="R751" s="4" t="str">
        <f>IFERROR(__xludf.DUMMYFUNCTION("""COMPUTED_VALUE"""),"AJASA YAN SIMINTI ROAD")</f>
        <v>AJASA YAN SIMINTI ROAD</v>
      </c>
      <c r="S751" s="4"/>
      <c r="T751" s="4"/>
      <c r="U751" s="4"/>
      <c r="V751" s="4"/>
      <c r="W751" s="4"/>
      <c r="X751" s="4"/>
      <c r="Y751" s="4"/>
      <c r="Z751" s="4"/>
      <c r="AA751" s="4"/>
      <c r="AB751" s="4" t="str">
        <f>IFERROR(__xludf.DUMMYFUNCTION("""COMPUTED_VALUE"""),"Point 1")</f>
        <v>Point 1</v>
      </c>
      <c r="AC751" s="4">
        <f>IFERROR(__xludf.DUMMYFUNCTION("""COMPUTED_VALUE"""),12.0004)</f>
        <v>12.0004</v>
      </c>
      <c r="AD751" s="4">
        <f>IFERROR(__xludf.DUMMYFUNCTION("""COMPUTED_VALUE"""),8.535972)</f>
        <v>8.535972</v>
      </c>
      <c r="AE751" s="5" t="str">
        <f>IFERROR(__xludf.DUMMYFUNCTION("""COMPUTED_VALUE"""),"https://drive.google.com/open?id=1R27DC0yzB1IFsM1ZD_8_GzMe9hVrB3T_")</f>
        <v>https://drive.google.com/open?id=1R27DC0yzB1IFsM1ZD_8_GzMe9hVrB3T_</v>
      </c>
      <c r="AF751" s="4"/>
      <c r="AG751" s="4"/>
      <c r="AH751" s="4"/>
      <c r="AI751" s="4"/>
      <c r="AL751" s="4" t="str">
        <f t="shared" si="1"/>
        <v>Cluster 2</v>
      </c>
      <c r="AM751" s="4" t="str">
        <f t="shared" si="2"/>
        <v>AJASA YAN SIMINTI ROAD</v>
      </c>
    </row>
    <row r="752">
      <c r="A752" s="3">
        <f>IFERROR(__xludf.DUMMYFUNCTION("""COMPUTED_VALUE"""),45853.44815435185)</f>
        <v>45853.44815</v>
      </c>
      <c r="B752" s="4" t="str">
        <f>IFERROR(__xludf.DUMMYFUNCTION("""COMPUTED_VALUE"""),"elhabs256@gmail.com")</f>
        <v>elhabs256@gmail.com</v>
      </c>
      <c r="C752" s="4" t="str">
        <f>IFERROR(__xludf.DUMMYFUNCTION("""COMPUTED_VALUE"""),"Abdullahi Elhabeeb")</f>
        <v>Abdullahi Elhabeeb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 t="str">
        <f>IFERROR(__xludf.DUMMYFUNCTION("""COMPUTED_VALUE"""),"Cluster 2")</f>
        <v>Cluster 2</v>
      </c>
      <c r="Q752" s="4"/>
      <c r="R752" s="4" t="str">
        <f>IFERROR(__xludf.DUMMYFUNCTION("""COMPUTED_VALUE"""),"AJASA ROAD")</f>
        <v>AJASA ROAD</v>
      </c>
      <c r="S752" s="4"/>
      <c r="T752" s="4"/>
      <c r="U752" s="4"/>
      <c r="V752" s="4"/>
      <c r="W752" s="4"/>
      <c r="X752" s="4"/>
      <c r="Y752" s="4"/>
      <c r="Z752" s="4"/>
      <c r="AA752" s="4"/>
      <c r="AB752" s="4" t="str">
        <f>IFERROR(__xludf.DUMMYFUNCTION("""COMPUTED_VALUE"""),"Point 2")</f>
        <v>Point 2</v>
      </c>
      <c r="AC752" s="4">
        <f>IFERROR(__xludf.DUMMYFUNCTION("""COMPUTED_VALUE"""),12.0004)</f>
        <v>12.0004</v>
      </c>
      <c r="AD752" s="4">
        <f>IFERROR(__xludf.DUMMYFUNCTION("""COMPUTED_VALUE"""),8.535972)</f>
        <v>8.535972</v>
      </c>
      <c r="AE752" s="5" t="str">
        <f>IFERROR(__xludf.DUMMYFUNCTION("""COMPUTED_VALUE"""),"https://drive.google.com/open?id=14CmOjECvh9qufvQGpkaOy_IiMCeA6Li1")</f>
        <v>https://drive.google.com/open?id=14CmOjECvh9qufvQGpkaOy_IiMCeA6Li1</v>
      </c>
      <c r="AF752" s="4"/>
      <c r="AG752" s="4"/>
      <c r="AH752" s="4"/>
      <c r="AI752" s="4"/>
      <c r="AL752" s="4" t="str">
        <f t="shared" si="1"/>
        <v>Cluster 2</v>
      </c>
      <c r="AM752" s="4" t="str">
        <f t="shared" si="2"/>
        <v>AJASA ROAD</v>
      </c>
    </row>
    <row r="753">
      <c r="A753" s="3">
        <f>IFERROR(__xludf.DUMMYFUNCTION("""COMPUTED_VALUE"""),45853.44623356481)</f>
        <v>45853.44623</v>
      </c>
      <c r="B753" s="4" t="str">
        <f>IFERROR(__xludf.DUMMYFUNCTION("""COMPUTED_VALUE"""),"elhabs256@gmail.com")</f>
        <v>elhabs256@gmail.com</v>
      </c>
      <c r="C753" s="4" t="str">
        <f>IFERROR(__xludf.DUMMYFUNCTION("""COMPUTED_VALUE"""),"Abdullahi Elhabeeb")</f>
        <v>Abdullahi Elhabeeb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 t="str">
        <f>IFERROR(__xludf.DUMMYFUNCTION("""COMPUTED_VALUE"""),"Cluster 2")</f>
        <v>Cluster 2</v>
      </c>
      <c r="Q753" s="4"/>
      <c r="R753" s="4" t="str">
        <f>IFERROR(__xludf.DUMMYFUNCTION("""COMPUTED_VALUE"""),"AJASA ROAD")</f>
        <v>AJASA ROAD</v>
      </c>
      <c r="S753" s="4"/>
      <c r="T753" s="4"/>
      <c r="U753" s="4"/>
      <c r="V753" s="4"/>
      <c r="W753" s="4"/>
      <c r="X753" s="4"/>
      <c r="Y753" s="4"/>
      <c r="Z753" s="4"/>
      <c r="AA753" s="4"/>
      <c r="AB753" s="4" t="str">
        <f>IFERROR(__xludf.DUMMYFUNCTION("""COMPUTED_VALUE"""),"Point 1")</f>
        <v>Point 1</v>
      </c>
      <c r="AC753" s="4">
        <f>IFERROR(__xludf.DUMMYFUNCTION("""COMPUTED_VALUE"""),12.0004)</f>
        <v>12.0004</v>
      </c>
      <c r="AD753" s="4">
        <f>IFERROR(__xludf.DUMMYFUNCTION("""COMPUTED_VALUE"""),8.535972)</f>
        <v>8.535972</v>
      </c>
      <c r="AE753" s="5" t="str">
        <f>IFERROR(__xludf.DUMMYFUNCTION("""COMPUTED_VALUE"""),"https://drive.google.com/open?id=1j5wbzZTYCpfFUhciwDZCG7f4c-jOQXXz")</f>
        <v>https://drive.google.com/open?id=1j5wbzZTYCpfFUhciwDZCG7f4c-jOQXXz</v>
      </c>
      <c r="AF753" s="4"/>
      <c r="AG753" s="4"/>
      <c r="AH753" s="4"/>
      <c r="AI753" s="4"/>
      <c r="AL753" s="4" t="str">
        <f t="shared" si="1"/>
        <v>Cluster 2</v>
      </c>
      <c r="AM753" s="4" t="str">
        <f t="shared" si="2"/>
        <v>AJASA ROAD</v>
      </c>
    </row>
    <row r="754">
      <c r="A754" s="3">
        <f>IFERROR(__xludf.DUMMYFUNCTION("""COMPUTED_VALUE"""),45853.44456021991)</f>
        <v>45853.44456</v>
      </c>
      <c r="B754" s="4" t="str">
        <f>IFERROR(__xludf.DUMMYFUNCTION("""COMPUTED_VALUE"""),"elhabs256@gmail.com")</f>
        <v>elhabs256@gmail.com</v>
      </c>
      <c r="C754" s="4" t="str">
        <f>IFERROR(__xludf.DUMMYFUNCTION("""COMPUTED_VALUE"""),"Abdullahi Elhabeeb")</f>
        <v>Abdullahi Elhabeeb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 t="str">
        <f>IFERROR(__xludf.DUMMYFUNCTION("""COMPUTED_VALUE"""),"Cluster 2")</f>
        <v>Cluster 2</v>
      </c>
      <c r="Q754" s="4"/>
      <c r="R754" s="4" t="str">
        <f>IFERROR(__xludf.DUMMYFUNCTION("""COMPUTED_VALUE"""),"TREE LANE")</f>
        <v>TREE LANE</v>
      </c>
      <c r="S754" s="4"/>
      <c r="T754" s="4"/>
      <c r="U754" s="4"/>
      <c r="V754" s="4"/>
      <c r="W754" s="4"/>
      <c r="X754" s="4"/>
      <c r="Y754" s="4"/>
      <c r="Z754" s="4"/>
      <c r="AA754" s="4"/>
      <c r="AB754" s="4" t="str">
        <f>IFERROR(__xludf.DUMMYFUNCTION("""COMPUTED_VALUE"""),"Point 2")</f>
        <v>Point 2</v>
      </c>
      <c r="AC754" s="4">
        <f>IFERROR(__xludf.DUMMYFUNCTION("""COMPUTED_VALUE"""),11.9985)</f>
        <v>11.9985</v>
      </c>
      <c r="AD754" s="4">
        <f>IFERROR(__xludf.DUMMYFUNCTION("""COMPUTED_VALUE"""),8.535844)</f>
        <v>8.535844</v>
      </c>
      <c r="AE754" s="5" t="str">
        <f>IFERROR(__xludf.DUMMYFUNCTION("""COMPUTED_VALUE"""),"https://drive.google.com/open?id=1NrmvTF2QfLze3086W3MTAKl2LLjRX08v")</f>
        <v>https://drive.google.com/open?id=1NrmvTF2QfLze3086W3MTAKl2LLjRX08v</v>
      </c>
      <c r="AF754" s="4"/>
      <c r="AG754" s="4"/>
      <c r="AH754" s="4"/>
      <c r="AI754" s="4"/>
      <c r="AL754" s="4" t="str">
        <f t="shared" si="1"/>
        <v>Cluster 2</v>
      </c>
      <c r="AM754" s="4" t="str">
        <f t="shared" si="2"/>
        <v>TREE LANE</v>
      </c>
    </row>
    <row r="755">
      <c r="A755" s="3">
        <f>IFERROR(__xludf.DUMMYFUNCTION("""COMPUTED_VALUE"""),45853.443153078704)</f>
        <v>45853.44315</v>
      </c>
      <c r="B755" s="4" t="str">
        <f>IFERROR(__xludf.DUMMYFUNCTION("""COMPUTED_VALUE"""),"elhabs256@gmail.com")</f>
        <v>elhabs256@gmail.com</v>
      </c>
      <c r="C755" s="4" t="str">
        <f>IFERROR(__xludf.DUMMYFUNCTION("""COMPUTED_VALUE"""),"Abdullahi Elhabeeb")</f>
        <v>Abdullahi Elhabeeb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 t="str">
        <f>IFERROR(__xludf.DUMMYFUNCTION("""COMPUTED_VALUE"""),"Cluster 2")</f>
        <v>Cluster 2</v>
      </c>
      <c r="Q755" s="4"/>
      <c r="R755" s="4" t="str">
        <f>IFERROR(__xludf.DUMMYFUNCTION("""COMPUTED_VALUE"""),"TREE LANE")</f>
        <v>TREE LANE</v>
      </c>
      <c r="S755" s="4"/>
      <c r="T755" s="4"/>
      <c r="U755" s="4"/>
      <c r="V755" s="4"/>
      <c r="W755" s="4"/>
      <c r="X755" s="4"/>
      <c r="Y755" s="4"/>
      <c r="Z755" s="4"/>
      <c r="AA755" s="4"/>
      <c r="AB755" s="4" t="str">
        <f>IFERROR(__xludf.DUMMYFUNCTION("""COMPUTED_VALUE"""),"Point 1")</f>
        <v>Point 1</v>
      </c>
      <c r="AC755" s="4">
        <f>IFERROR(__xludf.DUMMYFUNCTION("""COMPUTED_VALUE"""),11.9985)</f>
        <v>11.9985</v>
      </c>
      <c r="AD755" s="4">
        <f>IFERROR(__xludf.DUMMYFUNCTION("""COMPUTED_VALUE"""),8.535844)</f>
        <v>8.535844</v>
      </c>
      <c r="AE755" s="5" t="str">
        <f>IFERROR(__xludf.DUMMYFUNCTION("""COMPUTED_VALUE"""),"https://drive.google.com/open?id=1W-E0e2j-xwwgGyNXyOO-dbItRJHkvCc-")</f>
        <v>https://drive.google.com/open?id=1W-E0e2j-xwwgGyNXyOO-dbItRJHkvCc-</v>
      </c>
      <c r="AF755" s="4"/>
      <c r="AG755" s="4"/>
      <c r="AH755" s="4"/>
      <c r="AI755" s="4"/>
      <c r="AL755" s="4" t="str">
        <f t="shared" si="1"/>
        <v>Cluster 2</v>
      </c>
      <c r="AM755" s="4" t="str">
        <f t="shared" si="2"/>
        <v>TREE LANE</v>
      </c>
    </row>
    <row r="756">
      <c r="A756" s="3">
        <f>IFERROR(__xludf.DUMMYFUNCTION("""COMPUTED_VALUE"""),45852.66331509259)</f>
        <v>45852.66332</v>
      </c>
      <c r="B756" s="4" t="str">
        <f>IFERROR(__xludf.DUMMYFUNCTION("""COMPUTED_VALUE"""),"iahmadzakari@gmail.com")</f>
        <v>iahmadzakari@gmail.com</v>
      </c>
      <c r="C756" s="4" t="str">
        <f>IFERROR(__xludf.DUMMYFUNCTION("""COMPUTED_VALUE"""),"Sadiq Ilu")</f>
        <v>Sadiq Ilu</v>
      </c>
      <c r="D756" s="4" t="str">
        <f>IFERROR(__xludf.DUMMYFUNCTION("""COMPUTED_VALUE"""),"Cluster 4")</f>
        <v>Cluster 4</v>
      </c>
      <c r="E756" s="4"/>
      <c r="F756" s="4" t="str">
        <f>IFERROR(__xludf.DUMMYFUNCTION("""COMPUTED_VALUE"""),"IROKO AVENUE")</f>
        <v>IROKO AVENUE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>
        <f>IFERROR(__xludf.DUMMYFUNCTION("""COMPUTED_VALUE"""),2.0)</f>
        <v>2</v>
      </c>
      <c r="AC756" s="4">
        <f>IFERROR(__xludf.DUMMYFUNCTION("""COMPUTED_VALUE"""),12.030332)</f>
        <v>12.030332</v>
      </c>
      <c r="AD756" s="4">
        <f>IFERROR(__xludf.DUMMYFUNCTION("""COMPUTED_VALUE"""),8.534262)</f>
        <v>8.534262</v>
      </c>
      <c r="AE756" s="5" t="str">
        <f>IFERROR(__xludf.DUMMYFUNCTION("""COMPUTED_VALUE"""),"https://drive.google.com/open?id=1QcaWkHZUGNLmBxn1ueO_R6jUgpRvPkp0")</f>
        <v>https://drive.google.com/open?id=1QcaWkHZUGNLmBxn1ueO_R6jUgpRvPkp0</v>
      </c>
      <c r="AF756" s="4"/>
      <c r="AG756" s="4"/>
      <c r="AH756" s="4"/>
      <c r="AI756" s="4"/>
      <c r="AL756" s="4" t="str">
        <f t="shared" si="1"/>
        <v>Cluster 4</v>
      </c>
      <c r="AM756" s="4" t="str">
        <f t="shared" si="2"/>
        <v>IROKO AVENUE</v>
      </c>
    </row>
    <row r="757">
      <c r="A757" s="3">
        <f>IFERROR(__xludf.DUMMYFUNCTION("""COMPUTED_VALUE"""),45852.662428993055)</f>
        <v>45852.66243</v>
      </c>
      <c r="B757" s="4" t="str">
        <f>IFERROR(__xludf.DUMMYFUNCTION("""COMPUTED_VALUE"""),"iahmadzakari@gmail.com")</f>
        <v>iahmadzakari@gmail.com</v>
      </c>
      <c r="C757" s="4" t="str">
        <f>IFERROR(__xludf.DUMMYFUNCTION("""COMPUTED_VALUE"""),"Sadiq Ilu")</f>
        <v>Sadiq Ilu</v>
      </c>
      <c r="D757" s="4" t="str">
        <f>IFERROR(__xludf.DUMMYFUNCTION("""COMPUTED_VALUE"""),"Cluster 4")</f>
        <v>Cluster 4</v>
      </c>
      <c r="E757" s="4"/>
      <c r="F757" s="4" t="str">
        <f>IFERROR(__xludf.DUMMYFUNCTION("""COMPUTED_VALUE"""),"IROKO AVENUE")</f>
        <v>IROKO AVENUE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>
        <f>IFERROR(__xludf.DUMMYFUNCTION("""COMPUTED_VALUE"""),1.0)</f>
        <v>1</v>
      </c>
      <c r="AC757" s="4">
        <f>IFERROR(__xludf.DUMMYFUNCTION("""COMPUTED_VALUE"""),12.031767)</f>
        <v>12.031767</v>
      </c>
      <c r="AD757" s="4">
        <f>IFERROR(__xludf.DUMMYFUNCTION("""COMPUTED_VALUE"""),8.534248)</f>
        <v>8.534248</v>
      </c>
      <c r="AE757" s="5" t="str">
        <f>IFERROR(__xludf.DUMMYFUNCTION("""COMPUTED_VALUE"""),"https://drive.google.com/open?id=1RpPv_A_0zpnEQKJpCPqPweMSLrwPOgty")</f>
        <v>https://drive.google.com/open?id=1RpPv_A_0zpnEQKJpCPqPweMSLrwPOgty</v>
      </c>
      <c r="AF757" s="4"/>
      <c r="AG757" s="4"/>
      <c r="AH757" s="4"/>
      <c r="AI757" s="4"/>
      <c r="AL757" s="4" t="str">
        <f t="shared" si="1"/>
        <v>Cluster 4</v>
      </c>
      <c r="AM757" s="4" t="str">
        <f t="shared" si="2"/>
        <v>IROKO AVENUE</v>
      </c>
    </row>
    <row r="758">
      <c r="A758" s="3">
        <f>IFERROR(__xludf.DUMMYFUNCTION("""COMPUTED_VALUE"""),45852.66120534722)</f>
        <v>45852.66121</v>
      </c>
      <c r="B758" s="4" t="str">
        <f>IFERROR(__xludf.DUMMYFUNCTION("""COMPUTED_VALUE"""),"iahmadzakari@gmail.com")</f>
        <v>iahmadzakari@gmail.com</v>
      </c>
      <c r="C758" s="4" t="str">
        <f>IFERROR(__xludf.DUMMYFUNCTION("""COMPUTED_VALUE"""),"Sadiq Ilu")</f>
        <v>Sadiq Ilu</v>
      </c>
      <c r="D758" s="4" t="str">
        <f>IFERROR(__xludf.DUMMYFUNCTION("""COMPUTED_VALUE"""),"Cluster 4")</f>
        <v>Cluster 4</v>
      </c>
      <c r="E758" s="4"/>
      <c r="F758" s="4" t="str">
        <f>IFERROR(__xludf.DUMMYFUNCTION("""COMPUTED_VALUE"""),"KING'S GARDEN ROAD")</f>
        <v>KING'S GARDEN ROAD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>
        <f>IFERROR(__xludf.DUMMYFUNCTION("""COMPUTED_VALUE"""),2.0)</f>
        <v>2</v>
      </c>
      <c r="AC758" s="4">
        <f>IFERROR(__xludf.DUMMYFUNCTION("""COMPUTED_VALUE"""),12.026146)</f>
        <v>12.026146</v>
      </c>
      <c r="AD758" s="4">
        <f>IFERROR(__xludf.DUMMYFUNCTION("""COMPUTED_VALUE"""),8.543843)</f>
        <v>8.543843</v>
      </c>
      <c r="AE758" s="5" t="str">
        <f>IFERROR(__xludf.DUMMYFUNCTION("""COMPUTED_VALUE"""),"https://drive.google.com/open?id=1YjwwZ33Setj-7dESgh3aztBanRvWnRZQ")</f>
        <v>https://drive.google.com/open?id=1YjwwZ33Setj-7dESgh3aztBanRvWnRZQ</v>
      </c>
      <c r="AF758" s="4"/>
      <c r="AG758" s="4"/>
      <c r="AH758" s="4"/>
      <c r="AI758" s="4"/>
      <c r="AL758" s="4" t="str">
        <f t="shared" si="1"/>
        <v>Cluster 4</v>
      </c>
      <c r="AM758" s="4" t="str">
        <f t="shared" si="2"/>
        <v>KING'S GARDEN ROAD</v>
      </c>
    </row>
    <row r="759">
      <c r="A759" s="3">
        <f>IFERROR(__xludf.DUMMYFUNCTION("""COMPUTED_VALUE"""),45852.66023347223)</f>
        <v>45852.66023</v>
      </c>
      <c r="B759" s="4" t="str">
        <f>IFERROR(__xludf.DUMMYFUNCTION("""COMPUTED_VALUE"""),"iahmadzakari@gmail.com")</f>
        <v>iahmadzakari@gmail.com</v>
      </c>
      <c r="C759" s="4" t="str">
        <f>IFERROR(__xludf.DUMMYFUNCTION("""COMPUTED_VALUE"""),"Sadiq Ilu")</f>
        <v>Sadiq Ilu</v>
      </c>
      <c r="D759" s="4" t="str">
        <f>IFERROR(__xludf.DUMMYFUNCTION("""COMPUTED_VALUE"""),"Cluster 4")</f>
        <v>Cluster 4</v>
      </c>
      <c r="E759" s="4"/>
      <c r="F759" s="4" t="str">
        <f>IFERROR(__xludf.DUMMYFUNCTION("""COMPUTED_VALUE"""),"KING'S GARDEN ROAD")</f>
        <v>KING'S GARDEN ROAD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>
        <f>IFERROR(__xludf.DUMMYFUNCTION("""COMPUTED_VALUE"""),1.0)</f>
        <v>1</v>
      </c>
      <c r="AC759" s="4">
        <f>IFERROR(__xludf.DUMMYFUNCTION("""COMPUTED_VALUE"""),12.025033)</f>
        <v>12.025033</v>
      </c>
      <c r="AD759" s="4">
        <f>IFERROR(__xludf.DUMMYFUNCTION("""COMPUTED_VALUE"""),8.543529)</f>
        <v>8.543529</v>
      </c>
      <c r="AE759" s="5" t="str">
        <f>IFERROR(__xludf.DUMMYFUNCTION("""COMPUTED_VALUE"""),"https://drive.google.com/open?id=1uLfofodQb3oPN5FyhMd8pNACmLxFHxqu")</f>
        <v>https://drive.google.com/open?id=1uLfofodQb3oPN5FyhMd8pNACmLxFHxqu</v>
      </c>
      <c r="AF759" s="4"/>
      <c r="AG759" s="4"/>
      <c r="AH759" s="4"/>
      <c r="AI759" s="4"/>
      <c r="AL759" s="4" t="str">
        <f t="shared" si="1"/>
        <v>Cluster 4</v>
      </c>
      <c r="AM759" s="4" t="str">
        <f t="shared" si="2"/>
        <v>KING'S GARDEN ROAD</v>
      </c>
    </row>
    <row r="760">
      <c r="A760" s="3">
        <f>IFERROR(__xludf.DUMMYFUNCTION("""COMPUTED_VALUE"""),45852.65820175926)</f>
        <v>45852.6582</v>
      </c>
      <c r="B760" s="4" t="str">
        <f>IFERROR(__xludf.DUMMYFUNCTION("""COMPUTED_VALUE"""),"iahmadzakari@gmail.com")</f>
        <v>iahmadzakari@gmail.com</v>
      </c>
      <c r="C760" s="4" t="str">
        <f>IFERROR(__xludf.DUMMYFUNCTION("""COMPUTED_VALUE"""),"Sadiq Ilu")</f>
        <v>Sadiq Ilu</v>
      </c>
      <c r="D760" s="4" t="str">
        <f>IFERROR(__xludf.DUMMYFUNCTION("""COMPUTED_VALUE"""),"Cluster 4")</f>
        <v>Cluster 4</v>
      </c>
      <c r="E760" s="4"/>
      <c r="F760" s="4" t="str">
        <f>IFERROR(__xludf.DUMMYFUNCTION("""COMPUTED_VALUE"""),"IJEBU ROAD")</f>
        <v>IJEBU ROAD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>
        <f>IFERROR(__xludf.DUMMYFUNCTION("""COMPUTED_VALUE"""),2.0)</f>
        <v>2</v>
      </c>
      <c r="AC760" s="4">
        <f>IFERROR(__xludf.DUMMYFUNCTION("""COMPUTED_VALUE"""),12.024255)</f>
        <v>12.024255</v>
      </c>
      <c r="AD760" s="4">
        <f>IFERROR(__xludf.DUMMYFUNCTION("""COMPUTED_VALUE"""),8.53951)</f>
        <v>8.53951</v>
      </c>
      <c r="AE760" s="5" t="str">
        <f>IFERROR(__xludf.DUMMYFUNCTION("""COMPUTED_VALUE"""),"https://drive.google.com/open?id=1ByUYPD0fDEHQowoy-vMYy6Y7ba6gMq4_")</f>
        <v>https://drive.google.com/open?id=1ByUYPD0fDEHQowoy-vMYy6Y7ba6gMq4_</v>
      </c>
      <c r="AF760" s="4"/>
      <c r="AG760" s="4"/>
      <c r="AH760" s="4"/>
      <c r="AI760" s="4"/>
      <c r="AL760" s="4" t="str">
        <f t="shared" si="1"/>
        <v>Cluster 4</v>
      </c>
      <c r="AM760" s="4" t="str">
        <f t="shared" si="2"/>
        <v>IJEBU ROAD</v>
      </c>
    </row>
    <row r="761">
      <c r="A761" s="3">
        <f>IFERROR(__xludf.DUMMYFUNCTION("""COMPUTED_VALUE"""),45852.65738579861)</f>
        <v>45852.65739</v>
      </c>
      <c r="B761" s="4" t="str">
        <f>IFERROR(__xludf.DUMMYFUNCTION("""COMPUTED_VALUE"""),"iahmadzakari@gmail.com")</f>
        <v>iahmadzakari@gmail.com</v>
      </c>
      <c r="C761" s="4" t="str">
        <f>IFERROR(__xludf.DUMMYFUNCTION("""COMPUTED_VALUE"""),"Sadiq Ilu")</f>
        <v>Sadiq Ilu</v>
      </c>
      <c r="D761" s="4" t="str">
        <f>IFERROR(__xludf.DUMMYFUNCTION("""COMPUTED_VALUE"""),"Cluster 4")</f>
        <v>Cluster 4</v>
      </c>
      <c r="E761" s="4"/>
      <c r="F761" s="4" t="str">
        <f>IFERROR(__xludf.DUMMYFUNCTION("""COMPUTED_VALUE"""),"IJEBU ROAD")</f>
        <v>IJEBU ROAD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>
        <f>IFERROR(__xludf.DUMMYFUNCTION("""COMPUTED_VALUE"""),1.0)</f>
        <v>1</v>
      </c>
      <c r="AC761" s="4">
        <f>IFERROR(__xludf.DUMMYFUNCTION("""COMPUTED_VALUE"""),12.02433)</f>
        <v>12.02433</v>
      </c>
      <c r="AD761" s="4">
        <f>IFERROR(__xludf.DUMMYFUNCTION("""COMPUTED_VALUE"""),8.534727)</f>
        <v>8.534727</v>
      </c>
      <c r="AE761" s="5" t="str">
        <f>IFERROR(__xludf.DUMMYFUNCTION("""COMPUTED_VALUE"""),"https://drive.google.com/open?id=1lNyavkOUuBGC1Lr-Nnlsv0WqGxwSwuTc")</f>
        <v>https://drive.google.com/open?id=1lNyavkOUuBGC1Lr-Nnlsv0WqGxwSwuTc</v>
      </c>
      <c r="AF761" s="4"/>
      <c r="AG761" s="4"/>
      <c r="AH761" s="4"/>
      <c r="AI761" s="4"/>
      <c r="AL761" s="4" t="str">
        <f t="shared" si="1"/>
        <v>Cluster 4</v>
      </c>
      <c r="AM761" s="4" t="str">
        <f t="shared" si="2"/>
        <v>IJEBU ROAD</v>
      </c>
    </row>
    <row r="762">
      <c r="A762" s="3">
        <f>IFERROR(__xludf.DUMMYFUNCTION("""COMPUTED_VALUE"""),45852.65650791666)</f>
        <v>45852.65651</v>
      </c>
      <c r="B762" s="4" t="str">
        <f>IFERROR(__xludf.DUMMYFUNCTION("""COMPUTED_VALUE"""),"iahmadzakari@gmail.com")</f>
        <v>iahmadzakari@gmail.com</v>
      </c>
      <c r="C762" s="4" t="str">
        <f>IFERROR(__xludf.DUMMYFUNCTION("""COMPUTED_VALUE"""),"Sadiq Ilu")</f>
        <v>Sadiq Ilu</v>
      </c>
      <c r="D762" s="4" t="str">
        <f>IFERROR(__xludf.DUMMYFUNCTION("""COMPUTED_VALUE"""),"Cluster 4")</f>
        <v>Cluster 4</v>
      </c>
      <c r="E762" s="4"/>
      <c r="F762" s="4" t="str">
        <f>IFERROR(__xludf.DUMMYFUNCTION("""COMPUTED_VALUE"""),"MIDDLE ROAD")</f>
        <v>MIDDLE ROAD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>
        <f>IFERROR(__xludf.DUMMYFUNCTION("""COMPUTED_VALUE"""),2.0)</f>
        <v>2</v>
      </c>
      <c r="AC762" s="4">
        <f>IFERROR(__xludf.DUMMYFUNCTION("""COMPUTED_VALUE"""),12.019679)</f>
        <v>12.019679</v>
      </c>
      <c r="AD762" s="4">
        <f>IFERROR(__xludf.DUMMYFUNCTION("""COMPUTED_VALUE"""),8.5347)</f>
        <v>8.5347</v>
      </c>
      <c r="AE762" s="5" t="str">
        <f>IFERROR(__xludf.DUMMYFUNCTION("""COMPUTED_VALUE"""),"https://drive.google.com/open?id=1Qxwt48E-W5P30Yu1ZS-3vsPWIQo4YYvX")</f>
        <v>https://drive.google.com/open?id=1Qxwt48E-W5P30Yu1ZS-3vsPWIQo4YYvX</v>
      </c>
      <c r="AF762" s="4"/>
      <c r="AG762" s="4"/>
      <c r="AH762" s="4"/>
      <c r="AI762" s="4"/>
      <c r="AL762" s="4" t="str">
        <f t="shared" si="1"/>
        <v>Cluster 4</v>
      </c>
      <c r="AM762" s="4" t="str">
        <f t="shared" si="2"/>
        <v>MIDDLE ROAD</v>
      </c>
    </row>
    <row r="763">
      <c r="A763" s="3">
        <f>IFERROR(__xludf.DUMMYFUNCTION("""COMPUTED_VALUE"""),45852.65559274306)</f>
        <v>45852.65559</v>
      </c>
      <c r="B763" s="4" t="str">
        <f>IFERROR(__xludf.DUMMYFUNCTION("""COMPUTED_VALUE"""),"iahmadzakari@gmail.com")</f>
        <v>iahmadzakari@gmail.com</v>
      </c>
      <c r="C763" s="4" t="str">
        <f>IFERROR(__xludf.DUMMYFUNCTION("""COMPUTED_VALUE"""),"Sadiq Ilu")</f>
        <v>Sadiq Ilu</v>
      </c>
      <c r="D763" s="4" t="str">
        <f>IFERROR(__xludf.DUMMYFUNCTION("""COMPUTED_VALUE"""),"Cluster 4")</f>
        <v>Cluster 4</v>
      </c>
      <c r="E763" s="4"/>
      <c r="F763" s="4" t="str">
        <f>IFERROR(__xludf.DUMMYFUNCTION("""COMPUTED_VALUE"""),"MIDDLE ROAD")</f>
        <v>MIDDLE ROAD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>
        <f>IFERROR(__xludf.DUMMYFUNCTION("""COMPUTED_VALUE"""),1.0)</f>
        <v>1</v>
      </c>
      <c r="AC763" s="4">
        <f>IFERROR(__xludf.DUMMYFUNCTION("""COMPUTED_VALUE"""),12.019582)</f>
        <v>12.019582</v>
      </c>
      <c r="AD763" s="4">
        <f>IFERROR(__xludf.DUMMYFUNCTION("""COMPUTED_VALUE"""),8.539543)</f>
        <v>8.539543</v>
      </c>
      <c r="AE763" s="5" t="str">
        <f>IFERROR(__xludf.DUMMYFUNCTION("""COMPUTED_VALUE"""),"https://drive.google.com/open?id=1w6_mTMaE-A3Cv53SF92TK-5BSIqZViuD")</f>
        <v>https://drive.google.com/open?id=1w6_mTMaE-A3Cv53SF92TK-5BSIqZViuD</v>
      </c>
      <c r="AF763" s="4"/>
      <c r="AG763" s="4"/>
      <c r="AH763" s="4"/>
      <c r="AI763" s="4"/>
      <c r="AL763" s="4" t="str">
        <f t="shared" si="1"/>
        <v>Cluster 4</v>
      </c>
      <c r="AM763" s="4" t="str">
        <f t="shared" si="2"/>
        <v>MIDDLE ROAD</v>
      </c>
    </row>
    <row r="764">
      <c r="A764" s="3">
        <f>IFERROR(__xludf.DUMMYFUNCTION("""COMPUTED_VALUE"""),45852.65339186342)</f>
        <v>45852.65339</v>
      </c>
      <c r="B764" s="4" t="str">
        <f>IFERROR(__xludf.DUMMYFUNCTION("""COMPUTED_VALUE"""),"iahmadzakari@gmail.com")</f>
        <v>iahmadzakari@gmail.com</v>
      </c>
      <c r="C764" s="4" t="str">
        <f>IFERROR(__xludf.DUMMYFUNCTION("""COMPUTED_VALUE"""),"Sadiq Ilu")</f>
        <v>Sadiq Ilu</v>
      </c>
      <c r="D764" s="4" t="str">
        <f>IFERROR(__xludf.DUMMYFUNCTION("""COMPUTED_VALUE"""),"Cluster 11")</f>
        <v>Cluster 11</v>
      </c>
      <c r="E764" s="4"/>
      <c r="F764" s="4"/>
      <c r="G764" s="4"/>
      <c r="H764" s="4" t="str">
        <f>IFERROR(__xludf.DUMMYFUNCTION("""COMPUTED_VALUE"""),"MAGANDA ROAD")</f>
        <v>MAGANDA ROAD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>
        <f>IFERROR(__xludf.DUMMYFUNCTION("""COMPUTED_VALUE"""),2.0)</f>
        <v>2</v>
      </c>
      <c r="AC764" s="4">
        <f>IFERROR(__xludf.DUMMYFUNCTION("""COMPUTED_VALUE"""),12.013485)</f>
        <v>12.013485</v>
      </c>
      <c r="AD764" s="4">
        <f>IFERROR(__xludf.DUMMYFUNCTION("""COMPUTED_VALUE"""),8.550258)</f>
        <v>8.550258</v>
      </c>
      <c r="AE764" s="5" t="str">
        <f>IFERROR(__xludf.DUMMYFUNCTION("""COMPUTED_VALUE"""),"https://drive.google.com/open?id=1eGYAC-LTWLlX9Oh4N2p5D7a4B5RNvfwL")</f>
        <v>https://drive.google.com/open?id=1eGYAC-LTWLlX9Oh4N2p5D7a4B5RNvfwL</v>
      </c>
      <c r="AF764" s="4"/>
      <c r="AG764" s="4"/>
      <c r="AH764" s="4"/>
      <c r="AI764" s="4"/>
      <c r="AL764" s="4" t="str">
        <f t="shared" si="1"/>
        <v>Cluster 11</v>
      </c>
      <c r="AM764" s="4" t="str">
        <f t="shared" si="2"/>
        <v>MAGANDA ROAD</v>
      </c>
    </row>
    <row r="765">
      <c r="A765" s="3">
        <f>IFERROR(__xludf.DUMMYFUNCTION("""COMPUTED_VALUE"""),45852.65024282408)</f>
        <v>45852.65024</v>
      </c>
      <c r="B765" s="4" t="str">
        <f>IFERROR(__xludf.DUMMYFUNCTION("""COMPUTED_VALUE"""),"iahmadzakari@gmail.com")</f>
        <v>iahmadzakari@gmail.com</v>
      </c>
      <c r="C765" s="4" t="str">
        <f>IFERROR(__xludf.DUMMYFUNCTION("""COMPUTED_VALUE"""),"Sadiq Ilu")</f>
        <v>Sadiq Ilu</v>
      </c>
      <c r="D765" s="4" t="str">
        <f>IFERROR(__xludf.DUMMYFUNCTION("""COMPUTED_VALUE"""),"Cluster 11")</f>
        <v>Cluster 11</v>
      </c>
      <c r="E765" s="4"/>
      <c r="F765" s="4"/>
      <c r="G765" s="4"/>
      <c r="H765" s="4" t="str">
        <f>IFERROR(__xludf.DUMMYFUNCTION("""COMPUTED_VALUE"""),"MAGANDA ROAD")</f>
        <v>MAGANDA ROAD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>
        <f>IFERROR(__xludf.DUMMYFUNCTION("""COMPUTED_VALUE"""),1.0)</f>
        <v>1</v>
      </c>
      <c r="AC765" s="4">
        <f>IFERROR(__xludf.DUMMYFUNCTION("""COMPUTED_VALUE"""),12.014441)</f>
        <v>12.014441</v>
      </c>
      <c r="AD765" s="4">
        <f>IFERROR(__xludf.DUMMYFUNCTION("""COMPUTED_VALUE"""),8.543621)</f>
        <v>8.543621</v>
      </c>
      <c r="AE765" s="5" t="str">
        <f>IFERROR(__xludf.DUMMYFUNCTION("""COMPUTED_VALUE"""),"https://drive.google.com/open?id=1ITc5apupir30QNBJM82cHLQGhPdOhmF3")</f>
        <v>https://drive.google.com/open?id=1ITc5apupir30QNBJM82cHLQGhPdOhmF3</v>
      </c>
      <c r="AF765" s="4"/>
      <c r="AG765" s="4"/>
      <c r="AH765" s="4"/>
      <c r="AI765" s="4"/>
      <c r="AL765" s="4" t="str">
        <f t="shared" si="1"/>
        <v>Cluster 11</v>
      </c>
      <c r="AM765" s="4" t="str">
        <f t="shared" si="2"/>
        <v>MAGANDA ROAD</v>
      </c>
    </row>
    <row r="766">
      <c r="A766" s="3">
        <f>IFERROR(__xludf.DUMMYFUNCTION("""COMPUTED_VALUE"""),45852.648255)</f>
        <v>45852.64826</v>
      </c>
      <c r="B766" s="4" t="str">
        <f>IFERROR(__xludf.DUMMYFUNCTION("""COMPUTED_VALUE"""),"iahmadzakari@gmail.com")</f>
        <v>iahmadzakari@gmail.com</v>
      </c>
      <c r="C766" s="4" t="str">
        <f>IFERROR(__xludf.DUMMYFUNCTION("""COMPUTED_VALUE"""),"Sadiq Ilu")</f>
        <v>Sadiq Ilu</v>
      </c>
      <c r="D766" s="4" t="str">
        <f>IFERROR(__xludf.DUMMYFUNCTION("""COMPUTED_VALUE"""),"Cluster 11")</f>
        <v>Cluster 11</v>
      </c>
      <c r="E766" s="4"/>
      <c r="F766" s="4"/>
      <c r="G766" s="4"/>
      <c r="H766" s="4" t="str">
        <f>IFERROR(__xludf.DUMMYFUNCTION("""COMPUTED_VALUE"""),"BANK ROAD")</f>
        <v>BANK ROAD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>
        <f>IFERROR(__xludf.DUMMYFUNCTION("""COMPUTED_VALUE"""),2.0)</f>
        <v>2</v>
      </c>
      <c r="AC766" s="4">
        <f>IFERROR(__xludf.DUMMYFUNCTION("""COMPUTED_VALUE"""),12.003562)</f>
        <v>12.003562</v>
      </c>
      <c r="AD766" s="4">
        <f>IFERROR(__xludf.DUMMYFUNCTION("""COMPUTED_VALUE"""),8.537469)</f>
        <v>8.537469</v>
      </c>
      <c r="AE766" s="5" t="str">
        <f>IFERROR(__xludf.DUMMYFUNCTION("""COMPUTED_VALUE"""),"https://drive.google.com/open?id=1gz3ulzOU7lEC9K0lJ_R3a_tt9B91ddf_")</f>
        <v>https://drive.google.com/open?id=1gz3ulzOU7lEC9K0lJ_R3a_tt9B91ddf_</v>
      </c>
      <c r="AF766" s="4"/>
      <c r="AG766" s="4"/>
      <c r="AH766" s="4"/>
      <c r="AI766" s="4"/>
      <c r="AL766" s="4" t="str">
        <f t="shared" si="1"/>
        <v>Cluster 11</v>
      </c>
      <c r="AM766" s="4" t="str">
        <f t="shared" si="2"/>
        <v>BANK ROAD</v>
      </c>
    </row>
    <row r="767">
      <c r="A767" s="3">
        <f>IFERROR(__xludf.DUMMYFUNCTION("""COMPUTED_VALUE"""),45852.6465220949)</f>
        <v>45852.64652</v>
      </c>
      <c r="B767" s="4" t="str">
        <f>IFERROR(__xludf.DUMMYFUNCTION("""COMPUTED_VALUE"""),"iahmadzakari@gmail.com")</f>
        <v>iahmadzakari@gmail.com</v>
      </c>
      <c r="C767" s="4" t="str">
        <f>IFERROR(__xludf.DUMMYFUNCTION("""COMPUTED_VALUE"""),"Sadiq Ilu")</f>
        <v>Sadiq Ilu</v>
      </c>
      <c r="D767" s="4" t="str">
        <f>IFERROR(__xludf.DUMMYFUNCTION("""COMPUTED_VALUE"""),"Cluster 11")</f>
        <v>Cluster 11</v>
      </c>
      <c r="E767" s="4"/>
      <c r="F767" s="4"/>
      <c r="G767" s="4"/>
      <c r="H767" s="4" t="str">
        <f>IFERROR(__xludf.DUMMYFUNCTION("""COMPUTED_VALUE"""),"BANK ROAD")</f>
        <v>BANK ROAD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>
        <f>IFERROR(__xludf.DUMMYFUNCTION("""COMPUTED_VALUE"""),1.0)</f>
        <v>1</v>
      </c>
      <c r="AC767" s="4">
        <f>IFERROR(__xludf.DUMMYFUNCTION("""COMPUTED_VALUE"""),12.004822)</f>
        <v>12.004822</v>
      </c>
      <c r="AD767" s="4">
        <f>IFERROR(__xludf.DUMMYFUNCTION("""COMPUTED_VALUE"""),8.541607)</f>
        <v>8.541607</v>
      </c>
      <c r="AE767" s="5" t="str">
        <f>IFERROR(__xludf.DUMMYFUNCTION("""COMPUTED_VALUE"""),"https://drive.google.com/open?id=1G8JcPkG7cg5lmL0vOrjqCGvGJpPmfszG")</f>
        <v>https://drive.google.com/open?id=1G8JcPkG7cg5lmL0vOrjqCGvGJpPmfszG</v>
      </c>
      <c r="AF767" s="4"/>
      <c r="AG767" s="4"/>
      <c r="AH767" s="4"/>
      <c r="AI767" s="4"/>
      <c r="AL767" s="4" t="str">
        <f t="shared" si="1"/>
        <v>Cluster 11</v>
      </c>
      <c r="AM767" s="4" t="str">
        <f t="shared" si="2"/>
        <v>BANK ROAD</v>
      </c>
    </row>
    <row r="768">
      <c r="A768" s="3">
        <f>IFERROR(__xludf.DUMMYFUNCTION("""COMPUTED_VALUE"""),45852.64170611111)</f>
        <v>45852.64171</v>
      </c>
      <c r="B768" s="4" t="str">
        <f>IFERROR(__xludf.DUMMYFUNCTION("""COMPUTED_VALUE"""),"iahmadzakari@gmail.com")</f>
        <v>iahmadzakari@gmail.com</v>
      </c>
      <c r="C768" s="4" t="str">
        <f>IFERROR(__xludf.DUMMYFUNCTION("""COMPUTED_VALUE"""),"Sadiq Ilu")</f>
        <v>Sadiq Ilu</v>
      </c>
      <c r="D768" s="4" t="str">
        <f>IFERROR(__xludf.DUMMYFUNCTION("""COMPUTED_VALUE"""),"Cluster 11")</f>
        <v>Cluster 11</v>
      </c>
      <c r="E768" s="4"/>
      <c r="F768" s="4"/>
      <c r="G768" s="4"/>
      <c r="H768" s="4" t="str">
        <f>IFERROR(__xludf.DUMMYFUNCTION("""COMPUTED_VALUE"""),"SANI MARSHAL ROAD")</f>
        <v>SANI MARSHAL ROAD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>
        <f>IFERROR(__xludf.DUMMYFUNCTION("""COMPUTED_VALUE"""),2.0)</f>
        <v>2</v>
      </c>
      <c r="AC768" s="4">
        <f>IFERROR(__xludf.DUMMYFUNCTION("""COMPUTED_VALUE"""),12.024801)</f>
        <v>12.024801</v>
      </c>
      <c r="AD768" s="4">
        <f>IFERROR(__xludf.DUMMYFUNCTION("""COMPUTED_VALUE"""),8.543472)</f>
        <v>8.543472</v>
      </c>
      <c r="AE768" s="5" t="str">
        <f>IFERROR(__xludf.DUMMYFUNCTION("""COMPUTED_VALUE"""),"https://drive.google.com/open?id=1CW2XWi9qX2jDW5jl6drnSAuYdvpWpbNg")</f>
        <v>https://drive.google.com/open?id=1CW2XWi9qX2jDW5jl6drnSAuYdvpWpbNg</v>
      </c>
      <c r="AF768" s="4"/>
      <c r="AG768" s="4"/>
      <c r="AH768" s="4"/>
      <c r="AI768" s="4"/>
      <c r="AL768" s="4" t="str">
        <f t="shared" si="1"/>
        <v>Cluster 11</v>
      </c>
      <c r="AM768" s="4" t="str">
        <f t="shared" si="2"/>
        <v>SANI MARSHAL ROAD</v>
      </c>
    </row>
    <row r="769">
      <c r="A769" s="3">
        <f>IFERROR(__xludf.DUMMYFUNCTION("""COMPUTED_VALUE"""),45852.638200104164)</f>
        <v>45852.6382</v>
      </c>
      <c r="B769" s="4" t="str">
        <f>IFERROR(__xludf.DUMMYFUNCTION("""COMPUTED_VALUE"""),"iahmadzakari@gmail.com")</f>
        <v>iahmadzakari@gmail.com</v>
      </c>
      <c r="C769" s="4" t="str">
        <f>IFERROR(__xludf.DUMMYFUNCTION("""COMPUTED_VALUE"""),"Sadiq Ilu")</f>
        <v>Sadiq Ilu</v>
      </c>
      <c r="D769" s="4" t="str">
        <f>IFERROR(__xludf.DUMMYFUNCTION("""COMPUTED_VALUE"""),"Cluster 11")</f>
        <v>Cluster 11</v>
      </c>
      <c r="E769" s="4"/>
      <c r="F769" s="4"/>
      <c r="G769" s="4"/>
      <c r="H769" s="4" t="str">
        <f>IFERROR(__xludf.DUMMYFUNCTION("""COMPUTED_VALUE"""),"SANI MARSHAL ROAD")</f>
        <v>SANI MARSHAL ROAD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>
        <f>IFERROR(__xludf.DUMMYFUNCTION("""COMPUTED_VALUE"""),1.0)</f>
        <v>1</v>
      </c>
      <c r="AC769" s="4">
        <f>IFERROR(__xludf.DUMMYFUNCTION("""COMPUTED_VALUE"""),12.008701)</f>
        <v>12.008701</v>
      </c>
      <c r="AD769" s="4">
        <f>IFERROR(__xludf.DUMMYFUNCTION("""COMPUTED_VALUE"""),8.549483)</f>
        <v>8.549483</v>
      </c>
      <c r="AE769" s="5" t="str">
        <f>IFERROR(__xludf.DUMMYFUNCTION("""COMPUTED_VALUE"""),"https://drive.google.com/open?id=1DuOOW1Y9tdNOR0a_Q4_U-DDWq0KimGQV")</f>
        <v>https://drive.google.com/open?id=1DuOOW1Y9tdNOR0a_Q4_U-DDWq0KimGQV</v>
      </c>
      <c r="AF769" s="4"/>
      <c r="AG769" s="4"/>
      <c r="AH769" s="4"/>
      <c r="AI769" s="4"/>
      <c r="AL769" s="4" t="str">
        <f t="shared" si="1"/>
        <v>Cluster 11</v>
      </c>
      <c r="AM769" s="4" t="str">
        <f t="shared" si="2"/>
        <v>SANI MARSHAL ROAD</v>
      </c>
    </row>
    <row r="770">
      <c r="A770" s="3">
        <f>IFERROR(__xludf.DUMMYFUNCTION("""COMPUTED_VALUE"""),45852.632237928236)</f>
        <v>45852.63224</v>
      </c>
      <c r="B770" s="4" t="str">
        <f>IFERROR(__xludf.DUMMYFUNCTION("""COMPUTED_VALUE"""),"iahmadzakari@gmail.com")</f>
        <v>iahmadzakari@gmail.com</v>
      </c>
      <c r="C770" s="4" t="str">
        <f>IFERROR(__xludf.DUMMYFUNCTION("""COMPUTED_VALUE"""),"Sadiq Ilu")</f>
        <v>Sadiq Ilu</v>
      </c>
      <c r="D770" s="4" t="str">
        <f>IFERROR(__xludf.DUMMYFUNCTION("""COMPUTED_VALUE"""),"Cluster 11")</f>
        <v>Cluster 11</v>
      </c>
      <c r="E770" s="4"/>
      <c r="F770" s="4"/>
      <c r="G770" s="4"/>
      <c r="H770" s="4" t="str">
        <f>IFERROR(__xludf.DUMMYFUNCTION("""COMPUTED_VALUE"""),"INDEPENDENCE ROAD")</f>
        <v>INDEPENDENCE ROAD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>
        <f>IFERROR(__xludf.DUMMYFUNCTION("""COMPUTED_VALUE"""),2.0)</f>
        <v>2</v>
      </c>
      <c r="AC770" s="4">
        <f>IFERROR(__xludf.DUMMYFUNCTION("""COMPUTED_VALUE"""),12.022057)</f>
        <v>12.022057</v>
      </c>
      <c r="AD770" s="4">
        <f>IFERROR(__xludf.DUMMYFUNCTION("""COMPUTED_VALUE"""),8.577282)</f>
        <v>8.577282</v>
      </c>
      <c r="AE770" s="5" t="str">
        <f>IFERROR(__xludf.DUMMYFUNCTION("""COMPUTED_VALUE"""),"https://drive.google.com/open?id=1x5OdPL5EwOD0aUqbWOWl4VsPWJPIOYG2")</f>
        <v>https://drive.google.com/open?id=1x5OdPL5EwOD0aUqbWOWl4VsPWJPIOYG2</v>
      </c>
      <c r="AF770" s="4"/>
      <c r="AG770" s="4"/>
      <c r="AH770" s="4"/>
      <c r="AI770" s="4"/>
      <c r="AL770" s="4" t="str">
        <f t="shared" si="1"/>
        <v>Cluster 11</v>
      </c>
      <c r="AM770" s="4" t="str">
        <f t="shared" si="2"/>
        <v>INDEPENDENCE ROAD</v>
      </c>
    </row>
    <row r="771">
      <c r="A771" s="3">
        <f>IFERROR(__xludf.DUMMYFUNCTION("""COMPUTED_VALUE"""),45852.63119465278)</f>
        <v>45852.63119</v>
      </c>
      <c r="B771" s="4" t="str">
        <f>IFERROR(__xludf.DUMMYFUNCTION("""COMPUTED_VALUE"""),"iahmadzakari@gmail.com")</f>
        <v>iahmadzakari@gmail.com</v>
      </c>
      <c r="C771" s="4" t="str">
        <f>IFERROR(__xludf.DUMMYFUNCTION("""COMPUTED_VALUE"""),"Sadiq Ilu")</f>
        <v>Sadiq Ilu</v>
      </c>
      <c r="D771" s="4" t="str">
        <f>IFERROR(__xludf.DUMMYFUNCTION("""COMPUTED_VALUE"""),"Cluster 11")</f>
        <v>Cluster 11</v>
      </c>
      <c r="E771" s="4"/>
      <c r="F771" s="4"/>
      <c r="G771" s="4"/>
      <c r="H771" s="4" t="str">
        <f>IFERROR(__xludf.DUMMYFUNCTION("""COMPUTED_VALUE"""),"INDEPENDENCE ROAD")</f>
        <v>INDEPENDENCE ROAD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>
        <f>IFERROR(__xludf.DUMMYFUNCTION("""COMPUTED_VALUE"""),1.0)</f>
        <v>1</v>
      </c>
      <c r="AC771" s="4">
        <f>IFERROR(__xludf.DUMMYFUNCTION("""COMPUTED_VALUE"""),12.019993)</f>
        <v>12.019993</v>
      </c>
      <c r="AD771" s="4">
        <f>IFERROR(__xludf.DUMMYFUNCTION("""COMPUTED_VALUE"""),8.544682)</f>
        <v>8.544682</v>
      </c>
      <c r="AE771" s="5" t="str">
        <f>IFERROR(__xludf.DUMMYFUNCTION("""COMPUTED_VALUE"""),"https://drive.google.com/open?id=15BpDXQdKjWQGTPSr6HZ-pDYZCK5ZX4gd")</f>
        <v>https://drive.google.com/open?id=15BpDXQdKjWQGTPSr6HZ-pDYZCK5ZX4gd</v>
      </c>
      <c r="AF771" s="4"/>
      <c r="AG771" s="4"/>
      <c r="AH771" s="4"/>
      <c r="AI771" s="4"/>
      <c r="AL771" s="4" t="str">
        <f t="shared" si="1"/>
        <v>Cluster 11</v>
      </c>
      <c r="AM771" s="4" t="str">
        <f t="shared" si="2"/>
        <v>INDEPENDENCE ROAD</v>
      </c>
    </row>
    <row r="772">
      <c r="A772" s="3">
        <f>IFERROR(__xludf.DUMMYFUNCTION("""COMPUTED_VALUE"""),45852.62978106481)</f>
        <v>45852.62978</v>
      </c>
      <c r="B772" s="4" t="str">
        <f>IFERROR(__xludf.DUMMYFUNCTION("""COMPUTED_VALUE"""),"iahmadzakari@gmail.com")</f>
        <v>iahmadzakari@gmail.com</v>
      </c>
      <c r="C772" s="4" t="str">
        <f>IFERROR(__xludf.DUMMYFUNCTION("""COMPUTED_VALUE"""),"Sadiq Ilu")</f>
        <v>Sadiq Ilu</v>
      </c>
      <c r="D772" s="4" t="str">
        <f>IFERROR(__xludf.DUMMYFUNCTION("""COMPUTED_VALUE"""),"Cluster 11")</f>
        <v>Cluster 11</v>
      </c>
      <c r="E772" s="4"/>
      <c r="F772" s="4"/>
      <c r="G772" s="4"/>
      <c r="H772" s="4" t="str">
        <f>IFERROR(__xludf.DUMMYFUNCTION("""COMPUTED_VALUE"""),"EYE HOSPITAL ROAD")</f>
        <v>EYE HOSPITAL ROAD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>
        <f>IFERROR(__xludf.DUMMYFUNCTION("""COMPUTED_VALUE"""),1.0)</f>
        <v>1</v>
      </c>
      <c r="AC772" s="4">
        <f>IFERROR(__xludf.DUMMYFUNCTION("""COMPUTED_VALUE"""),12.014433)</f>
        <v>12.014433</v>
      </c>
      <c r="AD772" s="4">
        <f>IFERROR(__xludf.DUMMYFUNCTION("""COMPUTED_VALUE"""),8.544918)</f>
        <v>8.544918</v>
      </c>
      <c r="AE772" s="5" t="str">
        <f>IFERROR(__xludf.DUMMYFUNCTION("""COMPUTED_VALUE"""),"https://drive.google.com/open?id=13w50LLzN9RjoQmW65q3PxSwbgKX6f4i-")</f>
        <v>https://drive.google.com/open?id=13w50LLzN9RjoQmW65q3PxSwbgKX6f4i-</v>
      </c>
      <c r="AF772" s="4"/>
      <c r="AG772" s="4"/>
      <c r="AH772" s="4"/>
      <c r="AI772" s="4"/>
      <c r="AL772" s="4" t="str">
        <f t="shared" si="1"/>
        <v>Cluster 11</v>
      </c>
      <c r="AM772" s="4" t="str">
        <f t="shared" si="2"/>
        <v>EYE HOSPITAL ROAD</v>
      </c>
    </row>
    <row r="773">
      <c r="A773" s="3">
        <f>IFERROR(__xludf.DUMMYFUNCTION("""COMPUTED_VALUE"""),45852.628972349536)</f>
        <v>45852.62897</v>
      </c>
      <c r="B773" s="4" t="str">
        <f>IFERROR(__xludf.DUMMYFUNCTION("""COMPUTED_VALUE"""),"iahmadzakari@gmail.com")</f>
        <v>iahmadzakari@gmail.com</v>
      </c>
      <c r="C773" s="4" t="str">
        <f>IFERROR(__xludf.DUMMYFUNCTION("""COMPUTED_VALUE"""),"Sadiq Ilu")</f>
        <v>Sadiq Ilu</v>
      </c>
      <c r="D773" s="4" t="str">
        <f>IFERROR(__xludf.DUMMYFUNCTION("""COMPUTED_VALUE"""),"Cluster 11")</f>
        <v>Cluster 11</v>
      </c>
      <c r="E773" s="4"/>
      <c r="F773" s="4"/>
      <c r="G773" s="4"/>
      <c r="H773" s="4" t="str">
        <f>IFERROR(__xludf.DUMMYFUNCTION("""COMPUTED_VALUE"""),"ILARO ROAD")</f>
        <v>ILARO ROAD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>
        <f>IFERROR(__xludf.DUMMYFUNCTION("""COMPUTED_VALUE"""),2.0)</f>
        <v>2</v>
      </c>
      <c r="AC773" s="4">
        <f>IFERROR(__xludf.DUMMYFUNCTION("""COMPUTED_VALUE"""),12.012207)</f>
        <v>12.012207</v>
      </c>
      <c r="AD773" s="4">
        <f>IFERROR(__xludf.DUMMYFUNCTION("""COMPUTED_VALUE"""),8.543018)</f>
        <v>8.543018</v>
      </c>
      <c r="AE773" s="5" t="str">
        <f>IFERROR(__xludf.DUMMYFUNCTION("""COMPUTED_VALUE"""),"https://drive.google.com/open?id=1wDpCfNYxTmSzhVUZBLgDRZ5q3Bmp3h6t")</f>
        <v>https://drive.google.com/open?id=1wDpCfNYxTmSzhVUZBLgDRZ5q3Bmp3h6t</v>
      </c>
      <c r="AF773" s="4"/>
      <c r="AG773" s="4"/>
      <c r="AH773" s="4"/>
      <c r="AI773" s="4"/>
      <c r="AL773" s="4" t="str">
        <f t="shared" si="1"/>
        <v>Cluster 11</v>
      </c>
      <c r="AM773" s="4" t="str">
        <f t="shared" si="2"/>
        <v>ILARO ROAD</v>
      </c>
    </row>
    <row r="774">
      <c r="A774" s="3">
        <f>IFERROR(__xludf.DUMMYFUNCTION("""COMPUTED_VALUE"""),45852.627877708335)</f>
        <v>45852.62788</v>
      </c>
      <c r="B774" s="4" t="str">
        <f>IFERROR(__xludf.DUMMYFUNCTION("""COMPUTED_VALUE"""),"iahmadzakari@gmail.com")</f>
        <v>iahmadzakari@gmail.com</v>
      </c>
      <c r="C774" s="4" t="str">
        <f>IFERROR(__xludf.DUMMYFUNCTION("""COMPUTED_VALUE"""),"Sadiq Ilu")</f>
        <v>Sadiq Ilu</v>
      </c>
      <c r="D774" s="4" t="str">
        <f>IFERROR(__xludf.DUMMYFUNCTION("""COMPUTED_VALUE"""),"Cluster 11")</f>
        <v>Cluster 11</v>
      </c>
      <c r="E774" s="4"/>
      <c r="F774" s="4"/>
      <c r="G774" s="4"/>
      <c r="H774" s="4" t="str">
        <f>IFERROR(__xludf.DUMMYFUNCTION("""COMPUTED_VALUE"""),"ILARO ROAD")</f>
        <v>ILARO ROAD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>
        <f>IFERROR(__xludf.DUMMYFUNCTION("""COMPUTED_VALUE"""),1.0)</f>
        <v>1</v>
      </c>
      <c r="AC774" s="4">
        <f>IFERROR(__xludf.DUMMYFUNCTION("""COMPUTED_VALUE"""),12.01206)</f>
        <v>12.01206</v>
      </c>
      <c r="AD774" s="4">
        <f>IFERROR(__xludf.DUMMYFUNCTION("""COMPUTED_VALUE"""),8.539694)</f>
        <v>8.539694</v>
      </c>
      <c r="AE774" s="5" t="str">
        <f>IFERROR(__xludf.DUMMYFUNCTION("""COMPUTED_VALUE"""),"https://drive.google.com/open?id=1c9jcy9Itx-cDrZl6yd-OxcZUUpHkt4bH")</f>
        <v>https://drive.google.com/open?id=1c9jcy9Itx-cDrZl6yd-OxcZUUpHkt4bH</v>
      </c>
      <c r="AF774" s="4"/>
      <c r="AG774" s="4"/>
      <c r="AH774" s="4"/>
      <c r="AI774" s="4"/>
      <c r="AL774" s="4" t="str">
        <f t="shared" si="1"/>
        <v>Cluster 11</v>
      </c>
      <c r="AM774" s="4" t="str">
        <f t="shared" si="2"/>
        <v>ILARO ROAD</v>
      </c>
    </row>
    <row r="775">
      <c r="A775" s="3">
        <f>IFERROR(__xludf.DUMMYFUNCTION("""COMPUTED_VALUE"""),45852.62141385417)</f>
        <v>45852.62141</v>
      </c>
      <c r="B775" s="4" t="str">
        <f>IFERROR(__xludf.DUMMYFUNCTION("""COMPUTED_VALUE"""),"iahmadzakari@gmail.com")</f>
        <v>iahmadzakari@gmail.com</v>
      </c>
      <c r="C775" s="4" t="str">
        <f>IFERROR(__xludf.DUMMYFUNCTION("""COMPUTED_VALUE"""),"Sadiq Ilu")</f>
        <v>Sadiq Ilu</v>
      </c>
      <c r="D775" s="4" t="str">
        <f>IFERROR(__xludf.DUMMYFUNCTION("""COMPUTED_VALUE"""),"Cluster 11")</f>
        <v>Cluster 11</v>
      </c>
      <c r="E775" s="4"/>
      <c r="F775" s="4"/>
      <c r="G775" s="4"/>
      <c r="H775" s="4" t="str">
        <f>IFERROR(__xludf.DUMMYFUNCTION("""COMPUTED_VALUE"""),"IGBO ROAD")</f>
        <v>IGBO ROAD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>
        <f>IFERROR(__xludf.DUMMYFUNCTION("""COMPUTED_VALUE"""),1.0)</f>
        <v>1</v>
      </c>
      <c r="AC775" s="4">
        <f>IFERROR(__xludf.DUMMYFUNCTION("""COMPUTED_VALUE"""),12.014262)</f>
        <v>12.014262</v>
      </c>
      <c r="AD775" s="4">
        <f>IFERROR(__xludf.DUMMYFUNCTION("""COMPUTED_VALUE"""),8.539763)</f>
        <v>8.539763</v>
      </c>
      <c r="AE775" s="5" t="str">
        <f>IFERROR(__xludf.DUMMYFUNCTION("""COMPUTED_VALUE"""),"https://drive.google.com/open?id=1HPw9HqS3UuTRvqPIJ6YgV5Li6uFqL2uE")</f>
        <v>https://drive.google.com/open?id=1HPw9HqS3UuTRvqPIJ6YgV5Li6uFqL2uE</v>
      </c>
      <c r="AF775" s="4"/>
      <c r="AG775" s="4"/>
      <c r="AH775" s="4"/>
      <c r="AI775" s="4"/>
      <c r="AL775" s="4" t="str">
        <f t="shared" si="1"/>
        <v>Cluster 11</v>
      </c>
      <c r="AM775" s="4" t="str">
        <f t="shared" si="2"/>
        <v>IGBO ROAD</v>
      </c>
    </row>
    <row r="776">
      <c r="A776" s="3">
        <f>IFERROR(__xludf.DUMMYFUNCTION("""COMPUTED_VALUE"""),45852.62037773148)</f>
        <v>45852.62038</v>
      </c>
      <c r="B776" s="4" t="str">
        <f>IFERROR(__xludf.DUMMYFUNCTION("""COMPUTED_VALUE"""),"iahmadzakari@gmail.com")</f>
        <v>iahmadzakari@gmail.com</v>
      </c>
      <c r="C776" s="4" t="str">
        <f>IFERROR(__xludf.DUMMYFUNCTION("""COMPUTED_VALUE"""),"Sadiq Ilu")</f>
        <v>Sadiq Ilu</v>
      </c>
      <c r="D776" s="4" t="str">
        <f>IFERROR(__xludf.DUMMYFUNCTION("""COMPUTED_VALUE"""),"Cluster 11")</f>
        <v>Cluster 11</v>
      </c>
      <c r="E776" s="4"/>
      <c r="F776" s="4"/>
      <c r="G776" s="4"/>
      <c r="H776" s="4" t="str">
        <f>IFERROR(__xludf.DUMMYFUNCTION("""COMPUTED_VALUE"""),"FRANCE ROAD")</f>
        <v>FRANCE ROAD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>
        <f>IFERROR(__xludf.DUMMYFUNCTION("""COMPUTED_VALUE"""),2.0)</f>
        <v>2</v>
      </c>
      <c r="AC776" s="4">
        <f>IFERROR(__xludf.DUMMYFUNCTION("""COMPUTED_VALUE"""),12.01467)</f>
        <v>12.01467</v>
      </c>
      <c r="AD776" s="4">
        <f>IFERROR(__xludf.DUMMYFUNCTION("""COMPUTED_VALUE"""),8.543395)</f>
        <v>8.543395</v>
      </c>
      <c r="AE776" s="5" t="str">
        <f>IFERROR(__xludf.DUMMYFUNCTION("""COMPUTED_VALUE"""),"https://drive.google.com/open?id=1Ju0-wAsQbI3dojiO-sdtQYKrucxEPGak")</f>
        <v>https://drive.google.com/open?id=1Ju0-wAsQbI3dojiO-sdtQYKrucxEPGak</v>
      </c>
      <c r="AF776" s="4"/>
      <c r="AG776" s="4"/>
      <c r="AH776" s="4"/>
      <c r="AI776" s="4"/>
      <c r="AL776" s="4" t="str">
        <f t="shared" si="1"/>
        <v>Cluster 11</v>
      </c>
      <c r="AM776" s="4" t="str">
        <f t="shared" si="2"/>
        <v>FRANCE ROAD</v>
      </c>
    </row>
    <row r="777">
      <c r="A777" s="3">
        <f>IFERROR(__xludf.DUMMYFUNCTION("""COMPUTED_VALUE"""),45852.61937664352)</f>
        <v>45852.61938</v>
      </c>
      <c r="B777" s="4" t="str">
        <f>IFERROR(__xludf.DUMMYFUNCTION("""COMPUTED_VALUE"""),"iahmadzakari@gmail.com")</f>
        <v>iahmadzakari@gmail.com</v>
      </c>
      <c r="C777" s="4" t="str">
        <f>IFERROR(__xludf.DUMMYFUNCTION("""COMPUTED_VALUE"""),"Sadiq Ilu")</f>
        <v>Sadiq Ilu</v>
      </c>
      <c r="D777" s="4" t="str">
        <f>IFERROR(__xludf.DUMMYFUNCTION("""COMPUTED_VALUE"""),"Cluster 11")</f>
        <v>Cluster 11</v>
      </c>
      <c r="E777" s="4"/>
      <c r="F777" s="4"/>
      <c r="G777" s="4"/>
      <c r="H777" s="4" t="str">
        <f>IFERROR(__xludf.DUMMYFUNCTION("""COMPUTED_VALUE"""),"FRANCE ROAD")</f>
        <v>FRANCE ROAD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>
        <f>IFERROR(__xludf.DUMMYFUNCTION("""COMPUTED_VALUE"""),1.0)</f>
        <v>1</v>
      </c>
      <c r="AC777" s="4">
        <f>IFERROR(__xludf.DUMMYFUNCTION("""COMPUTED_VALUE"""),12.013472)</f>
        <v>12.013472</v>
      </c>
      <c r="AD777" s="4">
        <f>IFERROR(__xludf.DUMMYFUNCTION("""COMPUTED_VALUE"""),8.52632)</f>
        <v>8.52632</v>
      </c>
      <c r="AE777" s="5" t="str">
        <f>IFERROR(__xludf.DUMMYFUNCTION("""COMPUTED_VALUE"""),"https://drive.google.com/open?id=1jl4_3fyhsVJ6utGjlmZLv58Td5MLnvRS")</f>
        <v>https://drive.google.com/open?id=1jl4_3fyhsVJ6utGjlmZLv58Td5MLnvRS</v>
      </c>
      <c r="AF777" s="4"/>
      <c r="AG777" s="4"/>
      <c r="AH777" s="4"/>
      <c r="AI777" s="4"/>
      <c r="AL777" s="4" t="str">
        <f t="shared" si="1"/>
        <v>Cluster 11</v>
      </c>
      <c r="AM777" s="4" t="str">
        <f t="shared" si="2"/>
        <v>FRANCE ROAD</v>
      </c>
    </row>
    <row r="778">
      <c r="A778" s="3">
        <f>IFERROR(__xludf.DUMMYFUNCTION("""COMPUTED_VALUE"""),45852.61813821759)</f>
        <v>45852.61814</v>
      </c>
      <c r="B778" s="4" t="str">
        <f>IFERROR(__xludf.DUMMYFUNCTION("""COMPUTED_VALUE"""),"iahmadzakari@gmail.com")</f>
        <v>iahmadzakari@gmail.com</v>
      </c>
      <c r="C778" s="4" t="str">
        <f>IFERROR(__xludf.DUMMYFUNCTION("""COMPUTED_VALUE"""),"Sadiq Ilu")</f>
        <v>Sadiq Ilu</v>
      </c>
      <c r="D778" s="4" t="str">
        <f>IFERROR(__xludf.DUMMYFUNCTION("""COMPUTED_VALUE"""),"Cluster 11")</f>
        <v>Cluster 11</v>
      </c>
      <c r="E778" s="4"/>
      <c r="F778" s="4"/>
      <c r="G778" s="4"/>
      <c r="H778" s="4" t="str">
        <f>IFERROR(__xludf.DUMMYFUNCTION("""COMPUTED_VALUE"""),"BELLO ROAD")</f>
        <v>BELLO ROAD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>
        <f>IFERROR(__xludf.DUMMYFUNCTION("""COMPUTED_VALUE"""),1.0)</f>
        <v>1</v>
      </c>
      <c r="AC778" s="4">
        <f>IFERROR(__xludf.DUMMYFUNCTION("""COMPUTED_VALUE"""),12.00454)</f>
        <v>12.00454</v>
      </c>
      <c r="AD778" s="4">
        <f>IFERROR(__xludf.DUMMYFUNCTION("""COMPUTED_VALUE"""),8.533639)</f>
        <v>8.533639</v>
      </c>
      <c r="AE778" s="5" t="str">
        <f>IFERROR(__xludf.DUMMYFUNCTION("""COMPUTED_VALUE"""),"https://drive.google.com/open?id=1mVjRE5G7_O-evK_2EUUwEX4dIBIr3wbN")</f>
        <v>https://drive.google.com/open?id=1mVjRE5G7_O-evK_2EUUwEX4dIBIr3wbN</v>
      </c>
      <c r="AF778" s="4"/>
      <c r="AG778" s="4"/>
      <c r="AH778" s="4"/>
      <c r="AI778" s="4"/>
      <c r="AL778" s="4" t="str">
        <f t="shared" si="1"/>
        <v>Cluster 11</v>
      </c>
      <c r="AM778" s="4" t="str">
        <f t="shared" si="2"/>
        <v>BELLO ROAD</v>
      </c>
    </row>
    <row r="779">
      <c r="A779" s="3">
        <f>IFERROR(__xludf.DUMMYFUNCTION("""COMPUTED_VALUE"""),45852.61584690972)</f>
        <v>45852.61585</v>
      </c>
      <c r="B779" s="4" t="str">
        <f>IFERROR(__xludf.DUMMYFUNCTION("""COMPUTED_VALUE"""),"iahmadzakari@gmail.com")</f>
        <v>iahmadzakari@gmail.com</v>
      </c>
      <c r="C779" s="4" t="str">
        <f>IFERROR(__xludf.DUMMYFUNCTION("""COMPUTED_VALUE"""),"Sadiq Ilu")</f>
        <v>Sadiq Ilu</v>
      </c>
      <c r="D779" s="4" t="str">
        <f>IFERROR(__xludf.DUMMYFUNCTION("""COMPUTED_VALUE"""),"Cluster 11")</f>
        <v>Cluster 11</v>
      </c>
      <c r="E779" s="4"/>
      <c r="F779" s="4"/>
      <c r="G779" s="4"/>
      <c r="H779" s="4" t="str">
        <f>IFERROR(__xludf.DUMMYFUNCTION("""COMPUTED_VALUE"""),"YOLAWA ROAD")</f>
        <v>YOLAWA ROAD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>
        <f>IFERROR(__xludf.DUMMYFUNCTION("""COMPUTED_VALUE"""),1.0)</f>
        <v>1</v>
      </c>
      <c r="AC779" s="4">
        <f>IFERROR(__xludf.DUMMYFUNCTION("""COMPUTED_VALUE"""),12.005875)</f>
        <v>12.005875</v>
      </c>
      <c r="AD779" s="4">
        <f>IFERROR(__xludf.DUMMYFUNCTION("""COMPUTED_VALUE"""),8.541843)</f>
        <v>8.541843</v>
      </c>
      <c r="AE779" s="5" t="str">
        <f>IFERROR(__xludf.DUMMYFUNCTION("""COMPUTED_VALUE"""),"https://drive.google.com/open?id=1N8_et_kQOFv6mkZJRGKGrLzZuwCN1o9m")</f>
        <v>https://drive.google.com/open?id=1N8_et_kQOFv6mkZJRGKGrLzZuwCN1o9m</v>
      </c>
      <c r="AF779" s="4"/>
      <c r="AG779" s="4"/>
      <c r="AH779" s="4"/>
      <c r="AI779" s="4"/>
      <c r="AL779" s="4" t="str">
        <f t="shared" si="1"/>
        <v>Cluster 11</v>
      </c>
      <c r="AM779" s="4" t="str">
        <f t="shared" si="2"/>
        <v>YOLAWA ROAD</v>
      </c>
    </row>
    <row r="780">
      <c r="A780" s="3">
        <f>IFERROR(__xludf.DUMMYFUNCTION("""COMPUTED_VALUE"""),45852.61492846065)</f>
        <v>45852.61493</v>
      </c>
      <c r="B780" s="4" t="str">
        <f>IFERROR(__xludf.DUMMYFUNCTION("""COMPUTED_VALUE"""),"iahmadzakari@gmail.com")</f>
        <v>iahmadzakari@gmail.com</v>
      </c>
      <c r="C780" s="4" t="str">
        <f>IFERROR(__xludf.DUMMYFUNCTION("""COMPUTED_VALUE"""),"Sadiq Ilu")</f>
        <v>Sadiq Ilu</v>
      </c>
      <c r="D780" s="4" t="str">
        <f>IFERROR(__xludf.DUMMYFUNCTION("""COMPUTED_VALUE"""),"Cluster 11")</f>
        <v>Cluster 11</v>
      </c>
      <c r="E780" s="4"/>
      <c r="F780" s="4"/>
      <c r="G780" s="4"/>
      <c r="H780" s="4" t="str">
        <f>IFERROR(__xludf.DUMMYFUNCTION("""COMPUTED_VALUE"""),"PARK ROAD")</f>
        <v>PARK ROAD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>
        <f>IFERROR(__xludf.DUMMYFUNCTION("""COMPUTED_VALUE"""),2.0)</f>
        <v>2</v>
      </c>
      <c r="AC780" s="4">
        <f>IFERROR(__xludf.DUMMYFUNCTION("""COMPUTED_VALUE"""),12.008095)</f>
        <v>12.008095</v>
      </c>
      <c r="AD780" s="4">
        <f>IFERROR(__xludf.DUMMYFUNCTION("""COMPUTED_VALUE"""),8.540242)</f>
        <v>8.540242</v>
      </c>
      <c r="AE780" s="5" t="str">
        <f>IFERROR(__xludf.DUMMYFUNCTION("""COMPUTED_VALUE"""),"https://drive.google.com/open?id=1XhirkIxJgvJt6f_WFzMY-8p0t-rjGr7p")</f>
        <v>https://drive.google.com/open?id=1XhirkIxJgvJt6f_WFzMY-8p0t-rjGr7p</v>
      </c>
      <c r="AF780" s="4" t="str">
        <f>IFERROR(__xludf.DUMMYFUNCTION("""COMPUTED_VALUE"""),"trucks a passing near by they can damage it as the people sitting around said ")</f>
        <v>trucks a passing near by they can damage it as the people sitting around said </v>
      </c>
      <c r="AG780" s="4"/>
      <c r="AH780" s="4"/>
      <c r="AI780" s="4"/>
      <c r="AL780" s="4" t="str">
        <f t="shared" si="1"/>
        <v>Cluster 11</v>
      </c>
      <c r="AM780" s="4" t="str">
        <f t="shared" si="2"/>
        <v>PARK ROAD</v>
      </c>
    </row>
    <row r="781">
      <c r="A781" s="3">
        <f>IFERROR(__xludf.DUMMYFUNCTION("""COMPUTED_VALUE"""),45852.61261966435)</f>
        <v>45852.61262</v>
      </c>
      <c r="B781" s="4" t="str">
        <f>IFERROR(__xludf.DUMMYFUNCTION("""COMPUTED_VALUE"""),"iahmadzakari@gmail.com")</f>
        <v>iahmadzakari@gmail.com</v>
      </c>
      <c r="C781" s="4" t="str">
        <f>IFERROR(__xludf.DUMMYFUNCTION("""COMPUTED_VALUE"""),"Sadiq Ilu")</f>
        <v>Sadiq Ilu</v>
      </c>
      <c r="D781" s="4" t="str">
        <f>IFERROR(__xludf.DUMMYFUNCTION("""COMPUTED_VALUE"""),"Cluster 11")</f>
        <v>Cluster 11</v>
      </c>
      <c r="E781" s="4"/>
      <c r="F781" s="4"/>
      <c r="G781" s="4"/>
      <c r="H781" s="4" t="str">
        <f>IFERROR(__xludf.DUMMYFUNCTION("""COMPUTED_VALUE"""),"PARK ROAD")</f>
        <v>PARK ROAD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>
        <f>IFERROR(__xludf.DUMMYFUNCTION("""COMPUTED_VALUE"""),1.0)</f>
        <v>1</v>
      </c>
      <c r="AC781" s="4">
        <f>IFERROR(__xludf.DUMMYFUNCTION("""COMPUTED_VALUE"""),12.007685)</f>
        <v>12.007685</v>
      </c>
      <c r="AD781" s="4">
        <f>IFERROR(__xludf.DUMMYFUNCTION("""COMPUTED_VALUE"""),8.54219)</f>
        <v>8.54219</v>
      </c>
      <c r="AE781" s="5" t="str">
        <f>IFERROR(__xludf.DUMMYFUNCTION("""COMPUTED_VALUE"""),"https://drive.google.com/open?id=1UolYImmylDyqmHL7BEv_YBRYH29hgw72")</f>
        <v>https://drive.google.com/open?id=1UolYImmylDyqmHL7BEv_YBRYH29hgw72</v>
      </c>
      <c r="AF781" s="4"/>
      <c r="AG781" s="4"/>
      <c r="AH781" s="4"/>
      <c r="AI781" s="4"/>
      <c r="AL781" s="4" t="str">
        <f t="shared" si="1"/>
        <v>Cluster 11</v>
      </c>
      <c r="AM781" s="4" t="str">
        <f t="shared" si="2"/>
        <v>PARK ROAD</v>
      </c>
    </row>
    <row r="782">
      <c r="A782" s="3">
        <f>IFERROR(__xludf.DUMMYFUNCTION("""COMPUTED_VALUE"""),45852.6064025463)</f>
        <v>45852.6064</v>
      </c>
      <c r="B782" s="4" t="str">
        <f>IFERROR(__xludf.DUMMYFUNCTION("""COMPUTED_VALUE"""),"iahmadzakari@gmail.com")</f>
        <v>iahmadzakari@gmail.com</v>
      </c>
      <c r="C782" s="4" t="str">
        <f>IFERROR(__xludf.DUMMYFUNCTION("""COMPUTED_VALUE"""),"Sadiq Ilu")</f>
        <v>Sadiq Ilu</v>
      </c>
      <c r="D782" s="4" t="str">
        <f>IFERROR(__xludf.DUMMYFUNCTION("""COMPUTED_VALUE"""),"Cluster 17")</f>
        <v>Cluster 17</v>
      </c>
      <c r="E782" s="4"/>
      <c r="F782" s="4"/>
      <c r="G782" s="4"/>
      <c r="H782" s="4"/>
      <c r="I782" s="4" t="str">
        <f>IFERROR(__xludf.DUMMYFUNCTION("""COMPUTED_VALUE"""),"GEN. BASHIR MAGASHI ROAD")</f>
        <v>GEN. BASHIR MAGASHI ROAD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>
        <f>IFERROR(__xludf.DUMMYFUNCTION("""COMPUTED_VALUE"""),2.0)</f>
        <v>2</v>
      </c>
      <c r="AC782" s="4">
        <f>IFERROR(__xludf.DUMMYFUNCTION("""COMPUTED_VALUE"""),11.98618016)</f>
        <v>11.98618016</v>
      </c>
      <c r="AD782" s="4">
        <f>IFERROR(__xludf.DUMMYFUNCTION("""COMPUTED_VALUE"""),8.56675745)</f>
        <v>8.56675745</v>
      </c>
      <c r="AE782" s="5" t="str">
        <f>IFERROR(__xludf.DUMMYFUNCTION("""COMPUTED_VALUE"""),"https://drive.google.com/open?id=1C4RfvAgmOJHqOPRPvaz6WYNs_GUKZVDH")</f>
        <v>https://drive.google.com/open?id=1C4RfvAgmOJHqOPRPvaz6WYNs_GUKZVDH</v>
      </c>
      <c r="AF782" s="4"/>
      <c r="AG782" s="4"/>
      <c r="AH782" s="4"/>
      <c r="AI782" s="4"/>
      <c r="AL782" s="4" t="str">
        <f t="shared" si="1"/>
        <v>Cluster 17</v>
      </c>
      <c r="AM782" s="4" t="str">
        <f t="shared" si="2"/>
        <v>GEN. BASHIR MAGASHI ROAD</v>
      </c>
    </row>
    <row r="783">
      <c r="A783" s="3">
        <f>IFERROR(__xludf.DUMMYFUNCTION("""COMPUTED_VALUE"""),45852.60532170139)</f>
        <v>45852.60532</v>
      </c>
      <c r="B783" s="4" t="str">
        <f>IFERROR(__xludf.DUMMYFUNCTION("""COMPUTED_VALUE"""),"iahmadzakari@gmail.com")</f>
        <v>iahmadzakari@gmail.com</v>
      </c>
      <c r="C783" s="4" t="str">
        <f>IFERROR(__xludf.DUMMYFUNCTION("""COMPUTED_VALUE"""),"Sadiq Ilu")</f>
        <v>Sadiq Ilu</v>
      </c>
      <c r="D783" s="4" t="str">
        <f>IFERROR(__xludf.DUMMYFUNCTION("""COMPUTED_VALUE"""),"Cluster 17")</f>
        <v>Cluster 17</v>
      </c>
      <c r="E783" s="4"/>
      <c r="F783" s="4"/>
      <c r="G783" s="4"/>
      <c r="H783" s="4"/>
      <c r="I783" s="4" t="str">
        <f>IFERROR(__xludf.DUMMYFUNCTION("""COMPUTED_VALUE"""),"GEN. BASHIR MAGASHI ROAD")</f>
        <v>GEN. BASHIR MAGASHI ROAD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>
        <f>IFERROR(__xludf.DUMMYFUNCTION("""COMPUTED_VALUE"""),1.0)</f>
        <v>1</v>
      </c>
      <c r="AC783" s="4">
        <f>IFERROR(__xludf.DUMMYFUNCTION("""COMPUTED_VALUE"""),11.97912453)</f>
        <v>11.97912453</v>
      </c>
      <c r="AD783" s="4">
        <f>IFERROR(__xludf.DUMMYFUNCTION("""COMPUTED_VALUE"""),8.5689745)</f>
        <v>8.5689745</v>
      </c>
      <c r="AE783" s="5" t="str">
        <f>IFERROR(__xludf.DUMMYFUNCTION("""COMPUTED_VALUE"""),"https://drive.google.com/open?id=1S-DShv5Ezt4j6scqNtWOfn7wqgq02_9W")</f>
        <v>https://drive.google.com/open?id=1S-DShv5Ezt4j6scqNtWOfn7wqgq02_9W</v>
      </c>
      <c r="AF783" s="4"/>
      <c r="AG783" s="4"/>
      <c r="AH783" s="4"/>
      <c r="AI783" s="4"/>
      <c r="AL783" s="4" t="str">
        <f t="shared" si="1"/>
        <v>Cluster 17</v>
      </c>
      <c r="AM783" s="4" t="str">
        <f t="shared" si="2"/>
        <v>GEN. BASHIR MAGASHI ROAD</v>
      </c>
    </row>
    <row r="784">
      <c r="A784" s="3">
        <f>IFERROR(__xludf.DUMMYFUNCTION("""COMPUTED_VALUE"""),45852.60411731481)</f>
        <v>45852.60412</v>
      </c>
      <c r="B784" s="4" t="str">
        <f>IFERROR(__xludf.DUMMYFUNCTION("""COMPUTED_VALUE"""),"iahmadzakari@gmail.com")</f>
        <v>iahmadzakari@gmail.com</v>
      </c>
      <c r="C784" s="4" t="str">
        <f>IFERROR(__xludf.DUMMYFUNCTION("""COMPUTED_VALUE"""),"Sadiq Ilu")</f>
        <v>Sadiq Ilu</v>
      </c>
      <c r="D784" s="4" t="str">
        <f>IFERROR(__xludf.DUMMYFUNCTION("""COMPUTED_VALUE"""),"Cluster 17")</f>
        <v>Cluster 17</v>
      </c>
      <c r="E784" s="4"/>
      <c r="F784" s="4"/>
      <c r="G784" s="4"/>
      <c r="H784" s="4"/>
      <c r="I784" s="4" t="str">
        <f>IFERROR(__xludf.DUMMYFUNCTION("""COMPUTED_VALUE"""),"GARBA SHEHU STREET")</f>
        <v>GARBA SHEHU STREET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>
        <f>IFERROR(__xludf.DUMMYFUNCTION("""COMPUTED_VALUE"""),2.0)</f>
        <v>2</v>
      </c>
      <c r="AC784" s="4">
        <f>IFERROR(__xludf.DUMMYFUNCTION("""COMPUTED_VALUE"""),11.97489435)</f>
        <v>11.97489435</v>
      </c>
      <c r="AD784" s="4">
        <f>IFERROR(__xludf.DUMMYFUNCTION("""COMPUTED_VALUE"""),8.57097267)</f>
        <v>8.57097267</v>
      </c>
      <c r="AE784" s="5" t="str">
        <f>IFERROR(__xludf.DUMMYFUNCTION("""COMPUTED_VALUE"""),"https://drive.google.com/open?id=1GrSx1w6QlDcCXyoJqlKOodunt6ByahZS")</f>
        <v>https://drive.google.com/open?id=1GrSx1w6QlDcCXyoJqlKOodunt6ByahZS</v>
      </c>
      <c r="AF784" s="4"/>
      <c r="AG784" s="4"/>
      <c r="AH784" s="4"/>
      <c r="AI784" s="4"/>
      <c r="AL784" s="4" t="str">
        <f t="shared" si="1"/>
        <v>Cluster 17</v>
      </c>
      <c r="AM784" s="4" t="str">
        <f t="shared" si="2"/>
        <v>GARBA SHEHU STREET</v>
      </c>
    </row>
    <row r="785">
      <c r="A785" s="3">
        <f>IFERROR(__xludf.DUMMYFUNCTION("""COMPUTED_VALUE"""),45852.60316388889)</f>
        <v>45852.60316</v>
      </c>
      <c r="B785" s="4" t="str">
        <f>IFERROR(__xludf.DUMMYFUNCTION("""COMPUTED_VALUE"""),"iahmadzakari@gmail.com")</f>
        <v>iahmadzakari@gmail.com</v>
      </c>
      <c r="C785" s="4" t="str">
        <f>IFERROR(__xludf.DUMMYFUNCTION("""COMPUTED_VALUE"""),"Sadiq Ilu")</f>
        <v>Sadiq Ilu</v>
      </c>
      <c r="D785" s="4" t="str">
        <f>IFERROR(__xludf.DUMMYFUNCTION("""COMPUTED_VALUE"""),"Cluster 17")</f>
        <v>Cluster 17</v>
      </c>
      <c r="E785" s="4"/>
      <c r="F785" s="4"/>
      <c r="G785" s="4"/>
      <c r="H785" s="4"/>
      <c r="I785" s="4" t="str">
        <f>IFERROR(__xludf.DUMMYFUNCTION("""COMPUTED_VALUE"""),"GARBA SHEHU STREET")</f>
        <v>GARBA SHEHU STREET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>
        <f>IFERROR(__xludf.DUMMYFUNCTION("""COMPUTED_VALUE"""),1.0)</f>
        <v>1</v>
      </c>
      <c r="AC785" s="4">
        <f>IFERROR(__xludf.DUMMYFUNCTION("""COMPUTED_VALUE"""),11.97567927)</f>
        <v>11.97567927</v>
      </c>
      <c r="AD785" s="4">
        <f>IFERROR(__xludf.DUMMYFUNCTION("""COMPUTED_VALUE"""),8.57002008)</f>
        <v>8.57002008</v>
      </c>
      <c r="AE785" s="5" t="str">
        <f>IFERROR(__xludf.DUMMYFUNCTION("""COMPUTED_VALUE"""),"https://drive.google.com/open?id=19HvHFSQ_9nKZU42bw2cbnQDNsXw66R3M")</f>
        <v>https://drive.google.com/open?id=19HvHFSQ_9nKZU42bw2cbnQDNsXw66R3M</v>
      </c>
      <c r="AF785" s="4"/>
      <c r="AG785" s="4"/>
      <c r="AH785" s="4"/>
      <c r="AI785" s="4"/>
      <c r="AL785" s="4" t="str">
        <f t="shared" si="1"/>
        <v>Cluster 17</v>
      </c>
      <c r="AM785" s="4" t="str">
        <f t="shared" si="2"/>
        <v>GARBA SHEHU STREET</v>
      </c>
    </row>
    <row r="786">
      <c r="A786" s="3">
        <f>IFERROR(__xludf.DUMMYFUNCTION("""COMPUTED_VALUE"""),45852.60205155093)</f>
        <v>45852.60205</v>
      </c>
      <c r="B786" s="4" t="str">
        <f>IFERROR(__xludf.DUMMYFUNCTION("""COMPUTED_VALUE"""),"iahmadzakari@gmail.com")</f>
        <v>iahmadzakari@gmail.com</v>
      </c>
      <c r="C786" s="4" t="str">
        <f>IFERROR(__xludf.DUMMYFUNCTION("""COMPUTED_VALUE"""),"Sadiq Ilu")</f>
        <v>Sadiq Ilu</v>
      </c>
      <c r="D786" s="4" t="str">
        <f>IFERROR(__xludf.DUMMYFUNCTION("""COMPUTED_VALUE"""),"Cluster 17")</f>
        <v>Cluster 17</v>
      </c>
      <c r="E786" s="4"/>
      <c r="F786" s="4"/>
      <c r="G786" s="4"/>
      <c r="H786" s="4"/>
      <c r="I786" s="4" t="str">
        <f>IFERROR(__xludf.DUMMYFUNCTION("""COMPUTED_VALUE"""),"BASHIR DALHATU STREET")</f>
        <v>BASHIR DALHATU STREET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>
        <f>IFERROR(__xludf.DUMMYFUNCTION("""COMPUTED_VALUE"""),2.0)</f>
        <v>2</v>
      </c>
      <c r="AC786" s="4">
        <f>IFERROR(__xludf.DUMMYFUNCTION("""COMPUTED_VALUE"""),11.97906117)</f>
        <v>11.97906117</v>
      </c>
      <c r="AD786" s="4">
        <f>IFERROR(__xludf.DUMMYFUNCTION("""COMPUTED_VALUE"""),8.56906821)</f>
        <v>8.56906821</v>
      </c>
      <c r="AE786" s="5" t="str">
        <f>IFERROR(__xludf.DUMMYFUNCTION("""COMPUTED_VALUE"""),"https://drive.google.com/open?id=1R_PLTscHmt49HaRXN2KQnZUUiCr-C1uZ")</f>
        <v>https://drive.google.com/open?id=1R_PLTscHmt49HaRXN2KQnZUUiCr-C1uZ</v>
      </c>
      <c r="AF786" s="4"/>
      <c r="AG786" s="4"/>
      <c r="AH786" s="4"/>
      <c r="AI786" s="4"/>
      <c r="AL786" s="4" t="str">
        <f t="shared" si="1"/>
        <v>Cluster 17</v>
      </c>
      <c r="AM786" s="4" t="str">
        <f t="shared" si="2"/>
        <v>BASHIR DALHATU STREET</v>
      </c>
    </row>
    <row r="787">
      <c r="A787" s="3">
        <f>IFERROR(__xludf.DUMMYFUNCTION("""COMPUTED_VALUE"""),45852.60123767361)</f>
        <v>45852.60124</v>
      </c>
      <c r="B787" s="4" t="str">
        <f>IFERROR(__xludf.DUMMYFUNCTION("""COMPUTED_VALUE"""),"iahmadzakari@gmail.com")</f>
        <v>iahmadzakari@gmail.com</v>
      </c>
      <c r="C787" s="4" t="str">
        <f>IFERROR(__xludf.DUMMYFUNCTION("""COMPUTED_VALUE"""),"Sadiq Ilu")</f>
        <v>Sadiq Ilu</v>
      </c>
      <c r="D787" s="4" t="str">
        <f>IFERROR(__xludf.DUMMYFUNCTION("""COMPUTED_VALUE"""),"Cluster 17")</f>
        <v>Cluster 17</v>
      </c>
      <c r="E787" s="4"/>
      <c r="F787" s="4"/>
      <c r="G787" s="4"/>
      <c r="H787" s="4"/>
      <c r="I787" s="4" t="str">
        <f>IFERROR(__xludf.DUMMYFUNCTION("""COMPUTED_VALUE"""),"BASHIR DALHATU STREET")</f>
        <v>BASHIR DALHATU STREET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>
        <f>IFERROR(__xludf.DUMMYFUNCTION("""COMPUTED_VALUE"""),1.0)</f>
        <v>1</v>
      </c>
      <c r="AC787" s="4">
        <f>IFERROR(__xludf.DUMMYFUNCTION("""COMPUTED_VALUE"""),11.97449635)</f>
        <v>11.97449635</v>
      </c>
      <c r="AD787" s="4">
        <f>IFERROR(__xludf.DUMMYFUNCTION("""COMPUTED_VALUE"""),8.56910425)</f>
        <v>8.56910425</v>
      </c>
      <c r="AE787" s="5" t="str">
        <f>IFERROR(__xludf.DUMMYFUNCTION("""COMPUTED_VALUE"""),"https://drive.google.com/open?id=1Ln_4Kqz3I5vm4Ewqq50sdPtt6IDH4Zb9")</f>
        <v>https://drive.google.com/open?id=1Ln_4Kqz3I5vm4Ewqq50sdPtt6IDH4Zb9</v>
      </c>
      <c r="AF787" s="4"/>
      <c r="AG787" s="4"/>
      <c r="AH787" s="4"/>
      <c r="AI787" s="4"/>
      <c r="AL787" s="4" t="str">
        <f t="shared" si="1"/>
        <v>Cluster 17</v>
      </c>
      <c r="AM787" s="4" t="str">
        <f t="shared" si="2"/>
        <v>BASHIR DALHATU STREET</v>
      </c>
    </row>
    <row r="788">
      <c r="A788" s="3">
        <f>IFERROR(__xludf.DUMMYFUNCTION("""COMPUTED_VALUE"""),45852.60022125)</f>
        <v>45852.60022</v>
      </c>
      <c r="B788" s="4" t="str">
        <f>IFERROR(__xludf.DUMMYFUNCTION("""COMPUTED_VALUE"""),"iahmadzakari@gmail.com")</f>
        <v>iahmadzakari@gmail.com</v>
      </c>
      <c r="C788" s="4" t="str">
        <f>IFERROR(__xludf.DUMMYFUNCTION("""COMPUTED_VALUE"""),"Sadiq Ilu")</f>
        <v>Sadiq Ilu</v>
      </c>
      <c r="D788" s="4" t="str">
        <f>IFERROR(__xludf.DUMMYFUNCTION("""COMPUTED_VALUE"""),"Cluster 17")</f>
        <v>Cluster 17</v>
      </c>
      <c r="E788" s="4"/>
      <c r="F788" s="4"/>
      <c r="G788" s="4"/>
      <c r="H788" s="4"/>
      <c r="I788" s="4" t="str">
        <f>IFERROR(__xludf.DUMMYFUNCTION("""COMPUTED_VALUE"""),"KIYASHI AVENUE")</f>
        <v>KIYASHI AVENUE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>
        <f>IFERROR(__xludf.DUMMYFUNCTION("""COMPUTED_VALUE"""),2.0)</f>
        <v>2</v>
      </c>
      <c r="AC788" s="4">
        <f>IFERROR(__xludf.DUMMYFUNCTION("""COMPUTED_VALUE"""),11.9763659)</f>
        <v>11.9763659</v>
      </c>
      <c r="AD788" s="4">
        <f>IFERROR(__xludf.DUMMYFUNCTION("""COMPUTED_VALUE"""),8.5645873)</f>
        <v>8.5645873</v>
      </c>
      <c r="AE788" s="5" t="str">
        <f>IFERROR(__xludf.DUMMYFUNCTION("""COMPUTED_VALUE"""),"https://drive.google.com/open?id=1WnLktZFK2j3QySx0yCoSOWtvvX2CfTku")</f>
        <v>https://drive.google.com/open?id=1WnLktZFK2j3QySx0yCoSOWtvvX2CfTku</v>
      </c>
      <c r="AF788" s="4"/>
      <c r="AG788" s="4"/>
      <c r="AH788" s="4"/>
      <c r="AI788" s="4"/>
      <c r="AL788" s="4" t="str">
        <f t="shared" si="1"/>
        <v>Cluster 17</v>
      </c>
      <c r="AM788" s="4" t="str">
        <f t="shared" si="2"/>
        <v>KIYASHI AVENUE</v>
      </c>
    </row>
    <row r="789">
      <c r="A789" s="3">
        <f>IFERROR(__xludf.DUMMYFUNCTION("""COMPUTED_VALUE"""),45852.599253981476)</f>
        <v>45852.59925</v>
      </c>
      <c r="B789" s="4" t="str">
        <f>IFERROR(__xludf.DUMMYFUNCTION("""COMPUTED_VALUE"""),"iahmadzakari@gmail.com")</f>
        <v>iahmadzakari@gmail.com</v>
      </c>
      <c r="C789" s="4" t="str">
        <f>IFERROR(__xludf.DUMMYFUNCTION("""COMPUTED_VALUE"""),"Sadiq Ilu")</f>
        <v>Sadiq Ilu</v>
      </c>
      <c r="D789" s="4" t="str">
        <f>IFERROR(__xludf.DUMMYFUNCTION("""COMPUTED_VALUE"""),"Cluster 17")</f>
        <v>Cluster 17</v>
      </c>
      <c r="E789" s="4"/>
      <c r="F789" s="4"/>
      <c r="G789" s="4"/>
      <c r="H789" s="4"/>
      <c r="I789" s="4" t="str">
        <f>IFERROR(__xludf.DUMMYFUNCTION("""COMPUTED_VALUE"""),"KIYASHI AVENUE")</f>
        <v>KIYASHI AVENUE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>
        <f>IFERROR(__xludf.DUMMYFUNCTION("""COMPUTED_VALUE"""),1.0)</f>
        <v>1</v>
      </c>
      <c r="AC789" s="4">
        <f>IFERROR(__xludf.DUMMYFUNCTION("""COMPUTED_VALUE"""),11.97494248)</f>
        <v>11.97494248</v>
      </c>
      <c r="AD789" s="4">
        <f>IFERROR(__xludf.DUMMYFUNCTION("""COMPUTED_VALUE"""),8.56622415)</f>
        <v>8.56622415</v>
      </c>
      <c r="AE789" s="5" t="str">
        <f>IFERROR(__xludf.DUMMYFUNCTION("""COMPUTED_VALUE"""),"https://drive.google.com/open?id=1xY9lm1577xm0RaTZw2JwEH4vbklsR4Kh")</f>
        <v>https://drive.google.com/open?id=1xY9lm1577xm0RaTZw2JwEH4vbklsR4Kh</v>
      </c>
      <c r="AF789" s="4"/>
      <c r="AG789" s="4"/>
      <c r="AH789" s="4"/>
      <c r="AI789" s="4"/>
      <c r="AL789" s="4" t="str">
        <f t="shared" si="1"/>
        <v>Cluster 17</v>
      </c>
      <c r="AM789" s="4" t="str">
        <f t="shared" si="2"/>
        <v>KIYASHI AVENUE</v>
      </c>
    </row>
    <row r="790">
      <c r="A790" s="3">
        <f>IFERROR(__xludf.DUMMYFUNCTION("""COMPUTED_VALUE"""),45852.59830846065)</f>
        <v>45852.59831</v>
      </c>
      <c r="B790" s="4" t="str">
        <f>IFERROR(__xludf.DUMMYFUNCTION("""COMPUTED_VALUE"""),"iahmadzakari@gmail.com")</f>
        <v>iahmadzakari@gmail.com</v>
      </c>
      <c r="C790" s="4" t="str">
        <f>IFERROR(__xludf.DUMMYFUNCTION("""COMPUTED_VALUE"""),"Sadiq Ilu")</f>
        <v>Sadiq Ilu</v>
      </c>
      <c r="D790" s="4" t="str">
        <f>IFERROR(__xludf.DUMMYFUNCTION("""COMPUTED_VALUE"""),"Cluster 17")</f>
        <v>Cluster 17</v>
      </c>
      <c r="E790" s="4"/>
      <c r="F790" s="4"/>
      <c r="G790" s="4"/>
      <c r="H790" s="4"/>
      <c r="I790" s="4" t="str">
        <f>IFERROR(__xludf.DUMMYFUNCTION("""COMPUTED_VALUE"""),"SHEHU KAZAURE STREET")</f>
        <v>SHEHU KAZAURE STREET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>
        <f>IFERROR(__xludf.DUMMYFUNCTION("""COMPUTED_VALUE"""),2.0)</f>
        <v>2</v>
      </c>
      <c r="AC790" s="4">
        <f>IFERROR(__xludf.DUMMYFUNCTION("""COMPUTED_VALUE"""),11.97588783)</f>
        <v>11.97588783</v>
      </c>
      <c r="AD790" s="4">
        <f>IFERROR(__xludf.DUMMYFUNCTION("""COMPUTED_VALUE"""),8.56692982)</f>
        <v>8.56692982</v>
      </c>
      <c r="AE790" s="5" t="str">
        <f>IFERROR(__xludf.DUMMYFUNCTION("""COMPUTED_VALUE"""),"https://drive.google.com/open?id=17dMk8MGwYIxNWThFLwZe4ttfXPt1Gsds")</f>
        <v>https://drive.google.com/open?id=17dMk8MGwYIxNWThFLwZe4ttfXPt1Gsds</v>
      </c>
      <c r="AF790" s="4"/>
      <c r="AG790" s="4"/>
      <c r="AH790" s="4"/>
      <c r="AI790" s="4"/>
      <c r="AL790" s="4" t="str">
        <f t="shared" si="1"/>
        <v>Cluster 17</v>
      </c>
      <c r="AM790" s="4" t="str">
        <f t="shared" si="2"/>
        <v>SHEHU KAZAURE STREET</v>
      </c>
    </row>
    <row r="791">
      <c r="A791" s="3">
        <f>IFERROR(__xludf.DUMMYFUNCTION("""COMPUTED_VALUE"""),45852.597323078706)</f>
        <v>45852.59732</v>
      </c>
      <c r="B791" s="4" t="str">
        <f>IFERROR(__xludf.DUMMYFUNCTION("""COMPUTED_VALUE"""),"iahmadzakari@gmail.com")</f>
        <v>iahmadzakari@gmail.com</v>
      </c>
      <c r="C791" s="4" t="str">
        <f>IFERROR(__xludf.DUMMYFUNCTION("""COMPUTED_VALUE"""),"Sadiq Ilu")</f>
        <v>Sadiq Ilu</v>
      </c>
      <c r="D791" s="4" t="str">
        <f>IFERROR(__xludf.DUMMYFUNCTION("""COMPUTED_VALUE"""),"Cluster 17")</f>
        <v>Cluster 17</v>
      </c>
      <c r="E791" s="4"/>
      <c r="F791" s="4"/>
      <c r="G791" s="4"/>
      <c r="H791" s="4"/>
      <c r="I791" s="4" t="str">
        <f>IFERROR(__xludf.DUMMYFUNCTION("""COMPUTED_VALUE"""),"SHEHU KAZAURE STREET")</f>
        <v>SHEHU KAZAURE STREET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>
        <f>IFERROR(__xludf.DUMMYFUNCTION("""COMPUTED_VALUE"""),1.0)</f>
        <v>1</v>
      </c>
      <c r="AC791" s="4">
        <f>IFERROR(__xludf.DUMMYFUNCTION("""COMPUTED_VALUE"""),11.96855654)</f>
        <v>11.96855654</v>
      </c>
      <c r="AD791" s="4">
        <f>IFERROR(__xludf.DUMMYFUNCTION("""COMPUTED_VALUE"""),8.56182391)</f>
        <v>8.56182391</v>
      </c>
      <c r="AE791" s="5" t="str">
        <f>IFERROR(__xludf.DUMMYFUNCTION("""COMPUTED_VALUE"""),"https://drive.google.com/open?id=1h1zW7wzzUFvIq3Eq6i76jGaecxLsoQi6")</f>
        <v>https://drive.google.com/open?id=1h1zW7wzzUFvIq3Eq6i76jGaecxLsoQi6</v>
      </c>
      <c r="AF791" s="4"/>
      <c r="AG791" s="4"/>
      <c r="AH791" s="4"/>
      <c r="AI791" s="4"/>
      <c r="AL791" s="4" t="str">
        <f t="shared" si="1"/>
        <v>Cluster 17</v>
      </c>
      <c r="AM791" s="4" t="str">
        <f t="shared" si="2"/>
        <v>SHEHU KAZAURE STREET</v>
      </c>
    </row>
    <row r="792">
      <c r="A792" s="3">
        <f>IFERROR(__xludf.DUMMYFUNCTION("""COMPUTED_VALUE"""),45852.594595625)</f>
        <v>45852.5946</v>
      </c>
      <c r="B792" s="4" t="str">
        <f>IFERROR(__xludf.DUMMYFUNCTION("""COMPUTED_VALUE"""),"iahmadzakari@gmail.com")</f>
        <v>iahmadzakari@gmail.com</v>
      </c>
      <c r="C792" s="4" t="str">
        <f>IFERROR(__xludf.DUMMYFUNCTION("""COMPUTED_VALUE"""),"Sadiq Ilu")</f>
        <v>Sadiq Ilu</v>
      </c>
      <c r="D792" s="4" t="str">
        <f>IFERROR(__xludf.DUMMYFUNCTION("""COMPUTED_VALUE"""),"Cluster 3")</f>
        <v>Cluster 3</v>
      </c>
      <c r="E792" s="4" t="str">
        <f>IFERROR(__xludf.DUMMYFUNCTION("""COMPUTED_VALUE"""),"NURA TURAKI STREET")</f>
        <v>NURA TURAKI STREET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>
        <f>IFERROR(__xludf.DUMMYFUNCTION("""COMPUTED_VALUE"""),2.0)</f>
        <v>2</v>
      </c>
      <c r="AC792" s="4">
        <f>IFERROR(__xludf.DUMMYFUNCTION("""COMPUTED_VALUE"""),11.96968177)</f>
        <v>11.96968177</v>
      </c>
      <c r="AD792" s="4">
        <f>IFERROR(__xludf.DUMMYFUNCTION("""COMPUTED_VALUE"""),8.54875378)</f>
        <v>8.54875378</v>
      </c>
      <c r="AE792" s="5" t="str">
        <f>IFERROR(__xludf.DUMMYFUNCTION("""COMPUTED_VALUE"""),"https://drive.google.com/open?id=1duuk5sr5n_hQ7O9vJke4hD_5lYDSu4f9")</f>
        <v>https://drive.google.com/open?id=1duuk5sr5n_hQ7O9vJke4hD_5lYDSu4f9</v>
      </c>
      <c r="AF792" s="4"/>
      <c r="AG792" s="4"/>
      <c r="AH792" s="4"/>
      <c r="AI792" s="4"/>
      <c r="AL792" s="4" t="str">
        <f t="shared" si="1"/>
        <v>Cluster 3</v>
      </c>
      <c r="AM792" s="4" t="str">
        <f t="shared" si="2"/>
        <v>NURA TURAKI STREET</v>
      </c>
    </row>
    <row r="793">
      <c r="A793" s="3">
        <f>IFERROR(__xludf.DUMMYFUNCTION("""COMPUTED_VALUE"""),45852.59361256944)</f>
        <v>45852.59361</v>
      </c>
      <c r="B793" s="4" t="str">
        <f>IFERROR(__xludf.DUMMYFUNCTION("""COMPUTED_VALUE"""),"iahmadzakari@gmail.com")</f>
        <v>iahmadzakari@gmail.com</v>
      </c>
      <c r="C793" s="4" t="str">
        <f>IFERROR(__xludf.DUMMYFUNCTION("""COMPUTED_VALUE"""),"Sadiq Ilu")</f>
        <v>Sadiq Ilu</v>
      </c>
      <c r="D793" s="4" t="str">
        <f>IFERROR(__xludf.DUMMYFUNCTION("""COMPUTED_VALUE"""),"Cluster 3")</f>
        <v>Cluster 3</v>
      </c>
      <c r="E793" s="4" t="str">
        <f>IFERROR(__xludf.DUMMYFUNCTION("""COMPUTED_VALUE"""),"NURA TURAKI STREET")</f>
        <v>NURA TURAKI STREET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>
        <f>IFERROR(__xludf.DUMMYFUNCTION("""COMPUTED_VALUE"""),1.0)</f>
        <v>1</v>
      </c>
      <c r="AC793" s="4">
        <f>IFERROR(__xludf.DUMMYFUNCTION("""COMPUTED_VALUE"""),11.96844762)</f>
        <v>11.96844762</v>
      </c>
      <c r="AD793" s="4">
        <f>IFERROR(__xludf.DUMMYFUNCTION("""COMPUTED_VALUE"""),8.54710692)</f>
        <v>8.54710692</v>
      </c>
      <c r="AE793" s="5" t="str">
        <f>IFERROR(__xludf.DUMMYFUNCTION("""COMPUTED_VALUE"""),"https://drive.google.com/open?id=1Yy6H493_1toJQgHJuPMoHqLHTk49n1E6")</f>
        <v>https://drive.google.com/open?id=1Yy6H493_1toJQgHJuPMoHqLHTk49n1E6</v>
      </c>
      <c r="AF793" s="4"/>
      <c r="AG793" s="4"/>
      <c r="AH793" s="4"/>
      <c r="AI793" s="4"/>
      <c r="AL793" s="4" t="str">
        <f t="shared" si="1"/>
        <v>Cluster 3</v>
      </c>
      <c r="AM793" s="4" t="str">
        <f t="shared" si="2"/>
        <v>NURA TURAKI STREET</v>
      </c>
    </row>
    <row r="794">
      <c r="A794" s="3">
        <f>IFERROR(__xludf.DUMMYFUNCTION("""COMPUTED_VALUE"""),45852.59252849537)</f>
        <v>45852.59253</v>
      </c>
      <c r="B794" s="4" t="str">
        <f>IFERROR(__xludf.DUMMYFUNCTION("""COMPUTED_VALUE"""),"iahmadzakari@gmail.com")</f>
        <v>iahmadzakari@gmail.com</v>
      </c>
      <c r="C794" s="4" t="str">
        <f>IFERROR(__xludf.DUMMYFUNCTION("""COMPUTED_VALUE"""),"Sadiq Ilu")</f>
        <v>Sadiq Ilu</v>
      </c>
      <c r="D794" s="4" t="str">
        <f>IFERROR(__xludf.DUMMYFUNCTION("""COMPUTED_VALUE"""),"Cluster 3")</f>
        <v>Cluster 3</v>
      </c>
      <c r="E794" s="4" t="str">
        <f>IFERROR(__xludf.DUMMYFUNCTION("""COMPUTED_VALUE"""),"KANKAROFI STREET")</f>
        <v>KANKAROFI STREET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>
        <f>IFERROR(__xludf.DUMMYFUNCTION("""COMPUTED_VALUE"""),2.0)</f>
        <v>2</v>
      </c>
      <c r="AC794" s="4">
        <f>IFERROR(__xludf.DUMMYFUNCTION("""COMPUTED_VALUE"""),11.96864193)</f>
        <v>11.96864193</v>
      </c>
      <c r="AD794" s="4">
        <f>IFERROR(__xludf.DUMMYFUNCTION("""COMPUTED_VALUE"""),8.54679281)</f>
        <v>8.54679281</v>
      </c>
      <c r="AE794" s="5" t="str">
        <f>IFERROR(__xludf.DUMMYFUNCTION("""COMPUTED_VALUE"""),"https://drive.google.com/open?id=17uTpFpYasN0LPQjzNZ-61c1gy0cbSjaN")</f>
        <v>https://drive.google.com/open?id=17uTpFpYasN0LPQjzNZ-61c1gy0cbSjaN</v>
      </c>
      <c r="AF794" s="4"/>
      <c r="AG794" s="4"/>
      <c r="AH794" s="4"/>
      <c r="AI794" s="4"/>
      <c r="AL794" s="4" t="str">
        <f t="shared" si="1"/>
        <v>Cluster 3</v>
      </c>
      <c r="AM794" s="4" t="str">
        <f t="shared" si="2"/>
        <v>KANKAROFI STREET</v>
      </c>
    </row>
    <row r="795">
      <c r="A795" s="3">
        <f>IFERROR(__xludf.DUMMYFUNCTION("""COMPUTED_VALUE"""),45852.59166085648)</f>
        <v>45852.59166</v>
      </c>
      <c r="B795" s="4" t="str">
        <f>IFERROR(__xludf.DUMMYFUNCTION("""COMPUTED_VALUE"""),"iahmadzakari@gmail.com")</f>
        <v>iahmadzakari@gmail.com</v>
      </c>
      <c r="C795" s="4" t="str">
        <f>IFERROR(__xludf.DUMMYFUNCTION("""COMPUTED_VALUE"""),"Sadiq Ilu")</f>
        <v>Sadiq Ilu</v>
      </c>
      <c r="D795" s="4" t="str">
        <f>IFERROR(__xludf.DUMMYFUNCTION("""COMPUTED_VALUE"""),"Cluster 3")</f>
        <v>Cluster 3</v>
      </c>
      <c r="E795" s="4" t="str">
        <f>IFERROR(__xludf.DUMMYFUNCTION("""COMPUTED_VALUE"""),"KANKAROFI STREET")</f>
        <v>KANKAROFI STREET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>
        <f>IFERROR(__xludf.DUMMYFUNCTION("""COMPUTED_VALUE"""),1.0)</f>
        <v>1</v>
      </c>
      <c r="AC795" s="4">
        <f>IFERROR(__xludf.DUMMYFUNCTION("""COMPUTED_VALUE"""),11.96999556)</f>
        <v>11.96999556</v>
      </c>
      <c r="AD795" s="4">
        <f>IFERROR(__xludf.DUMMYFUNCTION("""COMPUTED_VALUE"""),8.5484231)</f>
        <v>8.5484231</v>
      </c>
      <c r="AE795" s="5" t="str">
        <f>IFERROR(__xludf.DUMMYFUNCTION("""COMPUTED_VALUE"""),"https://drive.google.com/open?id=1KxO9vPTDc5LDBS3VrQqRU95WCrK9RQWI")</f>
        <v>https://drive.google.com/open?id=1KxO9vPTDc5LDBS3VrQqRU95WCrK9RQWI</v>
      </c>
      <c r="AF795" s="4"/>
      <c r="AG795" s="4"/>
      <c r="AH795" s="4"/>
      <c r="AI795" s="4"/>
      <c r="AL795" s="4" t="str">
        <f t="shared" si="1"/>
        <v>Cluster 3</v>
      </c>
      <c r="AM795" s="4" t="str">
        <f t="shared" si="2"/>
        <v>KANKAROFI STREET</v>
      </c>
    </row>
    <row r="796">
      <c r="A796" s="3">
        <f>IFERROR(__xludf.DUMMYFUNCTION("""COMPUTED_VALUE"""),45852.5906471412)</f>
        <v>45852.59065</v>
      </c>
      <c r="B796" s="4" t="str">
        <f>IFERROR(__xludf.DUMMYFUNCTION("""COMPUTED_VALUE"""),"iahmadzakari@gmail.com")</f>
        <v>iahmadzakari@gmail.com</v>
      </c>
      <c r="C796" s="4" t="str">
        <f>IFERROR(__xludf.DUMMYFUNCTION("""COMPUTED_VALUE"""),"Sadiq Ilu")</f>
        <v>Sadiq Ilu</v>
      </c>
      <c r="D796" s="4" t="str">
        <f>IFERROR(__xludf.DUMMYFUNCTION("""COMPUTED_VALUE"""),"Cluster 3")</f>
        <v>Cluster 3</v>
      </c>
      <c r="E796" s="4" t="str">
        <f>IFERROR(__xludf.DUMMYFUNCTION("""COMPUTED_VALUE"""),"BABA KOKI STREET")</f>
        <v>BABA KOKI STREET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>
        <f>IFERROR(__xludf.DUMMYFUNCTION("""COMPUTED_VALUE"""),2.0)</f>
        <v>2</v>
      </c>
      <c r="AC796" s="4">
        <f>IFERROR(__xludf.DUMMYFUNCTION("""COMPUTED_VALUE"""),11.96874352)</f>
        <v>11.96874352</v>
      </c>
      <c r="AD796" s="4">
        <f>IFERROR(__xludf.DUMMYFUNCTION("""COMPUTED_VALUE"""),8.54634982)</f>
        <v>8.54634982</v>
      </c>
      <c r="AE796" s="5" t="str">
        <f>IFERROR(__xludf.DUMMYFUNCTION("""COMPUTED_VALUE"""),"https://drive.google.com/open?id=1c2fqVlk7EsbFzCJXk9MBGNPwLQI5ewME")</f>
        <v>https://drive.google.com/open?id=1c2fqVlk7EsbFzCJXk9MBGNPwLQI5ewME</v>
      </c>
      <c r="AF796" s="4"/>
      <c r="AG796" s="4"/>
      <c r="AH796" s="4"/>
      <c r="AI796" s="4"/>
      <c r="AL796" s="4" t="str">
        <f t="shared" si="1"/>
        <v>Cluster 3</v>
      </c>
      <c r="AM796" s="4" t="str">
        <f t="shared" si="2"/>
        <v>BABA KOKI STREET</v>
      </c>
    </row>
    <row r="797">
      <c r="A797" s="3">
        <f>IFERROR(__xludf.DUMMYFUNCTION("""COMPUTED_VALUE"""),45852.589520740745)</f>
        <v>45852.58952</v>
      </c>
      <c r="B797" s="4" t="str">
        <f>IFERROR(__xludf.DUMMYFUNCTION("""COMPUTED_VALUE"""),"iahmadzakari@gmail.com")</f>
        <v>iahmadzakari@gmail.com</v>
      </c>
      <c r="C797" s="4" t="str">
        <f>IFERROR(__xludf.DUMMYFUNCTION("""COMPUTED_VALUE"""),"Sadiq Ilu")</f>
        <v>Sadiq Ilu</v>
      </c>
      <c r="D797" s="4" t="str">
        <f>IFERROR(__xludf.DUMMYFUNCTION("""COMPUTED_VALUE"""),"Cluster 3")</f>
        <v>Cluster 3</v>
      </c>
      <c r="E797" s="4" t="str">
        <f>IFERROR(__xludf.DUMMYFUNCTION("""COMPUTED_VALUE"""),"BABA KOKI STREET")</f>
        <v>BABA KOKI STREET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>
        <f>IFERROR(__xludf.DUMMYFUNCTION("""COMPUTED_VALUE"""),1.0)</f>
        <v>1</v>
      </c>
      <c r="AC797" s="4">
        <f>IFERROR(__xludf.DUMMYFUNCTION("""COMPUTED_VALUE"""),11.97025658)</f>
        <v>11.97025658</v>
      </c>
      <c r="AD797" s="4">
        <f>IFERROR(__xludf.DUMMYFUNCTION("""COMPUTED_VALUE"""),8.54820474)</f>
        <v>8.54820474</v>
      </c>
      <c r="AE797" s="5" t="str">
        <f>IFERROR(__xludf.DUMMYFUNCTION("""COMPUTED_VALUE"""),"https://drive.google.com/open?id=1lYlgNCad7-eB5fgoFA6gAPsLcHzkO4CJ")</f>
        <v>https://drive.google.com/open?id=1lYlgNCad7-eB5fgoFA6gAPsLcHzkO4CJ</v>
      </c>
      <c r="AF797" s="4"/>
      <c r="AG797" s="4"/>
      <c r="AH797" s="4"/>
      <c r="AI797" s="4"/>
      <c r="AL797" s="4" t="str">
        <f t="shared" si="1"/>
        <v>Cluster 3</v>
      </c>
      <c r="AM797" s="4" t="str">
        <f t="shared" si="2"/>
        <v>BABA KOKI STREET</v>
      </c>
    </row>
    <row r="798">
      <c r="A798" s="3">
        <f>IFERROR(__xludf.DUMMYFUNCTION("""COMPUTED_VALUE"""),45852.588026516205)</f>
        <v>45852.58803</v>
      </c>
      <c r="B798" s="4" t="str">
        <f>IFERROR(__xludf.DUMMYFUNCTION("""COMPUTED_VALUE"""),"iahmadzakari@gmail.com")</f>
        <v>iahmadzakari@gmail.com</v>
      </c>
      <c r="C798" s="4" t="str">
        <f>IFERROR(__xludf.DUMMYFUNCTION("""COMPUTED_VALUE"""),"Sadiq Ilu")</f>
        <v>Sadiq Ilu</v>
      </c>
      <c r="D798" s="4" t="str">
        <f>IFERROR(__xludf.DUMMYFUNCTION("""COMPUTED_VALUE"""),"Cluster 3")</f>
        <v>Cluster 3</v>
      </c>
      <c r="E798" s="4" t="str">
        <f>IFERROR(__xludf.DUMMYFUNCTION("""COMPUTED_VALUE"""),"NUPE ROAD")</f>
        <v>NUPE ROAD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>
        <f>IFERROR(__xludf.DUMMYFUNCTION("""COMPUTED_VALUE"""),2.0)</f>
        <v>2</v>
      </c>
      <c r="AC798" s="4">
        <f>IFERROR(__xludf.DUMMYFUNCTION("""COMPUTED_VALUE"""),11.96646151)</f>
        <v>11.96646151</v>
      </c>
      <c r="AD798" s="4">
        <f>IFERROR(__xludf.DUMMYFUNCTION("""COMPUTED_VALUE"""),8.54756354)</f>
        <v>8.54756354</v>
      </c>
      <c r="AE798" s="5" t="str">
        <f>IFERROR(__xludf.DUMMYFUNCTION("""COMPUTED_VALUE"""),"https://drive.google.com/open?id=1Vm2vFXJFWTgQnKMTWlzrhnvd9Hsw-iwU")</f>
        <v>https://drive.google.com/open?id=1Vm2vFXJFWTgQnKMTWlzrhnvd9Hsw-iwU</v>
      </c>
      <c r="AF798" s="4"/>
      <c r="AG798" s="4"/>
      <c r="AH798" s="4"/>
      <c r="AI798" s="4"/>
      <c r="AL798" s="4" t="str">
        <f t="shared" si="1"/>
        <v>Cluster 3</v>
      </c>
      <c r="AM798" s="4" t="str">
        <f t="shared" si="2"/>
        <v>NUPE ROAD</v>
      </c>
    </row>
    <row r="799">
      <c r="A799" s="3">
        <f>IFERROR(__xludf.DUMMYFUNCTION("""COMPUTED_VALUE"""),45852.58675019676)</f>
        <v>45852.58675</v>
      </c>
      <c r="B799" s="4" t="str">
        <f>IFERROR(__xludf.DUMMYFUNCTION("""COMPUTED_VALUE"""),"iahmadzakari@gmail.com")</f>
        <v>iahmadzakari@gmail.com</v>
      </c>
      <c r="C799" s="4" t="str">
        <f>IFERROR(__xludf.DUMMYFUNCTION("""COMPUTED_VALUE"""),"Sadiq Ilu")</f>
        <v>Sadiq Ilu</v>
      </c>
      <c r="D799" s="4" t="str">
        <f>IFERROR(__xludf.DUMMYFUNCTION("""COMPUTED_VALUE"""),"Cluster 3")</f>
        <v>Cluster 3</v>
      </c>
      <c r="E799" s="4" t="str">
        <f>IFERROR(__xludf.DUMMYFUNCTION("""COMPUTED_VALUE"""),"NUPE ROAD")</f>
        <v>NUPE ROAD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>
        <f>IFERROR(__xludf.DUMMYFUNCTION("""COMPUTED_VALUE"""),1.0)</f>
        <v>1</v>
      </c>
      <c r="AC799" s="4">
        <f>IFERROR(__xludf.DUMMYFUNCTION("""COMPUTED_VALUE"""),11.96906862)</f>
        <v>11.96906862</v>
      </c>
      <c r="AD799" s="4">
        <f>IFERROR(__xludf.DUMMYFUNCTION("""COMPUTED_VALUE"""),8.54614689)</f>
        <v>8.54614689</v>
      </c>
      <c r="AE799" s="5" t="str">
        <f>IFERROR(__xludf.DUMMYFUNCTION("""COMPUTED_VALUE"""),"https://drive.google.com/open?id=1tu6nge5mEvkESNgUpzCWUR3UaOUk3hkB")</f>
        <v>https://drive.google.com/open?id=1tu6nge5mEvkESNgUpzCWUR3UaOUk3hkB</v>
      </c>
      <c r="AF799" s="4"/>
      <c r="AG799" s="4"/>
      <c r="AH799" s="4"/>
      <c r="AI799" s="4"/>
      <c r="AL799" s="4" t="str">
        <f t="shared" si="1"/>
        <v>Cluster 3</v>
      </c>
      <c r="AM799" s="4" t="str">
        <f t="shared" si="2"/>
        <v>NUPE ROAD</v>
      </c>
    </row>
    <row r="800">
      <c r="A800" s="3">
        <f>IFERROR(__xludf.DUMMYFUNCTION("""COMPUTED_VALUE"""),45852.58537887732)</f>
        <v>45852.58538</v>
      </c>
      <c r="B800" s="4" t="str">
        <f>IFERROR(__xludf.DUMMYFUNCTION("""COMPUTED_VALUE"""),"iahmadzakari@gmail.com")</f>
        <v>iahmadzakari@gmail.com</v>
      </c>
      <c r="C800" s="4" t="str">
        <f>IFERROR(__xludf.DUMMYFUNCTION("""COMPUTED_VALUE"""),"Sadiq Ilu")</f>
        <v>Sadiq Ilu</v>
      </c>
      <c r="D800" s="4" t="str">
        <f>IFERROR(__xludf.DUMMYFUNCTION("""COMPUTED_VALUE"""),"Cluster 3")</f>
        <v>Cluster 3</v>
      </c>
      <c r="E800" s="4" t="str">
        <f>IFERROR(__xludf.DUMMYFUNCTION("""COMPUTED_VALUE"""),"LAYIN MAI KOSAI ROAD")</f>
        <v>LAYIN MAI KOSAI ROAD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>
        <f>IFERROR(__xludf.DUMMYFUNCTION("""COMPUTED_VALUE"""),1.0)</f>
        <v>1</v>
      </c>
      <c r="AC800" s="4">
        <f>IFERROR(__xludf.DUMMYFUNCTION("""COMPUTED_VALUE"""),11.96873487)</f>
        <v>11.96873487</v>
      </c>
      <c r="AD800" s="4">
        <f>IFERROR(__xludf.DUMMYFUNCTION("""COMPUTED_VALUE"""),8.54543689)</f>
        <v>8.54543689</v>
      </c>
      <c r="AE800" s="5" t="str">
        <f>IFERROR(__xludf.DUMMYFUNCTION("""COMPUTED_VALUE"""),"https://drive.google.com/open?id=1UsS2dYhKjIu0gzZH50qysrAtPquE1wqI")</f>
        <v>https://drive.google.com/open?id=1UsS2dYhKjIu0gzZH50qysrAtPquE1wqI</v>
      </c>
      <c r="AF800" s="4"/>
      <c r="AG800" s="4"/>
      <c r="AH800" s="4"/>
      <c r="AI800" s="4"/>
      <c r="AL800" s="4" t="str">
        <f t="shared" si="1"/>
        <v>Cluster 3</v>
      </c>
      <c r="AM800" s="4" t="str">
        <f t="shared" si="2"/>
        <v>LAYIN MAI KOSAI ROAD</v>
      </c>
    </row>
    <row r="801">
      <c r="A801" s="3">
        <f>IFERROR(__xludf.DUMMYFUNCTION("""COMPUTED_VALUE"""),45852.5822312963)</f>
        <v>45852.58223</v>
      </c>
      <c r="B801" s="4" t="str">
        <f>IFERROR(__xludf.DUMMYFUNCTION("""COMPUTED_VALUE"""),"iahmadzakari@gmail.com")</f>
        <v>iahmadzakari@gmail.com</v>
      </c>
      <c r="C801" s="4" t="str">
        <f>IFERROR(__xludf.DUMMYFUNCTION("""COMPUTED_VALUE"""),"Sadiq Ilu")</f>
        <v>Sadiq Ilu</v>
      </c>
      <c r="D801" s="4" t="str">
        <f>IFERROR(__xludf.DUMMYFUNCTION("""COMPUTED_VALUE"""),"Cluster 3")</f>
        <v>Cluster 3</v>
      </c>
      <c r="E801" s="4" t="str">
        <f>IFERROR(__xludf.DUMMYFUNCTION("""COMPUTED_VALUE"""),"GYADI - GYADI PRIMARY SCHOOL ROAD")</f>
        <v>GYADI - GYADI PRIMARY SCHOOL ROAD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>
        <f>IFERROR(__xludf.DUMMYFUNCTION("""COMPUTED_VALUE"""),1.0)</f>
        <v>1</v>
      </c>
      <c r="AC801" s="4">
        <f>IFERROR(__xludf.DUMMYFUNCTION("""COMPUTED_VALUE"""),11.96717347)</f>
        <v>11.96717347</v>
      </c>
      <c r="AD801" s="4">
        <f>IFERROR(__xludf.DUMMYFUNCTION("""COMPUTED_VALUE"""),8.54464557)</f>
        <v>8.54464557</v>
      </c>
      <c r="AE801" s="5" t="str">
        <f>IFERROR(__xludf.DUMMYFUNCTION("""COMPUTED_VALUE"""),"https://drive.google.com/open?id=1bhBJueGQs0SjtFESO66_rlAbdzcJ53cP")</f>
        <v>https://drive.google.com/open?id=1bhBJueGQs0SjtFESO66_rlAbdzcJ53cP</v>
      </c>
      <c r="AF801" s="4"/>
      <c r="AG801" s="4"/>
      <c r="AH801" s="4"/>
      <c r="AI801" s="4"/>
      <c r="AL801" s="4" t="str">
        <f t="shared" si="1"/>
        <v>Cluster 3</v>
      </c>
      <c r="AM801" s="4" t="str">
        <f t="shared" si="2"/>
        <v>GYADI - GYADI PRIMARY SCHOOL ROAD</v>
      </c>
    </row>
    <row r="802">
      <c r="A802" s="3">
        <f>IFERROR(__xludf.DUMMYFUNCTION("""COMPUTED_VALUE"""),45852.57501881944)</f>
        <v>45852.57502</v>
      </c>
      <c r="B802" s="4" t="str">
        <f>IFERROR(__xludf.DUMMYFUNCTION("""COMPUTED_VALUE"""),"iahmadzakari@gmail.com")</f>
        <v>iahmadzakari@gmail.com</v>
      </c>
      <c r="C802" s="4" t="str">
        <f>IFERROR(__xludf.DUMMYFUNCTION("""COMPUTED_VALUE"""),"Sadiq Ilu")</f>
        <v>Sadiq Ilu</v>
      </c>
      <c r="D802" s="4" t="str">
        <f>IFERROR(__xludf.DUMMYFUNCTION("""COMPUTED_VALUE"""),"Cluster 3")</f>
        <v>Cluster 3</v>
      </c>
      <c r="E802" s="4" t="str">
        <f>IFERROR(__xludf.DUMMYFUNCTION("""COMPUTED_VALUE"""),"INUWA DUTSE STREET")</f>
        <v>INUWA DUTSE STREET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>
        <f>IFERROR(__xludf.DUMMYFUNCTION("""COMPUTED_VALUE"""),2.0)</f>
        <v>2</v>
      </c>
      <c r="AC802" s="4">
        <f>IFERROR(__xludf.DUMMYFUNCTION("""COMPUTED_VALUE"""),11.95859775)</f>
        <v>11.95859775</v>
      </c>
      <c r="AD802" s="4">
        <f>IFERROR(__xludf.DUMMYFUNCTION("""COMPUTED_VALUE"""),8.54121536)</f>
        <v>8.54121536</v>
      </c>
      <c r="AE802" s="5" t="str">
        <f>IFERROR(__xludf.DUMMYFUNCTION("""COMPUTED_VALUE"""),"https://drive.google.com/open?id=1wV9_vYW8vEmgKKmyMH6TVOrCIpefUNwN")</f>
        <v>https://drive.google.com/open?id=1wV9_vYW8vEmgKKmyMH6TVOrCIpefUNwN</v>
      </c>
      <c r="AF802" s="4"/>
      <c r="AG802" s="4"/>
      <c r="AH802" s="4"/>
      <c r="AI802" s="4"/>
      <c r="AL802" s="4" t="str">
        <f t="shared" si="1"/>
        <v>Cluster 3</v>
      </c>
      <c r="AM802" s="4" t="str">
        <f t="shared" si="2"/>
        <v>INUWA DUTSE STREET</v>
      </c>
    </row>
    <row r="803">
      <c r="A803" s="3">
        <f>IFERROR(__xludf.DUMMYFUNCTION("""COMPUTED_VALUE"""),45852.501738391205)</f>
        <v>45852.50174</v>
      </c>
      <c r="B803" s="4" t="str">
        <f>IFERROR(__xludf.DUMMYFUNCTION("""COMPUTED_VALUE"""),"iahmadzakari@gmail.com")</f>
        <v>iahmadzakari@gmail.com</v>
      </c>
      <c r="C803" s="4" t="str">
        <f>IFERROR(__xludf.DUMMYFUNCTION("""COMPUTED_VALUE"""),"Sadiq Ilu")</f>
        <v>Sadiq Ilu</v>
      </c>
      <c r="D803" s="4" t="str">
        <f>IFERROR(__xludf.DUMMYFUNCTION("""COMPUTED_VALUE"""),"Cluster 3")</f>
        <v>Cluster 3</v>
      </c>
      <c r="E803" s="4" t="str">
        <f>IFERROR(__xludf.DUMMYFUNCTION("""COMPUTED_VALUE"""),"INUWA DUTSE STREET")</f>
        <v>INUWA DUTSE STREET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>
        <f>IFERROR(__xludf.DUMMYFUNCTION("""COMPUTED_VALUE"""),1.0)</f>
        <v>1</v>
      </c>
      <c r="AC803" s="4">
        <f>IFERROR(__xludf.DUMMYFUNCTION("""COMPUTED_VALUE"""),11.96355501)</f>
        <v>11.96355501</v>
      </c>
      <c r="AD803" s="4">
        <f>IFERROR(__xludf.DUMMYFUNCTION("""COMPUTED_VALUE"""),8.54303771)</f>
        <v>8.54303771</v>
      </c>
      <c r="AE803" s="5" t="str">
        <f>IFERROR(__xludf.DUMMYFUNCTION("""COMPUTED_VALUE"""),"https://drive.google.com/open?id=1CwDPT1LvcDl_6P2CnBVB9MErjo1RYl0o")</f>
        <v>https://drive.google.com/open?id=1CwDPT1LvcDl_6P2CnBVB9MErjo1RYl0o</v>
      </c>
      <c r="AF803" s="4"/>
      <c r="AG803" s="4"/>
      <c r="AH803" s="4"/>
      <c r="AI803" s="4"/>
      <c r="AL803" s="4" t="str">
        <f t="shared" si="1"/>
        <v>Cluster 3</v>
      </c>
      <c r="AM803" s="4" t="str">
        <f t="shared" si="2"/>
        <v>INUWA DUTSE STREET</v>
      </c>
    </row>
    <row r="804">
      <c r="A804" s="3">
        <f>IFERROR(__xludf.DUMMYFUNCTION("""COMPUTED_VALUE"""),45852.50064475695)</f>
        <v>45852.50064</v>
      </c>
      <c r="B804" s="4" t="str">
        <f>IFERROR(__xludf.DUMMYFUNCTION("""COMPUTED_VALUE"""),"iahmadzakari@gmail.com")</f>
        <v>iahmadzakari@gmail.com</v>
      </c>
      <c r="C804" s="4" t="str">
        <f>IFERROR(__xludf.DUMMYFUNCTION("""COMPUTED_VALUE"""),"Sadiq Ilu")</f>
        <v>Sadiq Ilu</v>
      </c>
      <c r="D804" s="4" t="str">
        <f>IFERROR(__xludf.DUMMYFUNCTION("""COMPUTED_VALUE"""),"Cluster 3")</f>
        <v>Cluster 3</v>
      </c>
      <c r="E804" s="4" t="str">
        <f>IFERROR(__xludf.DUMMYFUNCTION("""COMPUTED_VALUE"""),"KARKASARA WAY")</f>
        <v>KARKASARA WAY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>
        <f>IFERROR(__xludf.DUMMYFUNCTION("""COMPUTED_VALUE"""),2.0)</f>
        <v>2</v>
      </c>
      <c r="AC804" s="4">
        <f>IFERROR(__xludf.DUMMYFUNCTION("""COMPUTED_VALUE"""),11.94322302)</f>
        <v>11.94322302</v>
      </c>
      <c r="AD804" s="4">
        <f>IFERROR(__xludf.DUMMYFUNCTION("""COMPUTED_VALUE"""),8.56047988)</f>
        <v>8.56047988</v>
      </c>
      <c r="AE804" s="5" t="str">
        <f>IFERROR(__xludf.DUMMYFUNCTION("""COMPUTED_VALUE"""),"https://drive.google.com/open?id=1rEAIHljSd9nBwM0hEhztKT9LSGjSTIoJ")</f>
        <v>https://drive.google.com/open?id=1rEAIHljSd9nBwM0hEhztKT9LSGjSTIoJ</v>
      </c>
      <c r="AF804" s="4"/>
      <c r="AG804" s="4"/>
      <c r="AH804" s="4"/>
      <c r="AI804" s="4"/>
      <c r="AL804" s="4" t="str">
        <f t="shared" si="1"/>
        <v>Cluster 3</v>
      </c>
      <c r="AM804" s="4" t="str">
        <f t="shared" si="2"/>
        <v>KARKASARA WAY</v>
      </c>
    </row>
    <row r="805">
      <c r="A805" s="3">
        <f>IFERROR(__xludf.DUMMYFUNCTION("""COMPUTED_VALUE"""),45852.499681898145)</f>
        <v>45852.49968</v>
      </c>
      <c r="B805" s="4" t="str">
        <f>IFERROR(__xludf.DUMMYFUNCTION("""COMPUTED_VALUE"""),"iahmadzakari@gmail.com")</f>
        <v>iahmadzakari@gmail.com</v>
      </c>
      <c r="C805" s="4" t="str">
        <f>IFERROR(__xludf.DUMMYFUNCTION("""COMPUTED_VALUE"""),"Sadiq Ilu")</f>
        <v>Sadiq Ilu</v>
      </c>
      <c r="D805" s="4" t="str">
        <f>IFERROR(__xludf.DUMMYFUNCTION("""COMPUTED_VALUE"""),"Cluster 3")</f>
        <v>Cluster 3</v>
      </c>
      <c r="E805" s="4" t="str">
        <f>IFERROR(__xludf.DUMMYFUNCTION("""COMPUTED_VALUE"""),"KARKASARA WAY")</f>
        <v>KARKASARA WAY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>
        <f>IFERROR(__xludf.DUMMYFUNCTION("""COMPUTED_VALUE"""),1.0)</f>
        <v>1</v>
      </c>
      <c r="AC805" s="4">
        <f>IFERROR(__xludf.DUMMYFUNCTION("""COMPUTED_VALUE"""),11.96359461)</f>
        <v>11.96359461</v>
      </c>
      <c r="AD805" s="4">
        <f>IFERROR(__xludf.DUMMYFUNCTION("""COMPUTED_VALUE"""),8.54307563)</f>
        <v>8.54307563</v>
      </c>
      <c r="AE805" s="5" t="str">
        <f>IFERROR(__xludf.DUMMYFUNCTION("""COMPUTED_VALUE"""),"https://drive.google.com/open?id=1S-w1PFkc-4ybeAnbsQhJttdTxVJ6TaFV")</f>
        <v>https://drive.google.com/open?id=1S-w1PFkc-4ybeAnbsQhJttdTxVJ6TaFV</v>
      </c>
      <c r="AF805" s="4"/>
      <c r="AG805" s="4"/>
      <c r="AH805" s="4"/>
      <c r="AI805" s="4"/>
      <c r="AL805" s="4" t="str">
        <f t="shared" si="1"/>
        <v>Cluster 3</v>
      </c>
      <c r="AM805" s="4" t="str">
        <f t="shared" si="2"/>
        <v>KARKASARA WAY</v>
      </c>
    </row>
    <row r="806">
      <c r="A806" s="3">
        <f>IFERROR(__xludf.DUMMYFUNCTION("""COMPUTED_VALUE"""),45852.49667153935)</f>
        <v>45852.49667</v>
      </c>
      <c r="B806" s="4" t="str">
        <f>IFERROR(__xludf.DUMMYFUNCTION("""COMPUTED_VALUE"""),"iahmadzakari@gmail.com")</f>
        <v>iahmadzakari@gmail.com</v>
      </c>
      <c r="C806" s="4" t="str">
        <f>IFERROR(__xludf.DUMMYFUNCTION("""COMPUTED_VALUE"""),"Sadiq Ilu")</f>
        <v>Sadiq Ilu</v>
      </c>
      <c r="D806" s="4" t="str">
        <f>IFERROR(__xludf.DUMMYFUNCTION("""COMPUTED_VALUE"""),"Cluster 3")</f>
        <v>Cluster 3</v>
      </c>
      <c r="E806" s="4" t="str">
        <f>IFERROR(__xludf.DUMMYFUNCTION("""COMPUTED_VALUE"""),"BALA MAMSA STREET")</f>
        <v>BALA MAMSA STREET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>
        <f>IFERROR(__xludf.DUMMYFUNCTION("""COMPUTED_VALUE"""),1.0)</f>
        <v>1</v>
      </c>
      <c r="AC806" s="4">
        <f>IFERROR(__xludf.DUMMYFUNCTION("""COMPUTED_VALUE"""),11.96551665)</f>
        <v>11.96551665</v>
      </c>
      <c r="AD806" s="4">
        <f>IFERROR(__xludf.DUMMYFUNCTION("""COMPUTED_VALUE"""),8.5435988)</f>
        <v>8.5435988</v>
      </c>
      <c r="AE806" s="5" t="str">
        <f>IFERROR(__xludf.DUMMYFUNCTION("""COMPUTED_VALUE"""),"https://drive.google.com/open?id=1aAO1rgF0P9OA1m_JsHELVgMxLmsfhyX9")</f>
        <v>https://drive.google.com/open?id=1aAO1rgF0P9OA1m_JsHELVgMxLmsfhyX9</v>
      </c>
      <c r="AF806" s="4"/>
      <c r="AG806" s="4"/>
      <c r="AH806" s="4"/>
      <c r="AI806" s="4"/>
      <c r="AL806" s="4" t="str">
        <f t="shared" si="1"/>
        <v>Cluster 3</v>
      </c>
      <c r="AM806" s="4" t="str">
        <f t="shared" si="2"/>
        <v>BALA MAMSA STREET</v>
      </c>
    </row>
    <row r="807">
      <c r="A807" s="3">
        <f>IFERROR(__xludf.DUMMYFUNCTION("""COMPUTED_VALUE"""),45852.493975034726)</f>
        <v>45852.49398</v>
      </c>
      <c r="B807" s="4" t="str">
        <f>IFERROR(__xludf.DUMMYFUNCTION("""COMPUTED_VALUE"""),"iahmadzakari@gmail.com")</f>
        <v>iahmadzakari@gmail.com</v>
      </c>
      <c r="C807" s="4" t="str">
        <f>IFERROR(__xludf.DUMMYFUNCTION("""COMPUTED_VALUE"""),"Sadiq Ilu")</f>
        <v>Sadiq Ilu</v>
      </c>
      <c r="D807" s="4" t="str">
        <f>IFERROR(__xludf.DUMMYFUNCTION("""COMPUTED_VALUE"""),"Cluster 3")</f>
        <v>Cluster 3</v>
      </c>
      <c r="E807" s="4" t="str">
        <f>IFERROR(__xludf.DUMMYFUNCTION("""COMPUTED_VALUE"""),"TAHIR ROAD")</f>
        <v>TAHIR ROAD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>
        <f>IFERROR(__xludf.DUMMYFUNCTION("""COMPUTED_VALUE"""),2.0)</f>
        <v>2</v>
      </c>
      <c r="AC807" s="4">
        <f>IFERROR(__xludf.DUMMYFUNCTION("""COMPUTED_VALUE"""),11.96883597)</f>
        <v>11.96883597</v>
      </c>
      <c r="AD807" s="4">
        <f>IFERROR(__xludf.DUMMYFUNCTION("""COMPUTED_VALUE"""),8.54956928)</f>
        <v>8.54956928</v>
      </c>
      <c r="AE807" s="5" t="str">
        <f>IFERROR(__xludf.DUMMYFUNCTION("""COMPUTED_VALUE"""),"https://drive.google.com/open?id=13faIf9EYPfT-_4YIk1d2hP0mpLSRyHyx")</f>
        <v>https://drive.google.com/open?id=13faIf9EYPfT-_4YIk1d2hP0mpLSRyHyx</v>
      </c>
      <c r="AF807" s="4"/>
      <c r="AG807" s="4"/>
      <c r="AH807" s="4"/>
      <c r="AI807" s="4"/>
      <c r="AL807" s="4" t="str">
        <f t="shared" si="1"/>
        <v>Cluster 3</v>
      </c>
      <c r="AM807" s="4" t="str">
        <f t="shared" si="2"/>
        <v>TAHIR ROAD</v>
      </c>
    </row>
    <row r="808">
      <c r="A808" s="3">
        <f>IFERROR(__xludf.DUMMYFUNCTION("""COMPUTED_VALUE"""),45852.49291010416)</f>
        <v>45852.49291</v>
      </c>
      <c r="B808" s="4" t="str">
        <f>IFERROR(__xludf.DUMMYFUNCTION("""COMPUTED_VALUE"""),"iahmadzakari@gmail.com")</f>
        <v>iahmadzakari@gmail.com</v>
      </c>
      <c r="C808" s="4" t="str">
        <f>IFERROR(__xludf.DUMMYFUNCTION("""COMPUTED_VALUE"""),"Sadiq Ilu")</f>
        <v>Sadiq Ilu</v>
      </c>
      <c r="D808" s="4" t="str">
        <f>IFERROR(__xludf.DUMMYFUNCTION("""COMPUTED_VALUE"""),"Cluster 3")</f>
        <v>Cluster 3</v>
      </c>
      <c r="E808" s="4" t="str">
        <f>IFERROR(__xludf.DUMMYFUNCTION("""COMPUTED_VALUE"""),"TAHIR ROAD")</f>
        <v>TAHIR ROAD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>
        <f>IFERROR(__xludf.DUMMYFUNCTION("""COMPUTED_VALUE"""),1.0)</f>
        <v>1</v>
      </c>
      <c r="AC808" s="4">
        <f>IFERROR(__xludf.DUMMYFUNCTION("""COMPUTED_VALUE"""),11.96627601)</f>
        <v>11.96627601</v>
      </c>
      <c r="AD808" s="4">
        <f>IFERROR(__xludf.DUMMYFUNCTION("""COMPUTED_VALUE"""),8.54513872)</f>
        <v>8.54513872</v>
      </c>
      <c r="AE808" s="5" t="str">
        <f>IFERROR(__xludf.DUMMYFUNCTION("""COMPUTED_VALUE"""),"https://drive.google.com/open?id=1LcA7T8nwFF8SmUAHcg6w0q5XjYFe7Hit")</f>
        <v>https://drive.google.com/open?id=1LcA7T8nwFF8SmUAHcg6w0q5XjYFe7Hit</v>
      </c>
      <c r="AF808" s="4"/>
      <c r="AG808" s="4"/>
      <c r="AH808" s="4"/>
      <c r="AI808" s="4"/>
      <c r="AL808" s="4" t="str">
        <f t="shared" si="1"/>
        <v>Cluster 3</v>
      </c>
      <c r="AM808" s="4" t="str">
        <f t="shared" si="2"/>
        <v>TAHIR ROAD</v>
      </c>
    </row>
    <row r="809">
      <c r="A809" s="3">
        <f>IFERROR(__xludf.DUMMYFUNCTION("""COMPUTED_VALUE"""),45851.286555555555)</f>
        <v>45851.28656</v>
      </c>
      <c r="B809" s="4" t="str">
        <f>IFERROR(__xludf.DUMMYFUNCTION("""COMPUTED_VALUE"""),"elhabs256@gmail.com")</f>
        <v>elhabs256@gmail.com</v>
      </c>
      <c r="C809" s="4" t="str">
        <f>IFERROR(__xludf.DUMMYFUNCTION("""COMPUTED_VALUE"""),"Abdullahi Elhabeeb")</f>
        <v>Abdullahi Elhabeeb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 t="str">
        <f>IFERROR(__xludf.DUMMYFUNCTION("""COMPUTED_VALUE"""),"Cluster 2")</f>
        <v>Cluster 2</v>
      </c>
      <c r="Q809" s="4"/>
      <c r="R809" s="4" t="str">
        <f>IFERROR(__xludf.DUMMYFUNCTION("""COMPUTED_VALUE"""),"AJASA ROAD")</f>
        <v>AJASA ROAD</v>
      </c>
      <c r="S809" s="4"/>
      <c r="T809" s="4"/>
      <c r="U809" s="4"/>
      <c r="V809" s="4"/>
      <c r="W809" s="4"/>
      <c r="X809" s="4"/>
      <c r="Y809" s="4"/>
      <c r="Z809" s="4"/>
      <c r="AA809" s="4"/>
      <c r="AB809" s="4">
        <f>IFERROR(__xludf.DUMMYFUNCTION("""COMPUTED_VALUE"""),1.0)</f>
        <v>1</v>
      </c>
      <c r="AC809" s="4">
        <f>IFERROR(__xludf.DUMMYFUNCTION("""COMPUTED_VALUE"""),12.00046)</f>
        <v>12.00046</v>
      </c>
      <c r="AD809" s="4">
        <f>IFERROR(__xludf.DUMMYFUNCTION("""COMPUTED_VALUE"""),8.535972)</f>
        <v>8.535972</v>
      </c>
      <c r="AE809" s="5" t="str">
        <f>IFERROR(__xludf.DUMMYFUNCTION("""COMPUTED_VALUE"""),"https://drive.google.com/open?id=1y5jXl2_cn_qC3S6e_T9xuN9DWVg5sSyr")</f>
        <v>https://drive.google.com/open?id=1y5jXl2_cn_qC3S6e_T9xuN9DWVg5sSyr</v>
      </c>
      <c r="AF809" s="4"/>
      <c r="AG809" s="4"/>
      <c r="AH809" s="4"/>
      <c r="AI809" s="4"/>
      <c r="AL809" s="4" t="str">
        <f t="shared" si="1"/>
        <v>Cluster 2</v>
      </c>
      <c r="AM809" s="4" t="str">
        <f t="shared" si="2"/>
        <v>AJASA ROAD</v>
      </c>
    </row>
    <row r="810">
      <c r="A810" s="3">
        <f>IFERROR(__xludf.DUMMYFUNCTION("""COMPUTED_VALUE"""),45851.281236192124)</f>
        <v>45851.28124</v>
      </c>
      <c r="B810" s="4" t="str">
        <f>IFERROR(__xludf.DUMMYFUNCTION("""COMPUTED_VALUE"""),"elhabs256@gmail.com")</f>
        <v>elhabs256@gmail.com</v>
      </c>
      <c r="C810" s="4" t="str">
        <f>IFERROR(__xludf.DUMMYFUNCTION("""COMPUTED_VALUE"""),"Abdullahi Elhabeeb")</f>
        <v>Abdullahi Elhabeeb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 t="str">
        <f>IFERROR(__xludf.DUMMYFUNCTION("""COMPUTED_VALUE"""),"Cluster 2")</f>
        <v>Cluster 2</v>
      </c>
      <c r="Q810" s="4"/>
      <c r="R810" s="4" t="str">
        <f>IFERROR(__xludf.DUMMYFUNCTION("""COMPUTED_VALUE"""),"TREE LANE")</f>
        <v>TREE LANE</v>
      </c>
      <c r="S810" s="4"/>
      <c r="T810" s="4"/>
      <c r="U810" s="4"/>
      <c r="V810" s="4"/>
      <c r="W810" s="4"/>
      <c r="X810" s="4"/>
      <c r="Y810" s="4"/>
      <c r="Z810" s="4"/>
      <c r="AA810" s="4"/>
      <c r="AB810" s="4">
        <f>IFERROR(__xludf.DUMMYFUNCTION("""COMPUTED_VALUE"""),1.0)</f>
        <v>1</v>
      </c>
      <c r="AC810" s="4">
        <f>IFERROR(__xludf.DUMMYFUNCTION("""COMPUTED_VALUE"""),11.99851)</f>
        <v>11.99851</v>
      </c>
      <c r="AD810" s="4">
        <f>IFERROR(__xludf.DUMMYFUNCTION("""COMPUTED_VALUE"""),8.535844)</f>
        <v>8.535844</v>
      </c>
      <c r="AE810" s="5" t="str">
        <f>IFERROR(__xludf.DUMMYFUNCTION("""COMPUTED_VALUE"""),"https://drive.google.com/open?id=1DodIqgPJ14KQLirrnJ05Cnp9lP3-QGAt")</f>
        <v>https://drive.google.com/open?id=1DodIqgPJ14KQLirrnJ05Cnp9lP3-QGAt</v>
      </c>
      <c r="AF810" s="4"/>
      <c r="AG810" s="4"/>
      <c r="AH810" s="4"/>
      <c r="AI810" s="4"/>
      <c r="AL810" s="4" t="str">
        <f t="shared" si="1"/>
        <v>Cluster 2</v>
      </c>
      <c r="AM810" s="4" t="str">
        <f t="shared" si="2"/>
        <v>TREE LANE</v>
      </c>
    </row>
    <row r="811">
      <c r="A811" s="3">
        <f>IFERROR(__xludf.DUMMYFUNCTION("""COMPUTED_VALUE"""),45851.27810224537)</f>
        <v>45851.2781</v>
      </c>
      <c r="B811" s="4" t="str">
        <f>IFERROR(__xludf.DUMMYFUNCTION("""COMPUTED_VALUE"""),"elhabs256@gmail.com")</f>
        <v>elhabs256@gmail.com</v>
      </c>
      <c r="C811" s="4" t="str">
        <f>IFERROR(__xludf.DUMMYFUNCTION("""COMPUTED_VALUE"""),"Abdullahi Elhabeeb")</f>
        <v>Abdullahi Elhabeeb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 t="str">
        <f>IFERROR(__xludf.DUMMYFUNCTION("""COMPUTED_VALUE"""),"Cluster 13")</f>
        <v>Cluster 13</v>
      </c>
      <c r="Q811" s="4"/>
      <c r="R811" s="4"/>
      <c r="S811" s="4"/>
      <c r="T811" s="4" t="str">
        <f>IFERROR(__xludf.DUMMYFUNCTION("""COMPUTED_VALUE"""),"ALU AVENUE")</f>
        <v>ALU AVENUE</v>
      </c>
      <c r="U811" s="4"/>
      <c r="V811" s="4"/>
      <c r="W811" s="4"/>
      <c r="X811" s="4"/>
      <c r="Y811" s="4"/>
      <c r="Z811" s="4"/>
      <c r="AA811" s="4"/>
      <c r="AB811" s="4">
        <f>IFERROR(__xludf.DUMMYFUNCTION("""COMPUTED_VALUE"""),2.0)</f>
        <v>2</v>
      </c>
      <c r="AC811" s="4">
        <f>IFERROR(__xludf.DUMMYFUNCTION("""COMPUTED_VALUE"""),11.99269)</f>
        <v>11.99269</v>
      </c>
      <c r="AD811" s="4">
        <f>IFERROR(__xludf.DUMMYFUNCTION("""COMPUTED_VALUE"""),8.557714)</f>
        <v>8.557714</v>
      </c>
      <c r="AE811" s="5" t="str">
        <f>IFERROR(__xludf.DUMMYFUNCTION("""COMPUTED_VALUE"""),"https://drive.google.com/open?id=1IMx0STbivIzNy7f9kKqk2NgSHMXQ5CdS")</f>
        <v>https://drive.google.com/open?id=1IMx0STbivIzNy7f9kKqk2NgSHMXQ5CdS</v>
      </c>
      <c r="AF811" s="4"/>
      <c r="AG811" s="4"/>
      <c r="AH811" s="4"/>
      <c r="AI811" s="4"/>
      <c r="AL811" s="4" t="str">
        <f t="shared" si="1"/>
        <v>Cluster 13</v>
      </c>
      <c r="AM811" s="4" t="str">
        <f t="shared" si="2"/>
        <v>ALU AVENUE</v>
      </c>
    </row>
    <row r="812">
      <c r="A812" s="3">
        <f>IFERROR(__xludf.DUMMYFUNCTION("""COMPUTED_VALUE"""),45851.276549201386)</f>
        <v>45851.27655</v>
      </c>
      <c r="B812" s="4" t="str">
        <f>IFERROR(__xludf.DUMMYFUNCTION("""COMPUTED_VALUE"""),"elhabs256@gmail.com")</f>
        <v>elhabs256@gmail.com</v>
      </c>
      <c r="C812" s="4" t="str">
        <f>IFERROR(__xludf.DUMMYFUNCTION("""COMPUTED_VALUE"""),"Abdullahi Elhabeeb")</f>
        <v>Abdullahi Elhabeeb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 t="str">
        <f>IFERROR(__xludf.DUMMYFUNCTION("""COMPUTED_VALUE"""),"Cluster 13")</f>
        <v>Cluster 13</v>
      </c>
      <c r="Q812" s="4"/>
      <c r="R812" s="4"/>
      <c r="S812" s="4"/>
      <c r="T812" s="4" t="str">
        <f>IFERROR(__xludf.DUMMYFUNCTION("""COMPUTED_VALUE"""),"ALU AVENUE")</f>
        <v>ALU AVENUE</v>
      </c>
      <c r="U812" s="4"/>
      <c r="V812" s="4"/>
      <c r="W812" s="4"/>
      <c r="X812" s="4"/>
      <c r="Y812" s="4"/>
      <c r="Z812" s="4"/>
      <c r="AA812" s="4"/>
      <c r="AB812" s="4">
        <f>IFERROR(__xludf.DUMMYFUNCTION("""COMPUTED_VALUE"""),1.0)</f>
        <v>1</v>
      </c>
      <c r="AC812" s="4">
        <f>IFERROR(__xludf.DUMMYFUNCTION("""COMPUTED_VALUE"""),11.99269)</f>
        <v>11.99269</v>
      </c>
      <c r="AD812" s="4">
        <f>IFERROR(__xludf.DUMMYFUNCTION("""COMPUTED_VALUE"""),8.557714)</f>
        <v>8.557714</v>
      </c>
      <c r="AE812" s="5" t="str">
        <f>IFERROR(__xludf.DUMMYFUNCTION("""COMPUTED_VALUE"""),"https://drive.google.com/open?id=1qi1904Ursfa_NuAo6BmvpbNd4YYJZfiX")</f>
        <v>https://drive.google.com/open?id=1qi1904Ursfa_NuAo6BmvpbNd4YYJZfiX</v>
      </c>
      <c r="AF812" s="4"/>
      <c r="AG812" s="4"/>
      <c r="AH812" s="4"/>
      <c r="AI812" s="4"/>
      <c r="AL812" s="4" t="str">
        <f t="shared" si="1"/>
        <v>Cluster 13</v>
      </c>
      <c r="AM812" s="4" t="str">
        <f t="shared" si="2"/>
        <v>ALU AVENUE</v>
      </c>
    </row>
    <row r="813">
      <c r="A813" s="3">
        <f>IFERROR(__xludf.DUMMYFUNCTION("""COMPUTED_VALUE"""),45851.27491641203)</f>
        <v>45851.27492</v>
      </c>
      <c r="B813" s="4" t="str">
        <f>IFERROR(__xludf.DUMMYFUNCTION("""COMPUTED_VALUE"""),"elhabs256@gmail.com")</f>
        <v>elhabs256@gmail.com</v>
      </c>
      <c r="C813" s="4" t="str">
        <f>IFERROR(__xludf.DUMMYFUNCTION("""COMPUTED_VALUE"""),"Abdullahi Elhabeeb")</f>
        <v>Abdullahi Elhabeeb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 t="str">
        <f>IFERROR(__xludf.DUMMYFUNCTION("""COMPUTED_VALUE"""),"Cluster 13")</f>
        <v>Cluster 13</v>
      </c>
      <c r="Q813" s="4"/>
      <c r="R813" s="4"/>
      <c r="S813" s="4"/>
      <c r="T813" s="4" t="str">
        <f>IFERROR(__xludf.DUMMYFUNCTION("""COMPUTED_VALUE"""),"KWAIRANGA ROAD")</f>
        <v>KWAIRANGA ROAD</v>
      </c>
      <c r="U813" s="4"/>
      <c r="V813" s="4"/>
      <c r="W813" s="4"/>
      <c r="X813" s="4"/>
      <c r="Y813" s="4"/>
      <c r="Z813" s="4"/>
      <c r="AA813" s="4"/>
      <c r="AB813" s="4">
        <f>IFERROR(__xludf.DUMMYFUNCTION("""COMPUTED_VALUE"""),1.0)</f>
        <v>1</v>
      </c>
      <c r="AC813" s="4">
        <f>IFERROR(__xludf.DUMMYFUNCTION("""COMPUTED_VALUE"""),11.99086)</f>
        <v>11.99086</v>
      </c>
      <c r="AD813" s="4">
        <f>IFERROR(__xludf.DUMMYFUNCTION("""COMPUTED_VALUE"""),8.555831)</f>
        <v>8.555831</v>
      </c>
      <c r="AE813" s="5" t="str">
        <f>IFERROR(__xludf.DUMMYFUNCTION("""COMPUTED_VALUE"""),"https://drive.google.com/open?id=12ANrxrv_u_hxdvhPqlbm2dXjciyHQh-B")</f>
        <v>https://drive.google.com/open?id=12ANrxrv_u_hxdvhPqlbm2dXjciyHQh-B</v>
      </c>
      <c r="AF813" s="4"/>
      <c r="AG813" s="4"/>
      <c r="AH813" s="4"/>
      <c r="AI813" s="4"/>
      <c r="AL813" s="4" t="str">
        <f t="shared" si="1"/>
        <v>Cluster 13</v>
      </c>
      <c r="AM813" s="4" t="str">
        <f t="shared" si="2"/>
        <v>KWAIRANGA ROAD</v>
      </c>
    </row>
    <row r="814">
      <c r="A814" s="3">
        <f>IFERROR(__xludf.DUMMYFUNCTION("""COMPUTED_VALUE"""),45851.273087939815)</f>
        <v>45851.27309</v>
      </c>
      <c r="B814" s="4" t="str">
        <f>IFERROR(__xludf.DUMMYFUNCTION("""COMPUTED_VALUE"""),"elhabs256@gmail.com")</f>
        <v>elhabs256@gmail.com</v>
      </c>
      <c r="C814" s="4" t="str">
        <f>IFERROR(__xludf.DUMMYFUNCTION("""COMPUTED_VALUE"""),"Abdullahi Elhabeeb")</f>
        <v>Abdullahi Elhabeeb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 t="str">
        <f>IFERROR(__xludf.DUMMYFUNCTION("""COMPUTED_VALUE"""),"Cluster 13")</f>
        <v>Cluster 13</v>
      </c>
      <c r="Q814" s="4"/>
      <c r="R814" s="4"/>
      <c r="S814" s="4"/>
      <c r="T814" s="4" t="str">
        <f>IFERROR(__xludf.DUMMYFUNCTION("""COMPUTED_VALUE"""),"LAFIA ROAD")</f>
        <v>LAFIA ROAD</v>
      </c>
      <c r="U814" s="4"/>
      <c r="V814" s="4"/>
      <c r="W814" s="4"/>
      <c r="X814" s="4"/>
      <c r="Y814" s="4"/>
      <c r="Z814" s="4"/>
      <c r="AA814" s="4"/>
      <c r="AB814" s="4">
        <f>IFERROR(__xludf.DUMMYFUNCTION("""COMPUTED_VALUE"""),2.0)</f>
        <v>2</v>
      </c>
      <c r="AC814" s="4">
        <f>IFERROR(__xludf.DUMMYFUNCTION("""COMPUTED_VALUE"""),11.98893)</f>
        <v>11.98893</v>
      </c>
      <c r="AD814" s="4">
        <f>IFERROR(__xludf.DUMMYFUNCTION("""COMPUTED_VALUE"""),8.554002)</f>
        <v>8.554002</v>
      </c>
      <c r="AE814" s="5" t="str">
        <f>IFERROR(__xludf.DUMMYFUNCTION("""COMPUTED_VALUE"""),"https://drive.google.com/open?id=1COGNVx8sByACQb8FjYQagajrHSFvzY7d")</f>
        <v>https://drive.google.com/open?id=1COGNVx8sByACQb8FjYQagajrHSFvzY7d</v>
      </c>
      <c r="AF814" s="4"/>
      <c r="AG814" s="4"/>
      <c r="AH814" s="4"/>
      <c r="AI814" s="4"/>
      <c r="AL814" s="4" t="str">
        <f t="shared" si="1"/>
        <v>Cluster 13</v>
      </c>
      <c r="AM814" s="4" t="str">
        <f t="shared" si="2"/>
        <v>LAFIA ROAD</v>
      </c>
    </row>
    <row r="815">
      <c r="A815" s="3">
        <f>IFERROR(__xludf.DUMMYFUNCTION("""COMPUTED_VALUE"""),45851.271231701394)</f>
        <v>45851.27123</v>
      </c>
      <c r="B815" s="4" t="str">
        <f>IFERROR(__xludf.DUMMYFUNCTION("""COMPUTED_VALUE"""),"elhabs256@gmail.com")</f>
        <v>elhabs256@gmail.com</v>
      </c>
      <c r="C815" s="4" t="str">
        <f>IFERROR(__xludf.DUMMYFUNCTION("""COMPUTED_VALUE"""),"Abdullahi Elhabeeb")</f>
        <v>Abdullahi Elhabeeb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 t="str">
        <f>IFERROR(__xludf.DUMMYFUNCTION("""COMPUTED_VALUE"""),"Cluster 13")</f>
        <v>Cluster 13</v>
      </c>
      <c r="Q815" s="4"/>
      <c r="R815" s="4"/>
      <c r="S815" s="4"/>
      <c r="T815" s="4" t="str">
        <f>IFERROR(__xludf.DUMMYFUNCTION("""COMPUTED_VALUE"""),"LAFIA ROAD")</f>
        <v>LAFIA ROAD</v>
      </c>
      <c r="U815" s="4"/>
      <c r="V815" s="4"/>
      <c r="W815" s="4"/>
      <c r="X815" s="4"/>
      <c r="Y815" s="4"/>
      <c r="Z815" s="4"/>
      <c r="AA815" s="4"/>
      <c r="AB815" s="4">
        <f>IFERROR(__xludf.DUMMYFUNCTION("""COMPUTED_VALUE"""),1.0)</f>
        <v>1</v>
      </c>
      <c r="AC815" s="4">
        <f>IFERROR(__xludf.DUMMYFUNCTION("""COMPUTED_VALUE"""),11.98893)</f>
        <v>11.98893</v>
      </c>
      <c r="AD815" s="4">
        <f>IFERROR(__xludf.DUMMYFUNCTION("""COMPUTED_VALUE"""),8.554002)</f>
        <v>8.554002</v>
      </c>
      <c r="AE815" s="5" t="str">
        <f>IFERROR(__xludf.DUMMYFUNCTION("""COMPUTED_VALUE"""),"https://drive.google.com/open?id=1zDThpRnqpFsxKWJQEAA_DfigNajto0Ax")</f>
        <v>https://drive.google.com/open?id=1zDThpRnqpFsxKWJQEAA_DfigNajto0Ax</v>
      </c>
      <c r="AF815" s="4"/>
      <c r="AG815" s="4"/>
      <c r="AH815" s="4"/>
      <c r="AI815" s="4"/>
      <c r="AL815" s="4" t="str">
        <f t="shared" si="1"/>
        <v>Cluster 13</v>
      </c>
      <c r="AM815" s="4" t="str">
        <f t="shared" si="2"/>
        <v>LAFIA ROAD</v>
      </c>
    </row>
    <row r="816">
      <c r="A816" s="3">
        <f>IFERROR(__xludf.DUMMYFUNCTION("""COMPUTED_VALUE"""),45851.26770768518)</f>
        <v>45851.26771</v>
      </c>
      <c r="B816" s="4" t="str">
        <f>IFERROR(__xludf.DUMMYFUNCTION("""COMPUTED_VALUE"""),"elhabs256@gmail.com")</f>
        <v>elhabs256@gmail.com</v>
      </c>
      <c r="C816" s="4" t="str">
        <f>IFERROR(__xludf.DUMMYFUNCTION("""COMPUTED_VALUE"""),"Abdullahi Elhabeeb")</f>
        <v>Abdullahi Elhabeeb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 t="str">
        <f>IFERROR(__xludf.DUMMYFUNCTION("""COMPUTED_VALUE"""),"Cluster 13")</f>
        <v>Cluster 13</v>
      </c>
      <c r="Q816" s="4"/>
      <c r="R816" s="4"/>
      <c r="S816" s="4"/>
      <c r="T816" s="4" t="str">
        <f>IFERROR(__xludf.DUMMYFUNCTION("""COMPUTED_VALUE"""),"LODGE ROAD")</f>
        <v>LODGE ROAD</v>
      </c>
      <c r="U816" s="4"/>
      <c r="V816" s="4"/>
      <c r="W816" s="4"/>
      <c r="X816" s="4"/>
      <c r="Y816" s="4"/>
      <c r="Z816" s="4"/>
      <c r="AA816" s="4"/>
      <c r="AB816" s="4">
        <f>IFERROR(__xludf.DUMMYFUNCTION("""COMPUTED_VALUE"""),2.0)</f>
        <v>2</v>
      </c>
      <c r="AC816" s="4">
        <f>IFERROR(__xludf.DUMMYFUNCTION("""COMPUTED_VALUE"""),11.99392)</f>
        <v>11.99392</v>
      </c>
      <c r="AD816" s="4">
        <f>IFERROR(__xludf.DUMMYFUNCTION("""COMPUTED_VALUE"""),8.549676)</f>
        <v>8.549676</v>
      </c>
      <c r="AE816" s="5" t="str">
        <f>IFERROR(__xludf.DUMMYFUNCTION("""COMPUTED_VALUE"""),"https://drive.google.com/open?id=1rY6gyzS7y0p05XFWNPEwWo1gd7V1_PyS")</f>
        <v>https://drive.google.com/open?id=1rY6gyzS7y0p05XFWNPEwWo1gd7V1_PyS</v>
      </c>
      <c r="AF816" s="4"/>
      <c r="AG816" s="4"/>
      <c r="AH816" s="4"/>
      <c r="AI816" s="4"/>
      <c r="AL816" s="4" t="str">
        <f t="shared" si="1"/>
        <v>Cluster 13</v>
      </c>
      <c r="AM816" s="4" t="str">
        <f t="shared" si="2"/>
        <v>LODGE ROAD</v>
      </c>
    </row>
    <row r="817">
      <c r="A817" s="3">
        <f>IFERROR(__xludf.DUMMYFUNCTION("""COMPUTED_VALUE"""),45851.03316982639)</f>
        <v>45851.03317</v>
      </c>
      <c r="B817" s="4" t="str">
        <f>IFERROR(__xludf.DUMMYFUNCTION("""COMPUTED_VALUE"""),"elhabs256@gmail.com")</f>
        <v>elhabs256@gmail.com</v>
      </c>
      <c r="C817" s="4" t="str">
        <f>IFERROR(__xludf.DUMMYFUNCTION("""COMPUTED_VALUE"""),"Abdullahi Elhabeeb")</f>
        <v>Abdullahi Elhabeeb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 t="str">
        <f>IFERROR(__xludf.DUMMYFUNCTION("""COMPUTED_VALUE"""),"Cluster 13")</f>
        <v>Cluster 13</v>
      </c>
      <c r="Q817" s="4"/>
      <c r="R817" s="4"/>
      <c r="S817" s="4"/>
      <c r="T817" s="4" t="str">
        <f>IFERROR(__xludf.DUMMYFUNCTION("""COMPUTED_VALUE"""),"LODGE ROAD")</f>
        <v>LODGE ROAD</v>
      </c>
      <c r="U817" s="4"/>
      <c r="V817" s="4"/>
      <c r="W817" s="4"/>
      <c r="X817" s="4"/>
      <c r="Y817" s="4"/>
      <c r="Z817" s="4"/>
      <c r="AA817" s="4"/>
      <c r="AB817" s="4">
        <f>IFERROR(__xludf.DUMMYFUNCTION("""COMPUTED_VALUE"""),1.0)</f>
        <v>1</v>
      </c>
      <c r="AC817" s="4">
        <f>IFERROR(__xludf.DUMMYFUNCTION("""COMPUTED_VALUE"""),11.99392)</f>
        <v>11.99392</v>
      </c>
      <c r="AD817" s="4">
        <f>IFERROR(__xludf.DUMMYFUNCTION("""COMPUTED_VALUE"""),8.549676)</f>
        <v>8.549676</v>
      </c>
      <c r="AE817" s="5" t="str">
        <f>IFERROR(__xludf.DUMMYFUNCTION("""COMPUTED_VALUE"""),"https://drive.google.com/open?id=1sG8x1AocMZJ1ywDamftRsxCPDQza4hoc")</f>
        <v>https://drive.google.com/open?id=1sG8x1AocMZJ1ywDamftRsxCPDQza4hoc</v>
      </c>
      <c r="AF817" s="4"/>
      <c r="AG817" s="4"/>
      <c r="AH817" s="4"/>
      <c r="AI817" s="4"/>
      <c r="AL817" s="4" t="str">
        <f t="shared" si="1"/>
        <v>Cluster 13</v>
      </c>
      <c r="AM817" s="4" t="str">
        <f t="shared" si="2"/>
        <v>LODGE ROAD</v>
      </c>
    </row>
    <row r="818">
      <c r="A818" s="3">
        <f>IFERROR(__xludf.DUMMYFUNCTION("""COMPUTED_VALUE"""),45851.0266903125)</f>
        <v>45851.02669</v>
      </c>
      <c r="B818" s="4" t="str">
        <f>IFERROR(__xludf.DUMMYFUNCTION("""COMPUTED_VALUE"""),"elhabs256@gmail.com")</f>
        <v>elhabs256@gmail.com</v>
      </c>
      <c r="C818" s="4" t="str">
        <f>IFERROR(__xludf.DUMMYFUNCTION("""COMPUTED_VALUE"""),"Abdullahi Elhabeeb")</f>
        <v>Abdullahi Elhabeeb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 t="str">
        <f>IFERROR(__xludf.DUMMYFUNCTION("""COMPUTED_VALUE"""),"Cluster 13")</f>
        <v>Cluster 13</v>
      </c>
      <c r="Q818" s="4"/>
      <c r="R818" s="4"/>
      <c r="S818" s="4"/>
      <c r="T818" s="4" t="str">
        <f>IFERROR(__xludf.DUMMYFUNCTION("""COMPUTED_VALUE"""),"ABBAS LINK")</f>
        <v>ABBAS LINK</v>
      </c>
      <c r="U818" s="4"/>
      <c r="V818" s="4"/>
      <c r="W818" s="4"/>
      <c r="X818" s="4"/>
      <c r="Y818" s="4"/>
      <c r="Z818" s="4"/>
      <c r="AA818" s="4"/>
      <c r="AB818" s="4">
        <f>IFERROR(__xludf.DUMMYFUNCTION("""COMPUTED_VALUE"""),1.0)</f>
        <v>1</v>
      </c>
      <c r="AC818" s="4">
        <f>IFERROR(__xludf.DUMMYFUNCTION("""COMPUTED_VALUE"""),12.00024)</f>
        <v>12.00024</v>
      </c>
      <c r="AD818" s="4">
        <f>IFERROR(__xludf.DUMMYFUNCTION("""COMPUTED_VALUE"""),8.550945)</f>
        <v>8.550945</v>
      </c>
      <c r="AE818" s="5" t="str">
        <f>IFERROR(__xludf.DUMMYFUNCTION("""COMPUTED_VALUE"""),"https://drive.google.com/open?id=1Q1Az5rKeqD6W76sla9nue5r8thXTf-dl")</f>
        <v>https://drive.google.com/open?id=1Q1Az5rKeqD6W76sla9nue5r8thXTf-dl</v>
      </c>
      <c r="AF818" s="4"/>
      <c r="AG818" s="4"/>
      <c r="AH818" s="4"/>
      <c r="AI818" s="4"/>
      <c r="AL818" s="4" t="str">
        <f t="shared" si="1"/>
        <v>Cluster 13</v>
      </c>
      <c r="AM818" s="4" t="str">
        <f t="shared" si="2"/>
        <v>ABBAS LINK</v>
      </c>
    </row>
    <row r="819">
      <c r="A819" s="3">
        <f>IFERROR(__xludf.DUMMYFUNCTION("""COMPUTED_VALUE"""),45851.02495979167)</f>
        <v>45851.02496</v>
      </c>
      <c r="B819" s="4" t="str">
        <f>IFERROR(__xludf.DUMMYFUNCTION("""COMPUTED_VALUE"""),"elhabs256@gmail.com")</f>
        <v>elhabs256@gmail.com</v>
      </c>
      <c r="C819" s="4" t="str">
        <f>IFERROR(__xludf.DUMMYFUNCTION("""COMPUTED_VALUE"""),"Abdullahi Elhabeeb")</f>
        <v>Abdullahi Elhabeeb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 t="str">
        <f>IFERROR(__xludf.DUMMYFUNCTION("""COMPUTED_VALUE"""),"Cluster 13")</f>
        <v>Cluster 13</v>
      </c>
      <c r="Q819" s="4"/>
      <c r="R819" s="4"/>
      <c r="S819" s="4"/>
      <c r="T819" s="4" t="str">
        <f>IFERROR(__xludf.DUMMYFUNCTION("""COMPUTED_VALUE"""),"SHADAI CLOSE")</f>
        <v>SHADAI CLOSE</v>
      </c>
      <c r="U819" s="4"/>
      <c r="V819" s="4"/>
      <c r="W819" s="4"/>
      <c r="X819" s="4"/>
      <c r="Y819" s="4"/>
      <c r="Z819" s="4"/>
      <c r="AA819" s="4"/>
      <c r="AB819" s="4">
        <f>IFERROR(__xludf.DUMMYFUNCTION("""COMPUTED_VALUE"""),1.0)</f>
        <v>1</v>
      </c>
      <c r="AC819" s="4">
        <f>IFERROR(__xludf.DUMMYFUNCTION("""COMPUTED_VALUE"""),11.00024)</f>
        <v>11.00024</v>
      </c>
      <c r="AD819" s="4">
        <f>IFERROR(__xludf.DUMMYFUNCTION("""COMPUTED_VALUE"""),8.5504)</f>
        <v>8.5504</v>
      </c>
      <c r="AE819" s="5" t="str">
        <f>IFERROR(__xludf.DUMMYFUNCTION("""COMPUTED_VALUE"""),"https://drive.google.com/open?id=1pvNIoh9IOMhaY9KAFfODvnHh4tGnABdi")</f>
        <v>https://drive.google.com/open?id=1pvNIoh9IOMhaY9KAFfODvnHh4tGnABdi</v>
      </c>
      <c r="AF819" s="4"/>
      <c r="AG819" s="4"/>
      <c r="AH819" s="4"/>
      <c r="AI819" s="4"/>
      <c r="AL819" s="4" t="str">
        <f t="shared" si="1"/>
        <v>Cluster 13</v>
      </c>
      <c r="AM819" s="4" t="str">
        <f t="shared" si="2"/>
        <v>SHADAI CLOSE</v>
      </c>
    </row>
    <row r="820">
      <c r="A820" s="3">
        <f>IFERROR(__xludf.DUMMYFUNCTION("""COMPUTED_VALUE"""),45851.022554282405)</f>
        <v>45851.02255</v>
      </c>
      <c r="B820" s="4" t="str">
        <f>IFERROR(__xludf.DUMMYFUNCTION("""COMPUTED_VALUE"""),"elhabs256@gmail.com")</f>
        <v>elhabs256@gmail.com</v>
      </c>
      <c r="C820" s="4" t="str">
        <f>IFERROR(__xludf.DUMMYFUNCTION("""COMPUTED_VALUE"""),"Abdullahi Elhabeeb")</f>
        <v>Abdullahi Elhabeeb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 t="str">
        <f>IFERROR(__xludf.DUMMYFUNCTION("""COMPUTED_VALUE"""),"Cluster 13")</f>
        <v>Cluster 13</v>
      </c>
      <c r="Q820" s="4"/>
      <c r="R820" s="4"/>
      <c r="S820" s="4"/>
      <c r="T820" s="4" t="str">
        <f>IFERROR(__xludf.DUMMYFUNCTION("""COMPUTED_VALUE"""),"MEDICAL AVENUE")</f>
        <v>MEDICAL AVENUE</v>
      </c>
      <c r="U820" s="4"/>
      <c r="V820" s="4"/>
      <c r="W820" s="4"/>
      <c r="X820" s="4"/>
      <c r="Y820" s="4"/>
      <c r="Z820" s="4"/>
      <c r="AA820" s="4"/>
      <c r="AB820" s="4">
        <f>IFERROR(__xludf.DUMMYFUNCTION("""COMPUTED_VALUE"""),2.0)</f>
        <v>2</v>
      </c>
      <c r="AC820" s="4">
        <f>IFERROR(__xludf.DUMMYFUNCTION("""COMPUTED_VALUE"""),11.99759)</f>
        <v>11.99759</v>
      </c>
      <c r="AD820" s="4">
        <f>IFERROR(__xludf.DUMMYFUNCTION("""COMPUTED_VALUE"""),8.551249)</f>
        <v>8.551249</v>
      </c>
      <c r="AE820" s="5" t="str">
        <f>IFERROR(__xludf.DUMMYFUNCTION("""COMPUTED_VALUE"""),"https://drive.google.com/open?id=1sVzAqy_t-p2SiupLzW8z4lSMfJvjbBDd")</f>
        <v>https://drive.google.com/open?id=1sVzAqy_t-p2SiupLzW8z4lSMfJvjbBDd</v>
      </c>
      <c r="AF820" s="4"/>
      <c r="AG820" s="4"/>
      <c r="AH820" s="4"/>
      <c r="AI820" s="4"/>
      <c r="AL820" s="4" t="str">
        <f t="shared" si="1"/>
        <v>Cluster 13</v>
      </c>
      <c r="AM820" s="4" t="str">
        <f t="shared" si="2"/>
        <v>MEDICAL AVENUE</v>
      </c>
    </row>
    <row r="821">
      <c r="A821" s="3">
        <f>IFERROR(__xludf.DUMMYFUNCTION("""COMPUTED_VALUE"""),45851.02039586805)</f>
        <v>45851.0204</v>
      </c>
      <c r="B821" s="4" t="str">
        <f>IFERROR(__xludf.DUMMYFUNCTION("""COMPUTED_VALUE"""),"elhabs256@gmail.com")</f>
        <v>elhabs256@gmail.com</v>
      </c>
      <c r="C821" s="4" t="str">
        <f>IFERROR(__xludf.DUMMYFUNCTION("""COMPUTED_VALUE"""),"Abdullahi Elhabeeb")</f>
        <v>Abdullahi Elhabeeb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 t="str">
        <f>IFERROR(__xludf.DUMMYFUNCTION("""COMPUTED_VALUE"""),"Cluster 13")</f>
        <v>Cluster 13</v>
      </c>
      <c r="Q821" s="4"/>
      <c r="R821" s="4"/>
      <c r="S821" s="4"/>
      <c r="T821" s="4" t="str">
        <f>IFERROR(__xludf.DUMMYFUNCTION("""COMPUTED_VALUE"""),"MEDICAL AVENUE")</f>
        <v>MEDICAL AVENUE</v>
      </c>
      <c r="U821" s="4"/>
      <c r="V821" s="4"/>
      <c r="W821" s="4"/>
      <c r="X821" s="4"/>
      <c r="Y821" s="4"/>
      <c r="Z821" s="4"/>
      <c r="AA821" s="4"/>
      <c r="AB821" s="4">
        <f>IFERROR(__xludf.DUMMYFUNCTION("""COMPUTED_VALUE"""),2.0)</f>
        <v>2</v>
      </c>
      <c r="AC821" s="4">
        <f>IFERROR(__xludf.DUMMYFUNCTION("""COMPUTED_VALUE"""),11.99759)</f>
        <v>11.99759</v>
      </c>
      <c r="AD821" s="4">
        <f>IFERROR(__xludf.DUMMYFUNCTION("""COMPUTED_VALUE"""),8.551249)</f>
        <v>8.551249</v>
      </c>
      <c r="AE821" s="5" t="str">
        <f>IFERROR(__xludf.DUMMYFUNCTION("""COMPUTED_VALUE"""),"https://drive.google.com/open?id=1CmHzLOsl53wNDI3lEguDINJ9jHpZCnWJ")</f>
        <v>https://drive.google.com/open?id=1CmHzLOsl53wNDI3lEguDINJ9jHpZCnWJ</v>
      </c>
      <c r="AF821" s="4"/>
      <c r="AG821" s="4"/>
      <c r="AH821" s="4"/>
      <c r="AI821" s="4"/>
      <c r="AL821" s="4" t="str">
        <f t="shared" si="1"/>
        <v>Cluster 13</v>
      </c>
      <c r="AM821" s="4" t="str">
        <f t="shared" si="2"/>
        <v>MEDICAL AVENUE</v>
      </c>
    </row>
    <row r="822">
      <c r="A822" s="3">
        <f>IFERROR(__xludf.DUMMYFUNCTION("""COMPUTED_VALUE"""),45851.018873912035)</f>
        <v>45851.01887</v>
      </c>
      <c r="B822" s="4" t="str">
        <f>IFERROR(__xludf.DUMMYFUNCTION("""COMPUTED_VALUE"""),"elhabs256@gmail.com")</f>
        <v>elhabs256@gmail.com</v>
      </c>
      <c r="C822" s="4" t="str">
        <f>IFERROR(__xludf.DUMMYFUNCTION("""COMPUTED_VALUE"""),"Abdullahi Elhabeeb")</f>
        <v>Abdullahi Elhabeeb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 t="str">
        <f>IFERROR(__xludf.DUMMYFUNCTION("""COMPUTED_VALUE"""),"Cluster 13")</f>
        <v>Cluster 13</v>
      </c>
      <c r="Q822" s="4"/>
      <c r="R822" s="4"/>
      <c r="S822" s="4"/>
      <c r="T822" s="4" t="str">
        <f>IFERROR(__xludf.DUMMYFUNCTION("""COMPUTED_VALUE"""),"MEDICAL AVENUE")</f>
        <v>MEDICAL AVENUE</v>
      </c>
      <c r="U822" s="4"/>
      <c r="V822" s="4"/>
      <c r="W822" s="4"/>
      <c r="X822" s="4"/>
      <c r="Y822" s="4"/>
      <c r="Z822" s="4"/>
      <c r="AA822" s="4"/>
      <c r="AB822" s="4">
        <f>IFERROR(__xludf.DUMMYFUNCTION("""COMPUTED_VALUE"""),1.0)</f>
        <v>1</v>
      </c>
      <c r="AC822" s="4">
        <f>IFERROR(__xludf.DUMMYFUNCTION("""COMPUTED_VALUE"""),11.99759)</f>
        <v>11.99759</v>
      </c>
      <c r="AD822" s="4">
        <f>IFERROR(__xludf.DUMMYFUNCTION("""COMPUTED_VALUE"""),8.552249)</f>
        <v>8.552249</v>
      </c>
      <c r="AE822" s="5" t="str">
        <f>IFERROR(__xludf.DUMMYFUNCTION("""COMPUTED_VALUE"""),"https://drive.google.com/open?id=1FFYAdLWhKYudkG0DbF42Q7lzex9hrR-f")</f>
        <v>https://drive.google.com/open?id=1FFYAdLWhKYudkG0DbF42Q7lzex9hrR-f</v>
      </c>
      <c r="AF822" s="4"/>
      <c r="AG822" s="4"/>
      <c r="AH822" s="4"/>
      <c r="AI822" s="4"/>
      <c r="AL822" s="4" t="str">
        <f t="shared" si="1"/>
        <v>Cluster 13</v>
      </c>
      <c r="AM822" s="4" t="str">
        <f t="shared" si="2"/>
        <v>MEDICAL AVENUE</v>
      </c>
    </row>
    <row r="823">
      <c r="A823" s="3">
        <f>IFERROR(__xludf.DUMMYFUNCTION("""COMPUTED_VALUE"""),45851.01709913195)</f>
        <v>45851.0171</v>
      </c>
      <c r="B823" s="4" t="str">
        <f>IFERROR(__xludf.DUMMYFUNCTION("""COMPUTED_VALUE"""),"elhabs256@gmail.com")</f>
        <v>elhabs256@gmail.com</v>
      </c>
      <c r="C823" s="4" t="str">
        <f>IFERROR(__xludf.DUMMYFUNCTION("""COMPUTED_VALUE"""),"Abdullahi Elhabeeb")</f>
        <v>Abdullahi Elhabeeb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 t="str">
        <f>IFERROR(__xludf.DUMMYFUNCTION("""COMPUTED_VALUE"""),"Cluster 13")</f>
        <v>Cluster 13</v>
      </c>
      <c r="Q823" s="4"/>
      <c r="R823" s="4"/>
      <c r="S823" s="4"/>
      <c r="T823" s="4" t="str">
        <f>IFERROR(__xludf.DUMMYFUNCTION("""COMPUTED_VALUE"""),"NEW HOSPITAL ROAD")</f>
        <v>NEW HOSPITAL ROAD</v>
      </c>
      <c r="U823" s="4"/>
      <c r="V823" s="4"/>
      <c r="W823" s="4"/>
      <c r="X823" s="4"/>
      <c r="Y823" s="4"/>
      <c r="Z823" s="4"/>
      <c r="AA823" s="4"/>
      <c r="AB823" s="4">
        <f>IFERROR(__xludf.DUMMYFUNCTION("""COMPUTED_VALUE"""),2.0)</f>
        <v>2</v>
      </c>
      <c r="AC823" s="4">
        <f>IFERROR(__xludf.DUMMYFUNCTION("""COMPUTED_VALUE"""),11.99589)</f>
        <v>11.99589</v>
      </c>
      <c r="AD823" s="4">
        <f>IFERROR(__xludf.DUMMYFUNCTION("""COMPUTED_VALUE"""),8.550377)</f>
        <v>8.550377</v>
      </c>
      <c r="AE823" s="5" t="str">
        <f>IFERROR(__xludf.DUMMYFUNCTION("""COMPUTED_VALUE"""),"https://drive.google.com/open?id=1XTjsJz0-29pBv5IfrGrHiei9nxDsCmUb")</f>
        <v>https://drive.google.com/open?id=1XTjsJz0-29pBv5IfrGrHiei9nxDsCmUb</v>
      </c>
      <c r="AF823" s="4"/>
      <c r="AG823" s="4"/>
      <c r="AH823" s="4"/>
      <c r="AI823" s="4"/>
      <c r="AL823" s="4" t="str">
        <f t="shared" si="1"/>
        <v>Cluster 13</v>
      </c>
      <c r="AM823" s="4" t="str">
        <f t="shared" si="2"/>
        <v>NEW HOSPITAL ROAD</v>
      </c>
    </row>
    <row r="824">
      <c r="A824" s="3">
        <f>IFERROR(__xludf.DUMMYFUNCTION("""COMPUTED_VALUE"""),45851.01524178241)</f>
        <v>45851.01524</v>
      </c>
      <c r="B824" s="4" t="str">
        <f>IFERROR(__xludf.DUMMYFUNCTION("""COMPUTED_VALUE"""),"elhabs256@gmail.com")</f>
        <v>elhabs256@gmail.com</v>
      </c>
      <c r="C824" s="4" t="str">
        <f>IFERROR(__xludf.DUMMYFUNCTION("""COMPUTED_VALUE"""),"Abdullahi Elhabeeb")</f>
        <v>Abdullahi Elhabeeb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 t="str">
        <f>IFERROR(__xludf.DUMMYFUNCTION("""COMPUTED_VALUE"""),"Cluster 13")</f>
        <v>Cluster 13</v>
      </c>
      <c r="Q824" s="4"/>
      <c r="R824" s="4"/>
      <c r="S824" s="4"/>
      <c r="T824" s="4" t="str">
        <f>IFERROR(__xludf.DUMMYFUNCTION("""COMPUTED_VALUE"""),"NEW HOSPITAL ROAD")</f>
        <v>NEW HOSPITAL ROAD</v>
      </c>
      <c r="U824" s="4"/>
      <c r="V824" s="4"/>
      <c r="W824" s="4"/>
      <c r="X824" s="4"/>
      <c r="Y824" s="4"/>
      <c r="Z824" s="4"/>
      <c r="AA824" s="4"/>
      <c r="AB824" s="4">
        <f>IFERROR(__xludf.DUMMYFUNCTION("""COMPUTED_VALUE"""),1.0)</f>
        <v>1</v>
      </c>
      <c r="AC824" s="4">
        <f>IFERROR(__xludf.DUMMYFUNCTION("""COMPUTED_VALUE"""),11.99589)</f>
        <v>11.99589</v>
      </c>
      <c r="AD824" s="4">
        <f>IFERROR(__xludf.DUMMYFUNCTION("""COMPUTED_VALUE"""),8.550377)</f>
        <v>8.550377</v>
      </c>
      <c r="AE824" s="5" t="str">
        <f>IFERROR(__xludf.DUMMYFUNCTION("""COMPUTED_VALUE"""),"https://drive.google.com/open?id=1u3n7xzRsaoDrUVUlBSG1CunTEfABl8dW")</f>
        <v>https://drive.google.com/open?id=1u3n7xzRsaoDrUVUlBSG1CunTEfABl8dW</v>
      </c>
      <c r="AF824" s="4"/>
      <c r="AG824" s="4"/>
      <c r="AH824" s="4"/>
      <c r="AI824" s="4"/>
      <c r="AL824" s="4" t="str">
        <f t="shared" si="1"/>
        <v>Cluster 13</v>
      </c>
      <c r="AM824" s="4" t="str">
        <f t="shared" si="2"/>
        <v>NEW HOSPITAL ROAD</v>
      </c>
    </row>
    <row r="825">
      <c r="A825" s="3">
        <f>IFERROR(__xludf.DUMMYFUNCTION("""COMPUTED_VALUE"""),45851.01268380787)</f>
        <v>45851.01268</v>
      </c>
      <c r="B825" s="4" t="str">
        <f>IFERROR(__xludf.DUMMYFUNCTION("""COMPUTED_VALUE"""),"elhabs256@gmail.com")</f>
        <v>elhabs256@gmail.com</v>
      </c>
      <c r="C825" s="4" t="str">
        <f>IFERROR(__xludf.DUMMYFUNCTION("""COMPUTED_VALUE"""),"Abdullahi Elhabeeb")</f>
        <v>Abdullahi Elhabeeb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 t="str">
        <f>IFERROR(__xludf.DUMMYFUNCTION("""COMPUTED_VALUE"""),"Cluster 13")</f>
        <v>Cluster 13</v>
      </c>
      <c r="Q825" s="4"/>
      <c r="R825" s="4"/>
      <c r="S825" s="4"/>
      <c r="T825" s="4" t="str">
        <f>IFERROR(__xludf.DUMMYFUNCTION("""COMPUTED_VALUE"""),"POLICE WALK WAY")</f>
        <v>POLICE WALK WAY</v>
      </c>
      <c r="U825" s="4"/>
      <c r="V825" s="4"/>
      <c r="W825" s="4"/>
      <c r="X825" s="4"/>
      <c r="Y825" s="4"/>
      <c r="Z825" s="4"/>
      <c r="AA825" s="4"/>
      <c r="AB825" s="4">
        <f>IFERROR(__xludf.DUMMYFUNCTION("""COMPUTED_VALUE"""),2.0)</f>
        <v>2</v>
      </c>
      <c r="AC825" s="4">
        <f>IFERROR(__xludf.DUMMYFUNCTION("""COMPUTED_VALUE"""),11.99611)</f>
        <v>11.99611</v>
      </c>
      <c r="AD825" s="4">
        <f>IFERROR(__xludf.DUMMYFUNCTION("""COMPUTED_VALUE"""),8.550377)</f>
        <v>8.550377</v>
      </c>
      <c r="AE825" s="5" t="str">
        <f>IFERROR(__xludf.DUMMYFUNCTION("""COMPUTED_VALUE"""),"https://drive.google.com/open?id=1feNQPNgXyf8tXw70iKorW3wp69GrIjP_")</f>
        <v>https://drive.google.com/open?id=1feNQPNgXyf8tXw70iKorW3wp69GrIjP_</v>
      </c>
      <c r="AF825" s="4"/>
      <c r="AG825" s="4"/>
      <c r="AH825" s="4"/>
      <c r="AI825" s="4"/>
      <c r="AL825" s="4" t="str">
        <f t="shared" si="1"/>
        <v>Cluster 13</v>
      </c>
      <c r="AM825" s="4" t="str">
        <f t="shared" si="2"/>
        <v>POLICE WALK WAY</v>
      </c>
    </row>
    <row r="826">
      <c r="A826" s="3">
        <f>IFERROR(__xludf.DUMMYFUNCTION("""COMPUTED_VALUE"""),45851.011270462965)</f>
        <v>45851.01127</v>
      </c>
      <c r="B826" s="4" t="str">
        <f>IFERROR(__xludf.DUMMYFUNCTION("""COMPUTED_VALUE"""),"elhabs256@gmail.com")</f>
        <v>elhabs256@gmail.com</v>
      </c>
      <c r="C826" s="4" t="str">
        <f>IFERROR(__xludf.DUMMYFUNCTION("""COMPUTED_VALUE"""),"Abdullahi Elhabeeb")</f>
        <v>Abdullahi Elhabeeb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 t="str">
        <f>IFERROR(__xludf.DUMMYFUNCTION("""COMPUTED_VALUE"""),"Cluster 13")</f>
        <v>Cluster 13</v>
      </c>
      <c r="Q826" s="4"/>
      <c r="R826" s="4"/>
      <c r="S826" s="4"/>
      <c r="T826" s="4" t="str">
        <f>IFERROR(__xludf.DUMMYFUNCTION("""COMPUTED_VALUE"""),"POLICE WALK WAY")</f>
        <v>POLICE WALK WAY</v>
      </c>
      <c r="U826" s="4"/>
      <c r="V826" s="4"/>
      <c r="W826" s="4"/>
      <c r="X826" s="4"/>
      <c r="Y826" s="4"/>
      <c r="Z826" s="4"/>
      <c r="AA826" s="4"/>
      <c r="AB826" s="4">
        <f>IFERROR(__xludf.DUMMYFUNCTION("""COMPUTED_VALUE"""),1.0)</f>
        <v>1</v>
      </c>
      <c r="AC826" s="4">
        <f>IFERROR(__xludf.DUMMYFUNCTION("""COMPUTED_VALUE"""),11.99611)</f>
        <v>11.99611</v>
      </c>
      <c r="AD826" s="4">
        <f>IFERROR(__xludf.DUMMYFUNCTION("""COMPUTED_VALUE"""),8.55059)</f>
        <v>8.55059</v>
      </c>
      <c r="AE826" s="5" t="str">
        <f>IFERROR(__xludf.DUMMYFUNCTION("""COMPUTED_VALUE"""),"https://drive.google.com/open?id=1J5RcQ7R_hDGGbxs5JfLFPiYxzEFcaMjm")</f>
        <v>https://drive.google.com/open?id=1J5RcQ7R_hDGGbxs5JfLFPiYxzEFcaMjm</v>
      </c>
      <c r="AF826" s="4"/>
      <c r="AG826" s="4"/>
      <c r="AH826" s="4"/>
      <c r="AI826" s="4"/>
      <c r="AL826" s="4" t="str">
        <f t="shared" si="1"/>
        <v>Cluster 13</v>
      </c>
      <c r="AM826" s="4" t="str">
        <f t="shared" si="2"/>
        <v>POLICE WALK WAY</v>
      </c>
    </row>
    <row r="827">
      <c r="A827" s="3">
        <f>IFERROR(__xludf.DUMMYFUNCTION("""COMPUTED_VALUE"""),45846.3200027662)</f>
        <v>45846.32</v>
      </c>
      <c r="B827" s="4" t="str">
        <f>IFERROR(__xludf.DUMMYFUNCTION("""COMPUTED_VALUE"""),"elhabs256@gmail.com")</f>
        <v>elhabs256@gmail.com</v>
      </c>
      <c r="C827" s="4" t="str">
        <f>IFERROR(__xludf.DUMMYFUNCTION("""COMPUTED_VALUE"""),"Abdullahi Elhabeeb")</f>
        <v>Abdullahi Elhabeeb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 t="str">
        <f>IFERROR(__xludf.DUMMYFUNCTION("""COMPUTED_VALUE"""),"Cluster 13")</f>
        <v>Cluster 13</v>
      </c>
      <c r="Q827" s="4"/>
      <c r="R827" s="4"/>
      <c r="S827" s="4"/>
      <c r="T827" s="4" t="str">
        <f>IFERROR(__xludf.DUMMYFUNCTION("""COMPUTED_VALUE"""),"NEW HOSPITAL ROAD")</f>
        <v>NEW HOSPITAL ROAD</v>
      </c>
      <c r="U827" s="4"/>
      <c r="V827" s="4"/>
      <c r="W827" s="4"/>
      <c r="X827" s="4"/>
      <c r="Y827" s="4"/>
      <c r="Z827" s="4"/>
      <c r="AA827" s="4"/>
      <c r="AB827" s="4">
        <f>IFERROR(__xludf.DUMMYFUNCTION("""COMPUTED_VALUE"""),1.0)</f>
        <v>1</v>
      </c>
      <c r="AC827" s="4">
        <f>IFERROR(__xludf.DUMMYFUNCTION("""COMPUTED_VALUE"""),11.9958)</f>
        <v>11.9958</v>
      </c>
      <c r="AD827" s="4">
        <f>IFERROR(__xludf.DUMMYFUNCTION("""COMPUTED_VALUE"""),8.55037)</f>
        <v>8.55037</v>
      </c>
      <c r="AE827" s="5" t="str">
        <f>IFERROR(__xludf.DUMMYFUNCTION("""COMPUTED_VALUE"""),"https://drive.google.com/open?id=1CFiTqCt2fAw8XixvuX7wSO7Y8txRcoj2")</f>
        <v>https://drive.google.com/open?id=1CFiTqCt2fAw8XixvuX7wSO7Y8txRcoj2</v>
      </c>
      <c r="AF827" s="4"/>
      <c r="AG827" s="4"/>
      <c r="AH827" s="4"/>
      <c r="AI827" s="4"/>
      <c r="AL827" s="4" t="str">
        <f t="shared" si="1"/>
        <v>Cluster 13</v>
      </c>
      <c r="AM827" s="4" t="str">
        <f t="shared" si="2"/>
        <v>NEW HOSPITAL ROAD</v>
      </c>
    </row>
    <row r="828">
      <c r="A828" s="3">
        <f>IFERROR(__xludf.DUMMYFUNCTION("""COMPUTED_VALUE"""),45846.31752359954)</f>
        <v>45846.31752</v>
      </c>
      <c r="B828" s="4" t="str">
        <f>IFERROR(__xludf.DUMMYFUNCTION("""COMPUTED_VALUE"""),"elhabs256@gmail.com")</f>
        <v>elhabs256@gmail.com</v>
      </c>
      <c r="C828" s="4" t="str">
        <f>IFERROR(__xludf.DUMMYFUNCTION("""COMPUTED_VALUE"""),"Abdullahi Elhabeeb")</f>
        <v>Abdullahi Elhabeeb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 t="str">
        <f>IFERROR(__xludf.DUMMYFUNCTION("""COMPUTED_VALUE"""),"Cluster 13")</f>
        <v>Cluster 13</v>
      </c>
      <c r="Q828" s="4"/>
      <c r="R828" s="4"/>
      <c r="S828" s="4"/>
      <c r="T828" s="4" t="str">
        <f>IFERROR(__xludf.DUMMYFUNCTION("""COMPUTED_VALUE"""),"ALU AVENUE")</f>
        <v>ALU AVENUE</v>
      </c>
      <c r="U828" s="4"/>
      <c r="V828" s="4"/>
      <c r="W828" s="4"/>
      <c r="X828" s="4"/>
      <c r="Y828" s="4"/>
      <c r="Z828" s="4"/>
      <c r="AA828" s="4"/>
      <c r="AB828" s="4">
        <f>IFERROR(__xludf.DUMMYFUNCTION("""COMPUTED_VALUE"""),1.0)</f>
        <v>1</v>
      </c>
      <c r="AC828" s="4">
        <f>IFERROR(__xludf.DUMMYFUNCTION("""COMPUTED_VALUE"""),11.9926)</f>
        <v>11.9926</v>
      </c>
      <c r="AD828" s="4">
        <f>IFERROR(__xludf.DUMMYFUNCTION("""COMPUTED_VALUE"""),8.55771)</f>
        <v>8.55771</v>
      </c>
      <c r="AE828" s="5" t="str">
        <f>IFERROR(__xludf.DUMMYFUNCTION("""COMPUTED_VALUE"""),"https://drive.google.com/open?id=10J9FGZ1LC3O1BFOV3Ka1OaIHscf9boF_")</f>
        <v>https://drive.google.com/open?id=10J9FGZ1LC3O1BFOV3Ka1OaIHscf9boF_</v>
      </c>
      <c r="AF828" s="4"/>
      <c r="AG828" s="4"/>
      <c r="AH828" s="4"/>
      <c r="AI828" s="4"/>
      <c r="AL828" s="4" t="str">
        <f t="shared" si="1"/>
        <v>Cluster 13</v>
      </c>
      <c r="AM828" s="4" t="str">
        <f t="shared" si="2"/>
        <v>ALU AVENUE</v>
      </c>
    </row>
    <row r="829">
      <c r="A829" s="3">
        <f>IFERROR(__xludf.DUMMYFUNCTION("""COMPUTED_VALUE"""),45845.89869104167)</f>
        <v>45845.89869</v>
      </c>
      <c r="B829" s="4" t="str">
        <f>IFERROR(__xludf.DUMMYFUNCTION("""COMPUTED_VALUE"""),"umrdalhatu@gmail.com")</f>
        <v>umrdalhatu@gmail.com</v>
      </c>
      <c r="C829" s="4" t="str">
        <f>IFERROR(__xludf.DUMMYFUNCTION("""COMPUTED_VALUE"""),"Umar Dalhatu")</f>
        <v>Umar Dalhatu</v>
      </c>
      <c r="D829" s="4"/>
      <c r="E829" s="4"/>
      <c r="F829" s="4"/>
      <c r="G829" s="4"/>
      <c r="H829" s="4"/>
      <c r="I829" s="4"/>
      <c r="J829" s="4" t="str">
        <f>IFERROR(__xludf.DUMMYFUNCTION("""COMPUTED_VALUE"""),"Cluster 1")</f>
        <v>Cluster 1</v>
      </c>
      <c r="K829" s="4" t="str">
        <f>IFERROR(__xludf.DUMMYFUNCTION("""COMPUTED_VALUE"""),"BADAWA LAYOUT ROAD")</f>
        <v>BADAWA LAYOUT ROAD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>
        <f>IFERROR(__xludf.DUMMYFUNCTION("""COMPUTED_VALUE"""),2.0)</f>
        <v>2</v>
      </c>
      <c r="AC829" s="4">
        <f>IFERROR(__xludf.DUMMYFUNCTION("""COMPUTED_VALUE"""),11.997439)</f>
        <v>11.997439</v>
      </c>
      <c r="AD829" s="4">
        <f>IFERROR(__xludf.DUMMYFUNCTION("""COMPUTED_VALUE"""),8.570485)</f>
        <v>8.570485</v>
      </c>
      <c r="AE829" s="5" t="str">
        <f>IFERROR(__xludf.DUMMYFUNCTION("""COMPUTED_VALUE"""),"https://drive.google.com/open?id=10MpwsgTyBIs-_KaTF3endt1xNgCX1aJP")</f>
        <v>https://drive.google.com/open?id=10MpwsgTyBIs-_KaTF3endt1xNgCX1aJP</v>
      </c>
      <c r="AF829" s="4"/>
      <c r="AG829" s="4"/>
      <c r="AH829" s="4"/>
      <c r="AI829" s="4"/>
      <c r="AL829" s="4" t="str">
        <f t="shared" si="1"/>
        <v>Cluster 1</v>
      </c>
      <c r="AM829" s="4" t="str">
        <f t="shared" si="2"/>
        <v>BADAWA LAYOUT ROAD</v>
      </c>
    </row>
    <row r="830">
      <c r="A830" s="3">
        <f>IFERROR(__xludf.DUMMYFUNCTION("""COMPUTED_VALUE"""),45845.897449247685)</f>
        <v>45845.89745</v>
      </c>
      <c r="B830" s="4" t="str">
        <f>IFERROR(__xludf.DUMMYFUNCTION("""COMPUTED_VALUE"""),"umrdalhatu@gmail.com")</f>
        <v>umrdalhatu@gmail.com</v>
      </c>
      <c r="C830" s="4" t="str">
        <f>IFERROR(__xludf.DUMMYFUNCTION("""COMPUTED_VALUE"""),"Umar Dalhatu")</f>
        <v>Umar Dalhatu</v>
      </c>
      <c r="D830" s="4"/>
      <c r="E830" s="4"/>
      <c r="F830" s="4"/>
      <c r="G830" s="4"/>
      <c r="H830" s="4"/>
      <c r="I830" s="4"/>
      <c r="J830" s="4" t="str">
        <f>IFERROR(__xludf.DUMMYFUNCTION("""COMPUTED_VALUE"""),"Cluster 1")</f>
        <v>Cluster 1</v>
      </c>
      <c r="K830" s="4" t="str">
        <f>IFERROR(__xludf.DUMMYFUNCTION("""COMPUTED_VALUE"""),"BADAWA LAYOUT ROAD")</f>
        <v>BADAWA LAYOUT ROAD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>
        <f>IFERROR(__xludf.DUMMYFUNCTION("""COMPUTED_VALUE"""),1.0)</f>
        <v>1</v>
      </c>
      <c r="AC830" s="4">
        <f>IFERROR(__xludf.DUMMYFUNCTION("""COMPUTED_VALUE"""),11.997439)</f>
        <v>11.997439</v>
      </c>
      <c r="AD830" s="4">
        <f>IFERROR(__xludf.DUMMYFUNCTION("""COMPUTED_VALUE"""),8.570485)</f>
        <v>8.570485</v>
      </c>
      <c r="AE830" s="5" t="str">
        <f>IFERROR(__xludf.DUMMYFUNCTION("""COMPUTED_VALUE"""),"https://drive.google.com/open?id=1AnFYGFVhE0TzkcC8WzR4AZsUNnXKwVoI")</f>
        <v>https://drive.google.com/open?id=1AnFYGFVhE0TzkcC8WzR4AZsUNnXKwVoI</v>
      </c>
      <c r="AF830" s="4"/>
      <c r="AG830" s="4"/>
      <c r="AH830" s="4"/>
      <c r="AI830" s="4"/>
      <c r="AL830" s="4" t="str">
        <f t="shared" si="1"/>
        <v>Cluster 1</v>
      </c>
      <c r="AM830" s="4" t="str">
        <f t="shared" si="2"/>
        <v>BADAWA LAYOUT ROAD</v>
      </c>
    </row>
    <row r="831">
      <c r="A831" s="3">
        <f>IFERROR(__xludf.DUMMYFUNCTION("""COMPUTED_VALUE"""),45845.89434392361)</f>
        <v>45845.89434</v>
      </c>
      <c r="B831" s="4" t="str">
        <f>IFERROR(__xludf.DUMMYFUNCTION("""COMPUTED_VALUE"""),"umrdalhatu@gmail.com")</f>
        <v>umrdalhatu@gmail.com</v>
      </c>
      <c r="C831" s="4" t="str">
        <f>IFERROR(__xludf.DUMMYFUNCTION("""COMPUTED_VALUE"""),"Umar Dalhatu")</f>
        <v>Umar Dalhatu</v>
      </c>
      <c r="D831" s="4"/>
      <c r="E831" s="4"/>
      <c r="F831" s="4"/>
      <c r="G831" s="4"/>
      <c r="H831" s="4"/>
      <c r="I831" s="4"/>
      <c r="J831" s="4" t="str">
        <f>IFERROR(__xludf.DUMMYFUNCTION("""COMPUTED_VALUE"""),"Cluster 10")</f>
        <v>Cluster 10</v>
      </c>
      <c r="K831" s="4"/>
      <c r="L831" s="4"/>
      <c r="M831" s="4" t="str">
        <f>IFERROR(__xludf.DUMMYFUNCTION("""COMPUTED_VALUE"""),"KAWO MAIGARI ROAD")</f>
        <v>KAWO MAIGARI ROAD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>
        <f>IFERROR(__xludf.DUMMYFUNCTION("""COMPUTED_VALUE"""),1.0)</f>
        <v>1</v>
      </c>
      <c r="AC831" s="4">
        <f>IFERROR(__xludf.DUMMYFUNCTION("""COMPUTED_VALUE"""),11.97607144)</f>
        <v>11.97607144</v>
      </c>
      <c r="AD831" s="4">
        <f>IFERROR(__xludf.DUMMYFUNCTION("""COMPUTED_VALUE"""),8.57441855)</f>
        <v>8.57441855</v>
      </c>
      <c r="AE831" s="5" t="str">
        <f>IFERROR(__xludf.DUMMYFUNCTION("""COMPUTED_VALUE"""),"https://drive.google.com/open?id=1tvsADfTDB1tD9DK0w6Mjp5zpfi5LcIz4")</f>
        <v>https://drive.google.com/open?id=1tvsADfTDB1tD9DK0w6Mjp5zpfi5LcIz4</v>
      </c>
      <c r="AF831" s="4"/>
      <c r="AG831" s="4"/>
      <c r="AH831" s="4"/>
      <c r="AI831" s="4"/>
      <c r="AL831" s="4" t="str">
        <f t="shared" si="1"/>
        <v>Cluster 10</v>
      </c>
      <c r="AM831" s="4" t="str">
        <f t="shared" si="2"/>
        <v>KAWO MAIGARI ROAD</v>
      </c>
    </row>
    <row r="832">
      <c r="A832" s="3">
        <f>IFERROR(__xludf.DUMMYFUNCTION("""COMPUTED_VALUE"""),45845.88514892361)</f>
        <v>45845.88515</v>
      </c>
      <c r="B832" s="4" t="str">
        <f>IFERROR(__xludf.DUMMYFUNCTION("""COMPUTED_VALUE"""),"umrdalhatu@gmail.com")</f>
        <v>umrdalhatu@gmail.com</v>
      </c>
      <c r="C832" s="4" t="str">
        <f>IFERROR(__xludf.DUMMYFUNCTION("""COMPUTED_VALUE"""),"Umar Dalhatu")</f>
        <v>Umar Dalhatu</v>
      </c>
      <c r="D832" s="4"/>
      <c r="E832" s="4"/>
      <c r="F832" s="4"/>
      <c r="G832" s="4"/>
      <c r="H832" s="4"/>
      <c r="I832" s="4"/>
      <c r="J832" s="4" t="str">
        <f>IFERROR(__xludf.DUMMYFUNCTION("""COMPUTED_VALUE"""),"Cluster 1")</f>
        <v>Cluster 1</v>
      </c>
      <c r="K832" s="4" t="str">
        <f>IFERROR(__xludf.DUMMYFUNCTION("""COMPUTED_VALUE"""),"SALISU MAI BOREHOLE STREET")</f>
        <v>SALISU MAI BOREHOLE STREET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>
        <f>IFERROR(__xludf.DUMMYFUNCTION("""COMPUTED_VALUE"""),2.0)</f>
        <v>2</v>
      </c>
      <c r="AC832" s="4">
        <f>IFERROR(__xludf.DUMMYFUNCTION("""COMPUTED_VALUE"""),11.9946441)</f>
        <v>11.9946441</v>
      </c>
      <c r="AD832" s="4">
        <f>IFERROR(__xludf.DUMMYFUNCTION("""COMPUTED_VALUE"""),8.577747732)</f>
        <v>8.577747732</v>
      </c>
      <c r="AE832" s="5" t="str">
        <f>IFERROR(__xludf.DUMMYFUNCTION("""COMPUTED_VALUE"""),"https://drive.google.com/open?id=1iVuRiK70lasg3TaLsilTvD0UPrj8mP3H")</f>
        <v>https://drive.google.com/open?id=1iVuRiK70lasg3TaLsilTvD0UPrj8mP3H</v>
      </c>
      <c r="AF832" s="4"/>
      <c r="AG832" s="4"/>
      <c r="AH832" s="4"/>
      <c r="AI832" s="4"/>
      <c r="AL832" s="4" t="str">
        <f t="shared" si="1"/>
        <v>Cluster 1</v>
      </c>
      <c r="AM832" s="4" t="str">
        <f t="shared" si="2"/>
        <v>SALISU MAI BOREHOLE STREET</v>
      </c>
    </row>
    <row r="833">
      <c r="A833" s="3">
        <f>IFERROR(__xludf.DUMMYFUNCTION("""COMPUTED_VALUE"""),45845.88362195602)</f>
        <v>45845.88362</v>
      </c>
      <c r="B833" s="4" t="str">
        <f>IFERROR(__xludf.DUMMYFUNCTION("""COMPUTED_VALUE"""),"umrdalhatu@gmail.com")</f>
        <v>umrdalhatu@gmail.com</v>
      </c>
      <c r="C833" s="4" t="str">
        <f>IFERROR(__xludf.DUMMYFUNCTION("""COMPUTED_VALUE"""),"Umar Dalhatu")</f>
        <v>Umar Dalhatu</v>
      </c>
      <c r="D833" s="4"/>
      <c r="E833" s="4"/>
      <c r="F833" s="4"/>
      <c r="G833" s="4"/>
      <c r="H833" s="4"/>
      <c r="I833" s="4"/>
      <c r="J833" s="4" t="str">
        <f>IFERROR(__xludf.DUMMYFUNCTION("""COMPUTED_VALUE"""),"Cluster 1")</f>
        <v>Cluster 1</v>
      </c>
      <c r="K833" s="4" t="str">
        <f>IFERROR(__xludf.DUMMYFUNCTION("""COMPUTED_VALUE"""),"SALISU MAI BOREHOLE STREET")</f>
        <v>SALISU MAI BOREHOLE STREET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>
        <f>IFERROR(__xludf.DUMMYFUNCTION("""COMPUTED_VALUE"""),1.0)</f>
        <v>1</v>
      </c>
      <c r="AC833" s="4">
        <f>IFERROR(__xludf.DUMMYFUNCTION("""COMPUTED_VALUE"""),11.9946441)</f>
        <v>11.9946441</v>
      </c>
      <c r="AD833" s="4">
        <f>IFERROR(__xludf.DUMMYFUNCTION("""COMPUTED_VALUE"""),8.577747732)</f>
        <v>8.577747732</v>
      </c>
      <c r="AE833" s="5" t="str">
        <f>IFERROR(__xludf.DUMMYFUNCTION("""COMPUTED_VALUE"""),"https://drive.google.com/open?id=1cz0FFK9BDnN2Kr_LhDrcq3x7r86rkILr")</f>
        <v>https://drive.google.com/open?id=1cz0FFK9BDnN2Kr_LhDrcq3x7r86rkILr</v>
      </c>
      <c r="AF833" s="4"/>
      <c r="AG833" s="4"/>
      <c r="AH833" s="4"/>
      <c r="AI833" s="4"/>
      <c r="AL833" s="4" t="str">
        <f t="shared" si="1"/>
        <v>Cluster 1</v>
      </c>
      <c r="AM833" s="4" t="str">
        <f t="shared" si="2"/>
        <v>SALISU MAI BOREHOLE STREET</v>
      </c>
    </row>
    <row r="834">
      <c r="A834" s="3">
        <f>IFERROR(__xludf.DUMMYFUNCTION("""COMPUTED_VALUE"""),45845.870081608795)</f>
        <v>45845.87008</v>
      </c>
      <c r="B834" s="4" t="str">
        <f>IFERROR(__xludf.DUMMYFUNCTION("""COMPUTED_VALUE"""),"umrdalhatu@gmail.com")</f>
        <v>umrdalhatu@gmail.com</v>
      </c>
      <c r="C834" s="4" t="str">
        <f>IFERROR(__xludf.DUMMYFUNCTION("""COMPUTED_VALUE"""),"Umar Dalhatu")</f>
        <v>Umar Dalhatu</v>
      </c>
      <c r="D834" s="4"/>
      <c r="E834" s="4"/>
      <c r="F834" s="4"/>
      <c r="G834" s="4"/>
      <c r="H834" s="4"/>
      <c r="I834" s="4"/>
      <c r="J834" s="4" t="str">
        <f>IFERROR(__xludf.DUMMYFUNCTION("""COMPUTED_VALUE"""),"Cluster 1")</f>
        <v>Cluster 1</v>
      </c>
      <c r="K834" s="4" t="str">
        <f>IFERROR(__xludf.DUMMYFUNCTION("""COMPUTED_VALUE"""),"HABIBA YAHAYA LINK")</f>
        <v>HABIBA YAHAYA LINK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>
        <f>IFERROR(__xludf.DUMMYFUNCTION("""COMPUTED_VALUE"""),2.0)</f>
        <v>2</v>
      </c>
      <c r="AC834" s="4">
        <f>IFERROR(__xludf.DUMMYFUNCTION("""COMPUTED_VALUE"""),11.9968041965477)</f>
        <v>11.9968042</v>
      </c>
      <c r="AD834" s="4">
        <f>IFERROR(__xludf.DUMMYFUNCTION("""COMPUTED_VALUE"""),8.57464463495019)</f>
        <v>8.574644635</v>
      </c>
      <c r="AE834" s="5" t="str">
        <f>IFERROR(__xludf.DUMMYFUNCTION("""COMPUTED_VALUE"""),"https://drive.google.com/open?id=1i-SfeZFbL65_xgqCvRW-CDJoZsNa7xHC")</f>
        <v>https://drive.google.com/open?id=1i-SfeZFbL65_xgqCvRW-CDJoZsNa7xHC</v>
      </c>
      <c r="AF834" s="4"/>
      <c r="AG834" s="4"/>
      <c r="AH834" s="4"/>
      <c r="AI834" s="4"/>
      <c r="AL834" s="4" t="str">
        <f t="shared" si="1"/>
        <v>Cluster 1</v>
      </c>
      <c r="AM834" s="4" t="str">
        <f t="shared" si="2"/>
        <v>HABIBA YAHAYA LINK</v>
      </c>
    </row>
    <row r="835">
      <c r="A835" s="3">
        <f>IFERROR(__xludf.DUMMYFUNCTION("""COMPUTED_VALUE"""),45845.86760922454)</f>
        <v>45845.86761</v>
      </c>
      <c r="B835" s="4" t="str">
        <f>IFERROR(__xludf.DUMMYFUNCTION("""COMPUTED_VALUE"""),"umrdalhatu@gmail.com")</f>
        <v>umrdalhatu@gmail.com</v>
      </c>
      <c r="C835" s="4" t="str">
        <f>IFERROR(__xludf.DUMMYFUNCTION("""COMPUTED_VALUE"""),"Umar Dalhatu")</f>
        <v>Umar Dalhatu</v>
      </c>
      <c r="D835" s="4"/>
      <c r="E835" s="4"/>
      <c r="F835" s="4"/>
      <c r="G835" s="4"/>
      <c r="H835" s="4"/>
      <c r="I835" s="4"/>
      <c r="J835" s="4" t="str">
        <f>IFERROR(__xludf.DUMMYFUNCTION("""COMPUTED_VALUE"""),"Cluster 1")</f>
        <v>Cluster 1</v>
      </c>
      <c r="K835" s="4" t="str">
        <f>IFERROR(__xludf.DUMMYFUNCTION("""COMPUTED_VALUE"""),"HABIBA YAHAYA LINK")</f>
        <v>HABIBA YAHAYA LINK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>
        <f>IFERROR(__xludf.DUMMYFUNCTION("""COMPUTED_VALUE"""),1.0)</f>
        <v>1</v>
      </c>
      <c r="AC835" s="4">
        <f>IFERROR(__xludf.DUMMYFUNCTION("""COMPUTED_VALUE"""),11.9968041965477)</f>
        <v>11.9968042</v>
      </c>
      <c r="AD835" s="4">
        <f>IFERROR(__xludf.DUMMYFUNCTION("""COMPUTED_VALUE"""),8.57464446349501)</f>
        <v>8.574644463</v>
      </c>
      <c r="AE835" s="5" t="str">
        <f>IFERROR(__xludf.DUMMYFUNCTION("""COMPUTED_VALUE"""),"https://drive.google.com/open?id=1jCrs3UACKvA2DN5a9Ue1HCv5gEPamN-K")</f>
        <v>https://drive.google.com/open?id=1jCrs3UACKvA2DN5a9Ue1HCv5gEPamN-K</v>
      </c>
      <c r="AF835" s="4"/>
      <c r="AG835" s="4"/>
      <c r="AH835" s="4"/>
      <c r="AI835" s="4"/>
      <c r="AL835" s="4" t="str">
        <f t="shared" si="1"/>
        <v>Cluster 1</v>
      </c>
      <c r="AM835" s="4" t="str">
        <f t="shared" si="2"/>
        <v>HABIBA YAHAYA LINK</v>
      </c>
    </row>
    <row r="836">
      <c r="A836" s="3">
        <f>IFERROR(__xludf.DUMMYFUNCTION("""COMPUTED_VALUE"""),45845.84300894676)</f>
        <v>45845.84301</v>
      </c>
      <c r="B836" s="4" t="str">
        <f>IFERROR(__xludf.DUMMYFUNCTION("""COMPUTED_VALUE"""),"umrdalhatu@gmail.com")</f>
        <v>umrdalhatu@gmail.com</v>
      </c>
      <c r="C836" s="4" t="str">
        <f>IFERROR(__xludf.DUMMYFUNCTION("""COMPUTED_VALUE"""),"Umar Dalhatu")</f>
        <v>Umar Dalhatu</v>
      </c>
      <c r="D836" s="4"/>
      <c r="E836" s="4"/>
      <c r="F836" s="4"/>
      <c r="G836" s="4"/>
      <c r="H836" s="4"/>
      <c r="I836" s="4"/>
      <c r="J836" s="4" t="str">
        <f>IFERROR(__xludf.DUMMYFUNCTION("""COMPUTED_VALUE"""),"Cluster 1")</f>
        <v>Cluster 1</v>
      </c>
      <c r="K836" s="4" t="str">
        <f>IFERROR(__xludf.DUMMYFUNCTION("""COMPUTED_VALUE"""),"YABUKU ABDUL PAIKO LINK")</f>
        <v>YABUKU ABDUL PAIKO LINK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>
        <f>IFERROR(__xludf.DUMMYFUNCTION("""COMPUTED_VALUE"""),2.0)</f>
        <v>2</v>
      </c>
      <c r="AC836" s="4">
        <f>IFERROR(__xludf.DUMMYFUNCTION("""COMPUTED_VALUE"""),11.9946441)</f>
        <v>11.9946441</v>
      </c>
      <c r="AD836" s="4">
        <f>IFERROR(__xludf.DUMMYFUNCTION("""COMPUTED_VALUE"""),8.577747732)</f>
        <v>8.577747732</v>
      </c>
      <c r="AE836" s="5" t="str">
        <f>IFERROR(__xludf.DUMMYFUNCTION("""COMPUTED_VALUE"""),"https://drive.google.com/open?id=17foWc21hs58E39KstTUwf1IzNp8uTz0A")</f>
        <v>https://drive.google.com/open?id=17foWc21hs58E39KstTUwf1IzNp8uTz0A</v>
      </c>
      <c r="AF836" s="4"/>
      <c r="AG836" s="4"/>
      <c r="AH836" s="4"/>
      <c r="AI836" s="4"/>
      <c r="AL836" s="4" t="str">
        <f t="shared" si="1"/>
        <v>Cluster 1</v>
      </c>
      <c r="AM836" s="4" t="str">
        <f t="shared" si="2"/>
        <v>YABUKU ABDUL PAIKO LINK</v>
      </c>
    </row>
    <row r="837">
      <c r="A837" s="3">
        <f>IFERROR(__xludf.DUMMYFUNCTION("""COMPUTED_VALUE"""),45845.84074221065)</f>
        <v>45845.84074</v>
      </c>
      <c r="B837" s="4" t="str">
        <f>IFERROR(__xludf.DUMMYFUNCTION("""COMPUTED_VALUE"""),"umrdalhatu@gmail.com")</f>
        <v>umrdalhatu@gmail.com</v>
      </c>
      <c r="C837" s="4" t="str">
        <f>IFERROR(__xludf.DUMMYFUNCTION("""COMPUTED_VALUE"""),"Umar Dalhatu")</f>
        <v>Umar Dalhatu</v>
      </c>
      <c r="D837" s="4"/>
      <c r="E837" s="4"/>
      <c r="F837" s="4"/>
      <c r="G837" s="4"/>
      <c r="H837" s="4"/>
      <c r="I837" s="4"/>
      <c r="J837" s="4" t="str">
        <f>IFERROR(__xludf.DUMMYFUNCTION("""COMPUTED_VALUE"""),"Cluster 1")</f>
        <v>Cluster 1</v>
      </c>
      <c r="K837" s="4" t="str">
        <f>IFERROR(__xludf.DUMMYFUNCTION("""COMPUTED_VALUE"""),"YABUKU ABDUL PAIKO LINK")</f>
        <v>YABUKU ABDUL PAIKO LINK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>
        <f>IFERROR(__xludf.DUMMYFUNCTION("""COMPUTED_VALUE"""),1.0)</f>
        <v>1</v>
      </c>
      <c r="AC837" s="4">
        <f>IFERROR(__xludf.DUMMYFUNCTION("""COMPUTED_VALUE"""),11.9946441)</f>
        <v>11.9946441</v>
      </c>
      <c r="AD837" s="4">
        <f>IFERROR(__xludf.DUMMYFUNCTION("""COMPUTED_VALUE"""),8.577747732)</f>
        <v>8.577747732</v>
      </c>
      <c r="AE837" s="5" t="str">
        <f>IFERROR(__xludf.DUMMYFUNCTION("""COMPUTED_VALUE"""),"https://drive.google.com/open?id=1mlNLWV4q16r0MFC-dATVDby0F4P_Xppr")</f>
        <v>https://drive.google.com/open?id=1mlNLWV4q16r0MFC-dATVDby0F4P_Xppr</v>
      </c>
      <c r="AF837" s="4"/>
      <c r="AG837" s="4"/>
      <c r="AH837" s="4"/>
      <c r="AI837" s="4"/>
      <c r="AL837" s="4" t="str">
        <f t="shared" si="1"/>
        <v>Cluster 1</v>
      </c>
      <c r="AM837" s="4" t="str">
        <f t="shared" si="2"/>
        <v>YABUKU ABDUL PAIKO LINK</v>
      </c>
    </row>
    <row r="838">
      <c r="A838" s="3">
        <f>IFERROR(__xludf.DUMMYFUNCTION("""COMPUTED_VALUE"""),45845.837228449076)</f>
        <v>45845.83723</v>
      </c>
      <c r="B838" s="4" t="str">
        <f>IFERROR(__xludf.DUMMYFUNCTION("""COMPUTED_VALUE"""),"umrdalhatu@gmail.com")</f>
        <v>umrdalhatu@gmail.com</v>
      </c>
      <c r="C838" s="4" t="str">
        <f>IFERROR(__xludf.DUMMYFUNCTION("""COMPUTED_VALUE"""),"Umar Dalhatu")</f>
        <v>Umar Dalhatu</v>
      </c>
      <c r="D838" s="4"/>
      <c r="E838" s="4"/>
      <c r="F838" s="4"/>
      <c r="G838" s="4"/>
      <c r="H838" s="4"/>
      <c r="I838" s="4"/>
      <c r="J838" s="4" t="str">
        <f>IFERROR(__xludf.DUMMYFUNCTION("""COMPUTED_VALUE"""),"Cluster 1")</f>
        <v>Cluster 1</v>
      </c>
      <c r="K838" s="4" t="str">
        <f>IFERROR(__xludf.DUMMYFUNCTION("""COMPUTED_VALUE"""),"BARRISTER ISA BELLO STREET")</f>
        <v>BARRISTER ISA BELLO STREET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>
        <f>IFERROR(__xludf.DUMMYFUNCTION("""COMPUTED_VALUE"""),2.0)</f>
        <v>2</v>
      </c>
      <c r="AC838" s="4">
        <f>IFERROR(__xludf.DUMMYFUNCTION("""COMPUTED_VALUE"""),11.9944188)</f>
        <v>11.9944188</v>
      </c>
      <c r="AD838" s="4">
        <f>IFERROR(__xludf.DUMMYFUNCTION("""COMPUTED_VALUE"""),8.576738)</f>
        <v>8.576738</v>
      </c>
      <c r="AE838" s="5" t="str">
        <f>IFERROR(__xludf.DUMMYFUNCTION("""COMPUTED_VALUE"""),"https://drive.google.com/open?id=15fb-sYo09bay-n111L7OFNwrM9vXhzm3")</f>
        <v>https://drive.google.com/open?id=15fb-sYo09bay-n111L7OFNwrM9vXhzm3</v>
      </c>
      <c r="AF838" s="4"/>
      <c r="AG838" s="4"/>
      <c r="AH838" s="4"/>
      <c r="AI838" s="4"/>
      <c r="AL838" s="4" t="str">
        <f t="shared" si="1"/>
        <v>Cluster 1</v>
      </c>
      <c r="AM838" s="4" t="str">
        <f t="shared" si="2"/>
        <v>BARRISTER ISA BELLO STREET</v>
      </c>
    </row>
    <row r="839">
      <c r="A839" s="3">
        <f>IFERROR(__xludf.DUMMYFUNCTION("""COMPUTED_VALUE"""),45845.83568373843)</f>
        <v>45845.83568</v>
      </c>
      <c r="B839" s="4" t="str">
        <f>IFERROR(__xludf.DUMMYFUNCTION("""COMPUTED_VALUE"""),"umrdalhatu@gmail.com")</f>
        <v>umrdalhatu@gmail.com</v>
      </c>
      <c r="C839" s="4" t="str">
        <f>IFERROR(__xludf.DUMMYFUNCTION("""COMPUTED_VALUE"""),"Umar Dalhatu")</f>
        <v>Umar Dalhatu</v>
      </c>
      <c r="D839" s="4"/>
      <c r="E839" s="4"/>
      <c r="F839" s="4"/>
      <c r="G839" s="4"/>
      <c r="H839" s="4"/>
      <c r="I839" s="4"/>
      <c r="J839" s="4" t="str">
        <f>IFERROR(__xludf.DUMMYFUNCTION("""COMPUTED_VALUE"""),"Cluster 1")</f>
        <v>Cluster 1</v>
      </c>
      <c r="K839" s="4" t="str">
        <f>IFERROR(__xludf.DUMMYFUNCTION("""COMPUTED_VALUE"""),"BARRISTER ISA BELLO STREET")</f>
        <v>BARRISTER ISA BELLO STREET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>
        <f>IFERROR(__xludf.DUMMYFUNCTION("""COMPUTED_VALUE"""),1.0)</f>
        <v>1</v>
      </c>
      <c r="AC839" s="4">
        <f>IFERROR(__xludf.DUMMYFUNCTION("""COMPUTED_VALUE"""),11.9944188)</f>
        <v>11.9944188</v>
      </c>
      <c r="AD839" s="4">
        <f>IFERROR(__xludf.DUMMYFUNCTION("""COMPUTED_VALUE"""),8.576738)</f>
        <v>8.576738</v>
      </c>
      <c r="AE839" s="5" t="str">
        <f>IFERROR(__xludf.DUMMYFUNCTION("""COMPUTED_VALUE"""),"https://drive.google.com/open?id=13qNbEA6KlEY8mXYV4PRRCx8wUpIueNpY")</f>
        <v>https://drive.google.com/open?id=13qNbEA6KlEY8mXYV4PRRCx8wUpIueNpY</v>
      </c>
      <c r="AF839" s="4"/>
      <c r="AG839" s="4"/>
      <c r="AH839" s="4"/>
      <c r="AI839" s="4"/>
      <c r="AL839" s="4" t="str">
        <f t="shared" si="1"/>
        <v>Cluster 1</v>
      </c>
      <c r="AM839" s="4" t="str">
        <f t="shared" si="2"/>
        <v>BARRISTER ISA BELLO STREET</v>
      </c>
    </row>
    <row r="840">
      <c r="A840" s="3">
        <f>IFERROR(__xludf.DUMMYFUNCTION("""COMPUTED_VALUE"""),45845.83406125)</f>
        <v>45845.83406</v>
      </c>
      <c r="B840" s="4" t="str">
        <f>IFERROR(__xludf.DUMMYFUNCTION("""COMPUTED_VALUE"""),"umrdalhatu@gmail.com")</f>
        <v>umrdalhatu@gmail.com</v>
      </c>
      <c r="C840" s="4" t="str">
        <f>IFERROR(__xludf.DUMMYFUNCTION("""COMPUTED_VALUE"""),"Umar Dalhatu")</f>
        <v>Umar Dalhatu</v>
      </c>
      <c r="D840" s="4"/>
      <c r="E840" s="4"/>
      <c r="F840" s="4"/>
      <c r="G840" s="4"/>
      <c r="H840" s="4"/>
      <c r="I840" s="4"/>
      <c r="J840" s="4" t="str">
        <f>IFERROR(__xludf.DUMMYFUNCTION("""COMPUTED_VALUE"""),"Cluster 1")</f>
        <v>Cluster 1</v>
      </c>
      <c r="K840" s="4" t="str">
        <f>IFERROR(__xludf.DUMMYFUNCTION("""COMPUTED_VALUE"""),"A MAI GORO SAGAGI LINK")</f>
        <v>A MAI GORO SAGAGI LINK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>
        <f>IFERROR(__xludf.DUMMYFUNCTION("""COMPUTED_VALUE"""),2.0)</f>
        <v>2</v>
      </c>
      <c r="AC840" s="4">
        <f>IFERROR(__xludf.DUMMYFUNCTION("""COMPUTED_VALUE"""),11.99661415)</f>
        <v>11.99661415</v>
      </c>
      <c r="AD840" s="4">
        <f>IFERROR(__xludf.DUMMYFUNCTION("""COMPUTED_VALUE"""),8.576753157)</f>
        <v>8.576753157</v>
      </c>
      <c r="AE840" s="5" t="str">
        <f>IFERROR(__xludf.DUMMYFUNCTION("""COMPUTED_VALUE"""),"https://drive.google.com/open?id=1PwyYqKVsCUnTC20sUtZIuU1RbJ6krZFb")</f>
        <v>https://drive.google.com/open?id=1PwyYqKVsCUnTC20sUtZIuU1RbJ6krZFb</v>
      </c>
      <c r="AF840" s="4"/>
      <c r="AG840" s="4"/>
      <c r="AH840" s="4"/>
      <c r="AI840" s="4"/>
      <c r="AL840" s="4" t="str">
        <f t="shared" si="1"/>
        <v>Cluster 1</v>
      </c>
      <c r="AM840" s="4" t="str">
        <f t="shared" si="2"/>
        <v>A MAI GORO SAGAGI LINK</v>
      </c>
    </row>
    <row r="841">
      <c r="A841" s="3">
        <f>IFERROR(__xludf.DUMMYFUNCTION("""COMPUTED_VALUE"""),45845.8317312037)</f>
        <v>45845.83173</v>
      </c>
      <c r="B841" s="4" t="str">
        <f>IFERROR(__xludf.DUMMYFUNCTION("""COMPUTED_VALUE"""),"umrdalhatu@gmail.com")</f>
        <v>umrdalhatu@gmail.com</v>
      </c>
      <c r="C841" s="4" t="str">
        <f>IFERROR(__xludf.DUMMYFUNCTION("""COMPUTED_VALUE"""),"Umar Dalhatu")</f>
        <v>Umar Dalhatu</v>
      </c>
      <c r="D841" s="4"/>
      <c r="E841" s="4"/>
      <c r="F841" s="4"/>
      <c r="G841" s="4"/>
      <c r="H841" s="4"/>
      <c r="I841" s="4"/>
      <c r="J841" s="4" t="str">
        <f>IFERROR(__xludf.DUMMYFUNCTION("""COMPUTED_VALUE"""),"Cluster 1")</f>
        <v>Cluster 1</v>
      </c>
      <c r="K841" s="4" t="str">
        <f>IFERROR(__xludf.DUMMYFUNCTION("""COMPUTED_VALUE"""),"A MAI GORO SAGAGI LINK")</f>
        <v>A MAI GORO SAGAGI LINK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>
        <f>IFERROR(__xludf.DUMMYFUNCTION("""COMPUTED_VALUE"""),1.0)</f>
        <v>1</v>
      </c>
      <c r="AC841" s="4">
        <f>IFERROR(__xludf.DUMMYFUNCTION("""COMPUTED_VALUE"""),11.99661415)</f>
        <v>11.99661415</v>
      </c>
      <c r="AD841" s="4">
        <f>IFERROR(__xludf.DUMMYFUNCTION("""COMPUTED_VALUE"""),8.576753157)</f>
        <v>8.576753157</v>
      </c>
      <c r="AE841" s="5" t="str">
        <f>IFERROR(__xludf.DUMMYFUNCTION("""COMPUTED_VALUE"""),"https://drive.google.com/open?id=1A2XtaRvJA-apj1qbwwfdmMETgu19Cai3")</f>
        <v>https://drive.google.com/open?id=1A2XtaRvJA-apj1qbwwfdmMETgu19Cai3</v>
      </c>
      <c r="AF841" s="4"/>
      <c r="AG841" s="4"/>
      <c r="AH841" s="4"/>
      <c r="AI841" s="4"/>
      <c r="AL841" s="4" t="str">
        <f t="shared" si="1"/>
        <v>Cluster 1</v>
      </c>
      <c r="AM841" s="4" t="str">
        <f t="shared" si="2"/>
        <v>A MAI GORO SAGAGI LINK</v>
      </c>
    </row>
    <row r="842">
      <c r="A842" s="3">
        <f>IFERROR(__xludf.DUMMYFUNCTION("""COMPUTED_VALUE"""),45845.82664515046)</f>
        <v>45845.82665</v>
      </c>
      <c r="B842" s="4" t="str">
        <f>IFERROR(__xludf.DUMMYFUNCTION("""COMPUTED_VALUE"""),"umrdalhatu@gmail.com")</f>
        <v>umrdalhatu@gmail.com</v>
      </c>
      <c r="C842" s="4" t="str">
        <f>IFERROR(__xludf.DUMMYFUNCTION("""COMPUTED_VALUE"""),"Umar Dalhatu")</f>
        <v>Umar Dalhatu</v>
      </c>
      <c r="D842" s="4"/>
      <c r="E842" s="4"/>
      <c r="F842" s="4"/>
      <c r="G842" s="4"/>
      <c r="H842" s="4"/>
      <c r="I842" s="4"/>
      <c r="J842" s="4" t="str">
        <f>IFERROR(__xludf.DUMMYFUNCTION("""COMPUTED_VALUE"""),"Cluster 1")</f>
        <v>Cluster 1</v>
      </c>
      <c r="K842" s="4" t="str">
        <f>IFERROR(__xludf.DUMMYFUNCTION("""COMPUTED_VALUE"""),"DR ABDU GREMA LINK")</f>
        <v>DR ABDU GREMA LINK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>
        <f>IFERROR(__xludf.DUMMYFUNCTION("""COMPUTED_VALUE"""),2.0)</f>
        <v>2</v>
      </c>
      <c r="AC842" s="4">
        <f>IFERROR(__xludf.DUMMYFUNCTION("""COMPUTED_VALUE"""),11.99690254)</f>
        <v>11.99690254</v>
      </c>
      <c r="AD842" s="4">
        <f>IFERROR(__xludf.DUMMYFUNCTION("""COMPUTED_VALUE"""),8.570448482)</f>
        <v>8.570448482</v>
      </c>
      <c r="AE842" s="5" t="str">
        <f>IFERROR(__xludf.DUMMYFUNCTION("""COMPUTED_VALUE"""),"https://drive.google.com/open?id=1z2pULVOSAsS3xwGW4hsIy7d4knZV0FFT")</f>
        <v>https://drive.google.com/open?id=1z2pULVOSAsS3xwGW4hsIy7d4knZV0FFT</v>
      </c>
      <c r="AF842" s="4"/>
      <c r="AG842" s="4"/>
      <c r="AH842" s="4"/>
      <c r="AI842" s="4"/>
      <c r="AL842" s="4" t="str">
        <f t="shared" si="1"/>
        <v>Cluster 1</v>
      </c>
      <c r="AM842" s="4" t="str">
        <f t="shared" si="2"/>
        <v>DR ABDU GREMA LINK</v>
      </c>
    </row>
    <row r="843">
      <c r="A843" s="3">
        <f>IFERROR(__xludf.DUMMYFUNCTION("""COMPUTED_VALUE"""),45845.825206828704)</f>
        <v>45845.82521</v>
      </c>
      <c r="B843" s="4" t="str">
        <f>IFERROR(__xludf.DUMMYFUNCTION("""COMPUTED_VALUE"""),"umrdalhatu@gmail.com")</f>
        <v>umrdalhatu@gmail.com</v>
      </c>
      <c r="C843" s="4" t="str">
        <f>IFERROR(__xludf.DUMMYFUNCTION("""COMPUTED_VALUE"""),"Umar Dalhatu")</f>
        <v>Umar Dalhatu</v>
      </c>
      <c r="D843" s="4"/>
      <c r="E843" s="4"/>
      <c r="F843" s="4"/>
      <c r="G843" s="4"/>
      <c r="H843" s="4"/>
      <c r="I843" s="4"/>
      <c r="J843" s="4" t="str">
        <f>IFERROR(__xludf.DUMMYFUNCTION("""COMPUTED_VALUE"""),"Cluster 1")</f>
        <v>Cluster 1</v>
      </c>
      <c r="K843" s="4" t="str">
        <f>IFERROR(__xludf.DUMMYFUNCTION("""COMPUTED_VALUE"""),"DR ABDU GREMA LINK")</f>
        <v>DR ABDU GREMA LINK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>
        <f>IFERROR(__xludf.DUMMYFUNCTION("""COMPUTED_VALUE"""),1.0)</f>
        <v>1</v>
      </c>
      <c r="AC843" s="4">
        <f>IFERROR(__xludf.DUMMYFUNCTION("""COMPUTED_VALUE"""),11.99690254)</f>
        <v>11.99690254</v>
      </c>
      <c r="AD843" s="4">
        <f>IFERROR(__xludf.DUMMYFUNCTION("""COMPUTED_VALUE"""),8.570448482)</f>
        <v>8.570448482</v>
      </c>
      <c r="AE843" s="5" t="str">
        <f>IFERROR(__xludf.DUMMYFUNCTION("""COMPUTED_VALUE"""),"https://drive.google.com/open?id=17tFLMgsSvxneSUeGHTflcaeB0ctPn94S")</f>
        <v>https://drive.google.com/open?id=17tFLMgsSvxneSUeGHTflcaeB0ctPn94S</v>
      </c>
      <c r="AF843" s="4"/>
      <c r="AG843" s="4"/>
      <c r="AH843" s="4"/>
      <c r="AI843" s="4"/>
      <c r="AL843" s="4" t="str">
        <f t="shared" si="1"/>
        <v>Cluster 1</v>
      </c>
      <c r="AM843" s="4" t="str">
        <f t="shared" si="2"/>
        <v>DR ABDU GREMA LINK</v>
      </c>
    </row>
    <row r="844">
      <c r="A844" s="3">
        <f>IFERROR(__xludf.DUMMYFUNCTION("""COMPUTED_VALUE"""),45845.79568135417)</f>
        <v>45845.79568</v>
      </c>
      <c r="B844" s="4" t="str">
        <f>IFERROR(__xludf.DUMMYFUNCTION("""COMPUTED_VALUE"""),"umrdalhatu@gmail.com")</f>
        <v>umrdalhatu@gmail.com</v>
      </c>
      <c r="C844" s="4" t="str">
        <f>IFERROR(__xludf.DUMMYFUNCTION("""COMPUTED_VALUE"""),"Umar Dalhatu")</f>
        <v>Umar Dalhatu</v>
      </c>
      <c r="D844" s="4"/>
      <c r="E844" s="4"/>
      <c r="F844" s="4"/>
      <c r="G844" s="4"/>
      <c r="H844" s="4"/>
      <c r="I844" s="4"/>
      <c r="J844" s="4" t="str">
        <f>IFERROR(__xludf.DUMMYFUNCTION("""COMPUTED_VALUE"""),"Cluster 20")</f>
        <v>Cluster 20</v>
      </c>
      <c r="K844" s="4"/>
      <c r="L844" s="4"/>
      <c r="M844" s="4"/>
      <c r="N844" s="4"/>
      <c r="O844" s="4" t="str">
        <f>IFERROR(__xludf.DUMMYFUNCTION("""COMPUTED_VALUE"""),"HOTORO TINSHAMA ROAD")</f>
        <v>HOTORO TINSHAMA ROAD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>
        <f>IFERROR(__xludf.DUMMYFUNCTION("""COMPUTED_VALUE"""),2.0)</f>
        <v>2</v>
      </c>
      <c r="AC844" s="4">
        <f>IFERROR(__xludf.DUMMYFUNCTION("""COMPUTED_VALUE"""),11.9829815)</f>
        <v>11.9829815</v>
      </c>
      <c r="AD844" s="4">
        <f>IFERROR(__xludf.DUMMYFUNCTION("""COMPUTED_VALUE"""),8.578761382)</f>
        <v>8.578761382</v>
      </c>
      <c r="AE844" s="5" t="str">
        <f>IFERROR(__xludf.DUMMYFUNCTION("""COMPUTED_VALUE"""),"https://drive.google.com/open?id=1gO4VMOZUEkP0rc6GBqM5CMOcPvo1js9Q")</f>
        <v>https://drive.google.com/open?id=1gO4VMOZUEkP0rc6GBqM5CMOcPvo1js9Q</v>
      </c>
      <c r="AF844" s="4"/>
      <c r="AG844" s="4"/>
      <c r="AH844" s="4"/>
      <c r="AI844" s="4"/>
      <c r="AL844" s="4" t="str">
        <f t="shared" si="1"/>
        <v>Cluster 20</v>
      </c>
      <c r="AM844" s="4" t="str">
        <f t="shared" si="2"/>
        <v>HOTORO TINSHAMA ROADADAKAWA LINK</v>
      </c>
    </row>
    <row r="845">
      <c r="A845" s="3">
        <f>IFERROR(__xludf.DUMMYFUNCTION("""COMPUTED_VALUE"""),45845.794685162036)</f>
        <v>45845.79469</v>
      </c>
      <c r="B845" s="4" t="str">
        <f>IFERROR(__xludf.DUMMYFUNCTION("""COMPUTED_VALUE"""),"umrdalhatu@gmail.com")</f>
        <v>umrdalhatu@gmail.com</v>
      </c>
      <c r="C845" s="4" t="str">
        <f>IFERROR(__xludf.DUMMYFUNCTION("""COMPUTED_VALUE"""),"Umar Dalhatu")</f>
        <v>Umar Dalhatu</v>
      </c>
      <c r="D845" s="4"/>
      <c r="E845" s="4"/>
      <c r="F845" s="4"/>
      <c r="G845" s="4"/>
      <c r="H845" s="4"/>
      <c r="I845" s="4"/>
      <c r="J845" s="4" t="str">
        <f>IFERROR(__xludf.DUMMYFUNCTION("""COMPUTED_VALUE"""),"Cluster 20")</f>
        <v>Cluster 20</v>
      </c>
      <c r="K845" s="4"/>
      <c r="L845" s="4"/>
      <c r="M845" s="4"/>
      <c r="N845" s="4"/>
      <c r="O845" s="4" t="str">
        <f>IFERROR(__xludf.DUMMYFUNCTION("""COMPUTED_VALUE"""),"HOTORO TINSHAMA ROAD")</f>
        <v>HOTORO TINSHAMA ROAD</v>
      </c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>
        <f>IFERROR(__xludf.DUMMYFUNCTION("""COMPUTED_VALUE"""),1.0)</f>
        <v>1</v>
      </c>
      <c r="AC845" s="4">
        <f>IFERROR(__xludf.DUMMYFUNCTION("""COMPUTED_VALUE"""),11.98813639)</f>
        <v>11.98813639</v>
      </c>
      <c r="AD845" s="4">
        <f>IFERROR(__xludf.DUMMYFUNCTION("""COMPUTED_VALUE"""),8.584792179)</f>
        <v>8.584792179</v>
      </c>
      <c r="AE845" s="5" t="str">
        <f>IFERROR(__xludf.DUMMYFUNCTION("""COMPUTED_VALUE"""),"https://drive.google.com/open?id=1eQFgZ3X0NczH776fnfaqXIRXCNKIk4yj")</f>
        <v>https://drive.google.com/open?id=1eQFgZ3X0NczH776fnfaqXIRXCNKIk4yj</v>
      </c>
      <c r="AF845" s="4"/>
      <c r="AG845" s="4"/>
      <c r="AH845" s="4"/>
      <c r="AI845" s="4"/>
      <c r="AL845" s="4" t="str">
        <f t="shared" si="1"/>
        <v>Cluster 20</v>
      </c>
      <c r="AM845" s="4" t="str">
        <f t="shared" si="2"/>
        <v>HOTORO TINSHAMA ROAD</v>
      </c>
    </row>
    <row r="846">
      <c r="A846" s="3">
        <f>IFERROR(__xludf.DUMMYFUNCTION("""COMPUTED_VALUE"""),45845.793608935186)</f>
        <v>45845.79361</v>
      </c>
      <c r="B846" s="4" t="str">
        <f>IFERROR(__xludf.DUMMYFUNCTION("""COMPUTED_VALUE"""),"umrdalhatu@gmail.com")</f>
        <v>umrdalhatu@gmail.com</v>
      </c>
      <c r="C846" s="4" t="str">
        <f>IFERROR(__xludf.DUMMYFUNCTION("""COMPUTED_VALUE"""),"Umar Dalhatu")</f>
        <v>Umar Dalhatu</v>
      </c>
      <c r="D846" s="4"/>
      <c r="E846" s="4"/>
      <c r="F846" s="4"/>
      <c r="G846" s="4"/>
      <c r="H846" s="4"/>
      <c r="I846" s="4"/>
      <c r="J846" s="4" t="str">
        <f>IFERROR(__xludf.DUMMYFUNCTION("""COMPUTED_VALUE"""),"Cluster 20")</f>
        <v>Cluster 20</v>
      </c>
      <c r="K846" s="4"/>
      <c r="L846" s="4"/>
      <c r="M846" s="4"/>
      <c r="N846" s="4"/>
      <c r="O846" s="4" t="str">
        <f>IFERROR(__xludf.DUMMYFUNCTION("""COMPUTED_VALUE"""),"HIGH TENSION LINE")</f>
        <v>HIGH TENSION LINE</v>
      </c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>
        <f>IFERROR(__xludf.DUMMYFUNCTION("""COMPUTED_VALUE"""),2.0)</f>
        <v>2</v>
      </c>
      <c r="AC846" s="4">
        <f>IFERROR(__xludf.DUMMYFUNCTION("""COMPUTED_VALUE"""),11.98573844)</f>
        <v>11.98573844</v>
      </c>
      <c r="AD846" s="4">
        <f>IFERROR(__xludf.DUMMYFUNCTION("""COMPUTED_VALUE"""),8.583746399)</f>
        <v>8.583746399</v>
      </c>
      <c r="AE846" s="5" t="str">
        <f>IFERROR(__xludf.DUMMYFUNCTION("""COMPUTED_VALUE"""),"https://drive.google.com/open?id=1dZyJXi3fyIVtKhmJQZat2ZB8Cuo_1DeG")</f>
        <v>https://drive.google.com/open?id=1dZyJXi3fyIVtKhmJQZat2ZB8Cuo_1DeG</v>
      </c>
      <c r="AF846" s="4"/>
      <c r="AG846" s="4"/>
      <c r="AH846" s="4"/>
      <c r="AI846" s="4"/>
      <c r="AL846" s="4" t="str">
        <f t="shared" si="1"/>
        <v>Cluster 20</v>
      </c>
      <c r="AM846" s="4" t="str">
        <f t="shared" si="2"/>
        <v>HIGH TENSION LINE</v>
      </c>
    </row>
    <row r="847">
      <c r="A847" s="3">
        <f>IFERROR(__xludf.DUMMYFUNCTION("""COMPUTED_VALUE"""),45845.788795960645)</f>
        <v>45845.7888</v>
      </c>
      <c r="B847" s="4" t="str">
        <f>IFERROR(__xludf.DUMMYFUNCTION("""COMPUTED_VALUE"""),"umrdalhatu@gmail.com")</f>
        <v>umrdalhatu@gmail.com</v>
      </c>
      <c r="C847" s="4" t="str">
        <f>IFERROR(__xludf.DUMMYFUNCTION("""COMPUTED_VALUE"""),"Umar Dalhatu")</f>
        <v>Umar Dalhatu</v>
      </c>
      <c r="D847" s="4"/>
      <c r="E847" s="4"/>
      <c r="F847" s="4"/>
      <c r="G847" s="4"/>
      <c r="H847" s="4"/>
      <c r="I847" s="4"/>
      <c r="J847" s="4" t="str">
        <f>IFERROR(__xludf.DUMMYFUNCTION("""COMPUTED_VALUE"""),"Cluster 20")</f>
        <v>Cluster 20</v>
      </c>
      <c r="K847" s="4"/>
      <c r="L847" s="4"/>
      <c r="M847" s="4"/>
      <c r="N847" s="4"/>
      <c r="O847" s="4" t="str">
        <f>IFERROR(__xludf.DUMMYFUNCTION("""COMPUTED_VALUE"""),"HIGH TENSION LINE")</f>
        <v>HIGH TENSION LINE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>
        <f>IFERROR(__xludf.DUMMYFUNCTION("""COMPUTED_VALUE"""),1.0)</f>
        <v>1</v>
      </c>
      <c r="AC847" s="4">
        <f>IFERROR(__xludf.DUMMYFUNCTION("""COMPUTED_VALUE"""),11.98359918)</f>
        <v>11.98359918</v>
      </c>
      <c r="AD847" s="4">
        <f>IFERROR(__xludf.DUMMYFUNCTION("""COMPUTED_VALUE"""),8.582608444)</f>
        <v>8.582608444</v>
      </c>
      <c r="AE847" s="5" t="str">
        <f>IFERROR(__xludf.DUMMYFUNCTION("""COMPUTED_VALUE"""),"https://drive.google.com/open?id=1MskHqZjXzs3XvCqk1yxnzGd_zSdIyS3d")</f>
        <v>https://drive.google.com/open?id=1MskHqZjXzs3XvCqk1yxnzGd_zSdIyS3d</v>
      </c>
      <c r="AF847" s="4"/>
      <c r="AG847" s="4"/>
      <c r="AH847" s="4"/>
      <c r="AI847" s="4"/>
      <c r="AL847" s="4" t="str">
        <f t="shared" si="1"/>
        <v>Cluster 20</v>
      </c>
      <c r="AM847" s="4" t="str">
        <f t="shared" si="2"/>
        <v>HIGH TENSION LINEASMA'U LINK</v>
      </c>
    </row>
    <row r="848">
      <c r="A848" s="3">
        <f>IFERROR(__xludf.DUMMYFUNCTION("""COMPUTED_VALUE"""),45844.99505564815)</f>
        <v>45844.99506</v>
      </c>
      <c r="B848" s="4" t="str">
        <f>IFERROR(__xludf.DUMMYFUNCTION("""COMPUTED_VALUE"""),"umrdalhatu@gmail.com")</f>
        <v>umrdalhatu@gmail.com</v>
      </c>
      <c r="C848" s="4" t="str">
        <f>IFERROR(__xludf.DUMMYFUNCTION("""COMPUTED_VALUE"""),"Umar Dalhatu")</f>
        <v>Umar Dalhatu</v>
      </c>
      <c r="D848" s="4"/>
      <c r="E848" s="4"/>
      <c r="F848" s="4"/>
      <c r="G848" s="4"/>
      <c r="H848" s="4"/>
      <c r="I848" s="4"/>
      <c r="J848" s="4" t="str">
        <f>IFERROR(__xludf.DUMMYFUNCTION("""COMPUTED_VALUE"""),"Cluster 10")</f>
        <v>Cluster 10</v>
      </c>
      <c r="K848" s="4"/>
      <c r="L848" s="4"/>
      <c r="M848" s="4" t="str">
        <f>IFERROR(__xludf.DUMMYFUNCTION("""COMPUTED_VALUE"""),"AYUBA MAI MAI STREET")</f>
        <v>AYUBA MAI MAI STREET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>
        <f>IFERROR(__xludf.DUMMYFUNCTION("""COMPUTED_VALUE"""),2.0)</f>
        <v>2</v>
      </c>
      <c r="AC848" s="4">
        <f>IFERROR(__xludf.DUMMYFUNCTION("""COMPUTED_VALUE"""),11.98080355)</f>
        <v>11.98080355</v>
      </c>
      <c r="AD848" s="4">
        <f>IFERROR(__xludf.DUMMYFUNCTION("""COMPUTED_VALUE"""),8.578230519)</f>
        <v>8.578230519</v>
      </c>
      <c r="AE848" s="5" t="str">
        <f>IFERROR(__xludf.DUMMYFUNCTION("""COMPUTED_VALUE"""),"https://drive.google.com/open?id=1mLIwzl9YZ6_fYyz5ZVE1D_ZyF_e03hnF")</f>
        <v>https://drive.google.com/open?id=1mLIwzl9YZ6_fYyz5ZVE1D_ZyF_e03hnF</v>
      </c>
      <c r="AF848" s="4"/>
      <c r="AG848" s="4"/>
      <c r="AH848" s="4"/>
      <c r="AI848" s="4"/>
      <c r="AL848" s="4" t="str">
        <f t="shared" si="1"/>
        <v>Cluster 10</v>
      </c>
      <c r="AM848" s="4" t="str">
        <f t="shared" si="2"/>
        <v>AYUBA MAI MAI STREET</v>
      </c>
    </row>
    <row r="849">
      <c r="A849" s="3">
        <f>IFERROR(__xludf.DUMMYFUNCTION("""COMPUTED_VALUE"""),45844.993964340276)</f>
        <v>45844.99396</v>
      </c>
      <c r="B849" s="4" t="str">
        <f>IFERROR(__xludf.DUMMYFUNCTION("""COMPUTED_VALUE"""),"umrdalhatu@gmail.com")</f>
        <v>umrdalhatu@gmail.com</v>
      </c>
      <c r="C849" s="4" t="str">
        <f>IFERROR(__xludf.DUMMYFUNCTION("""COMPUTED_VALUE"""),"Umar Dalhatu")</f>
        <v>Umar Dalhatu</v>
      </c>
      <c r="D849" s="4"/>
      <c r="E849" s="4"/>
      <c r="F849" s="4"/>
      <c r="G849" s="4"/>
      <c r="H849" s="4"/>
      <c r="I849" s="4"/>
      <c r="J849" s="4" t="str">
        <f>IFERROR(__xludf.DUMMYFUNCTION("""COMPUTED_VALUE"""),"Cluster 10")</f>
        <v>Cluster 10</v>
      </c>
      <c r="K849" s="4"/>
      <c r="L849" s="4"/>
      <c r="M849" s="4" t="str">
        <f>IFERROR(__xludf.DUMMYFUNCTION("""COMPUTED_VALUE"""),"AYUBA MAI MAI STREET")</f>
        <v>AYUBA MAI MAI STREET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>
        <f>IFERROR(__xludf.DUMMYFUNCTION("""COMPUTED_VALUE"""),1.0)</f>
        <v>1</v>
      </c>
      <c r="AC849" s="4">
        <f>IFERROR(__xludf.DUMMYFUNCTION("""COMPUTED_VALUE"""),11.98247)</f>
        <v>11.98247</v>
      </c>
      <c r="AD849" s="4">
        <f>IFERROR(__xludf.DUMMYFUNCTION("""COMPUTED_VALUE"""),8.576927)</f>
        <v>8.576927</v>
      </c>
      <c r="AE849" s="5" t="str">
        <f>IFERROR(__xludf.DUMMYFUNCTION("""COMPUTED_VALUE"""),"https://drive.google.com/open?id=1fWluReGUM6a8wZZXPaJj032BVoc7-NqV")</f>
        <v>https://drive.google.com/open?id=1fWluReGUM6a8wZZXPaJj032BVoc7-NqV</v>
      </c>
      <c r="AF849" s="4"/>
      <c r="AG849" s="4"/>
      <c r="AH849" s="4"/>
      <c r="AI849" s="4"/>
      <c r="AL849" s="4" t="str">
        <f t="shared" si="1"/>
        <v>Cluster 10</v>
      </c>
      <c r="AM849" s="4" t="str">
        <f t="shared" si="2"/>
        <v>AYUBA MAI MAI STREET</v>
      </c>
    </row>
    <row r="850">
      <c r="A850" s="3">
        <f>IFERROR(__xludf.DUMMYFUNCTION("""COMPUTED_VALUE"""),45844.99106951389)</f>
        <v>45844.99107</v>
      </c>
      <c r="B850" s="4" t="str">
        <f>IFERROR(__xludf.DUMMYFUNCTION("""COMPUTED_VALUE"""),"umrdalhatu@gmail.com")</f>
        <v>umrdalhatu@gmail.com</v>
      </c>
      <c r="C850" s="4" t="str">
        <f>IFERROR(__xludf.DUMMYFUNCTION("""COMPUTED_VALUE"""),"Umar Dalhatu")</f>
        <v>Umar Dalhatu</v>
      </c>
      <c r="D850" s="4"/>
      <c r="E850" s="4"/>
      <c r="F850" s="4"/>
      <c r="G850" s="4"/>
      <c r="H850" s="4"/>
      <c r="I850" s="4"/>
      <c r="J850" s="4" t="str">
        <f>IFERROR(__xludf.DUMMYFUNCTION("""COMPUTED_VALUE"""),"Cluster 10")</f>
        <v>Cluster 10</v>
      </c>
      <c r="K850" s="4"/>
      <c r="L850" s="4"/>
      <c r="M850" s="4" t="str">
        <f>IFERROR(__xludf.DUMMYFUNCTION("""COMPUTED_VALUE"""),"KWANYAWA STREET")</f>
        <v>KWANYAWA STREET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>
        <f>IFERROR(__xludf.DUMMYFUNCTION("""COMPUTED_VALUE"""),2.0)</f>
        <v>2</v>
      </c>
      <c r="AC850" s="4">
        <f>IFERROR(__xludf.DUMMYFUNCTION("""COMPUTED_VALUE"""),11.98083725)</f>
        <v>11.98083725</v>
      </c>
      <c r="AD850" s="4">
        <f>IFERROR(__xludf.DUMMYFUNCTION("""COMPUTED_VALUE"""),8.576637473)</f>
        <v>8.576637473</v>
      </c>
      <c r="AE850" s="5" t="str">
        <f>IFERROR(__xludf.DUMMYFUNCTION("""COMPUTED_VALUE"""),"https://drive.google.com/open?id=1vNXrtx-xluqHxISl9uFHm69wZAqKOxMV")</f>
        <v>https://drive.google.com/open?id=1vNXrtx-xluqHxISl9uFHm69wZAqKOxMV</v>
      </c>
      <c r="AF850" s="4"/>
      <c r="AG850" s="4"/>
      <c r="AH850" s="4"/>
      <c r="AI850" s="4"/>
      <c r="AL850" s="4" t="str">
        <f t="shared" si="1"/>
        <v>Cluster 10</v>
      </c>
      <c r="AM850" s="4" t="str">
        <f t="shared" si="2"/>
        <v>KWANYAWA STREET</v>
      </c>
    </row>
    <row r="851">
      <c r="A851" s="3">
        <f>IFERROR(__xludf.DUMMYFUNCTION("""COMPUTED_VALUE"""),45844.989584537034)</f>
        <v>45844.98958</v>
      </c>
      <c r="B851" s="4" t="str">
        <f>IFERROR(__xludf.DUMMYFUNCTION("""COMPUTED_VALUE"""),"umrdalhatu@gmail.com")</f>
        <v>umrdalhatu@gmail.com</v>
      </c>
      <c r="C851" s="4" t="str">
        <f>IFERROR(__xludf.DUMMYFUNCTION("""COMPUTED_VALUE"""),"Umar Dalhatu")</f>
        <v>Umar Dalhatu</v>
      </c>
      <c r="D851" s="4"/>
      <c r="E851" s="4"/>
      <c r="F851" s="4"/>
      <c r="G851" s="4"/>
      <c r="H851" s="4"/>
      <c r="I851" s="4"/>
      <c r="J851" s="4" t="str">
        <f>IFERROR(__xludf.DUMMYFUNCTION("""COMPUTED_VALUE"""),"Cluster 10")</f>
        <v>Cluster 10</v>
      </c>
      <c r="K851" s="4"/>
      <c r="L851" s="4"/>
      <c r="M851" s="4" t="str">
        <f>IFERROR(__xludf.DUMMYFUNCTION("""COMPUTED_VALUE"""),"KWANYAWA STREET")</f>
        <v>KWANYAWA STREET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>
        <f>IFERROR(__xludf.DUMMYFUNCTION("""COMPUTED_VALUE"""),1.0)</f>
        <v>1</v>
      </c>
      <c r="AC851" s="4">
        <f>IFERROR(__xludf.DUMMYFUNCTION("""COMPUTED_VALUE"""),11.98164142)</f>
        <v>11.98164142</v>
      </c>
      <c r="AD851" s="4">
        <f>IFERROR(__xludf.DUMMYFUNCTION("""COMPUTED_VALUE"""),8.574736837)</f>
        <v>8.574736837</v>
      </c>
      <c r="AE851" s="5" t="str">
        <f>IFERROR(__xludf.DUMMYFUNCTION("""COMPUTED_VALUE"""),"https://drive.google.com/open?id=1d7YDjmwgwVCOgX8sAb0kbNXetpL_q3-u")</f>
        <v>https://drive.google.com/open?id=1d7YDjmwgwVCOgX8sAb0kbNXetpL_q3-u</v>
      </c>
      <c r="AF851" s="4"/>
      <c r="AG851" s="4"/>
      <c r="AH851" s="4"/>
      <c r="AI851" s="4"/>
      <c r="AL851" s="4" t="str">
        <f t="shared" si="1"/>
        <v>Cluster 10</v>
      </c>
      <c r="AM851" s="4" t="str">
        <f t="shared" si="2"/>
        <v>KWANYAWA STREET</v>
      </c>
    </row>
    <row r="852">
      <c r="A852" s="3">
        <f>IFERROR(__xludf.DUMMYFUNCTION("""COMPUTED_VALUE"""),45844.98775475695)</f>
        <v>45844.98775</v>
      </c>
      <c r="B852" s="4" t="str">
        <f>IFERROR(__xludf.DUMMYFUNCTION("""COMPUTED_VALUE"""),"umrdalhatu@gmail.com")</f>
        <v>umrdalhatu@gmail.com</v>
      </c>
      <c r="C852" s="4" t="str">
        <f>IFERROR(__xludf.DUMMYFUNCTION("""COMPUTED_VALUE"""),"Umar Dalhatu")</f>
        <v>Umar Dalhatu</v>
      </c>
      <c r="D852" s="4"/>
      <c r="E852" s="4"/>
      <c r="F852" s="4"/>
      <c r="G852" s="4"/>
      <c r="H852" s="4"/>
      <c r="I852" s="4"/>
      <c r="J852" s="4" t="str">
        <f>IFERROR(__xludf.DUMMYFUNCTION("""COMPUTED_VALUE"""),"Cluster 10")</f>
        <v>Cluster 10</v>
      </c>
      <c r="K852" s="4"/>
      <c r="L852" s="4"/>
      <c r="M852" s="4" t="str">
        <f>IFERROR(__xludf.DUMMYFUNCTION("""COMPUTED_VALUE"""),"AUDU SAYE STREET")</f>
        <v>AUDU SAYE STREET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>
        <f>IFERROR(__xludf.DUMMYFUNCTION("""COMPUTED_VALUE"""),2.0)</f>
        <v>2</v>
      </c>
      <c r="AC852" s="4">
        <f>IFERROR(__xludf.DUMMYFUNCTION("""COMPUTED_VALUE"""),11.97544946)</f>
        <v>11.97544946</v>
      </c>
      <c r="AD852" s="4">
        <f>IFERROR(__xludf.DUMMYFUNCTION("""COMPUTED_VALUE"""),8.574808166)</f>
        <v>8.574808166</v>
      </c>
      <c r="AE852" s="5" t="str">
        <f>IFERROR(__xludf.DUMMYFUNCTION("""COMPUTED_VALUE"""),"https://drive.google.com/open?id=1Rah_orGRvz5hMjt0vAaQFSTmJ3RGNyO5")</f>
        <v>https://drive.google.com/open?id=1Rah_orGRvz5hMjt0vAaQFSTmJ3RGNyO5</v>
      </c>
      <c r="AF852" s="4"/>
      <c r="AG852" s="4"/>
      <c r="AH852" s="4"/>
      <c r="AI852" s="4"/>
      <c r="AL852" s="4" t="str">
        <f t="shared" si="1"/>
        <v>Cluster 10</v>
      </c>
      <c r="AM852" s="4" t="str">
        <f t="shared" si="2"/>
        <v>AUDU SAYE STREET</v>
      </c>
    </row>
    <row r="853">
      <c r="A853" s="3">
        <f>IFERROR(__xludf.DUMMYFUNCTION("""COMPUTED_VALUE"""),45844.98669233796)</f>
        <v>45844.98669</v>
      </c>
      <c r="B853" s="4" t="str">
        <f>IFERROR(__xludf.DUMMYFUNCTION("""COMPUTED_VALUE"""),"umrdalhatu@gmail.com")</f>
        <v>umrdalhatu@gmail.com</v>
      </c>
      <c r="C853" s="4" t="str">
        <f>IFERROR(__xludf.DUMMYFUNCTION("""COMPUTED_VALUE"""),"Umar Dalhatu")</f>
        <v>Umar Dalhatu</v>
      </c>
      <c r="D853" s="4"/>
      <c r="E853" s="4"/>
      <c r="F853" s="4"/>
      <c r="G853" s="4"/>
      <c r="H853" s="4"/>
      <c r="I853" s="4"/>
      <c r="J853" s="4" t="str">
        <f>IFERROR(__xludf.DUMMYFUNCTION("""COMPUTED_VALUE"""),"Cluster 10")</f>
        <v>Cluster 10</v>
      </c>
      <c r="K853" s="4"/>
      <c r="L853" s="4"/>
      <c r="M853" s="4" t="str">
        <f>IFERROR(__xludf.DUMMYFUNCTION("""COMPUTED_VALUE"""),"AUDU SAYE STREET")</f>
        <v>AUDU SAYE STREET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>
        <f>IFERROR(__xludf.DUMMYFUNCTION("""COMPUTED_VALUE"""),1.0)</f>
        <v>1</v>
      </c>
      <c r="AC853" s="4">
        <f>IFERROR(__xludf.DUMMYFUNCTION("""COMPUTED_VALUE"""),11.97620852)</f>
        <v>11.97620852</v>
      </c>
      <c r="AD853" s="4">
        <f>IFERROR(__xludf.DUMMYFUNCTION("""COMPUTED_VALUE"""),8.577720738)</f>
        <v>8.577720738</v>
      </c>
      <c r="AE853" s="5" t="str">
        <f>IFERROR(__xludf.DUMMYFUNCTION("""COMPUTED_VALUE"""),"https://drive.google.com/open?id=1E5tfhkr9pZBYooqUQQy8UhvymaMIEns1")</f>
        <v>https://drive.google.com/open?id=1E5tfhkr9pZBYooqUQQy8UhvymaMIEns1</v>
      </c>
      <c r="AF853" s="4"/>
      <c r="AG853" s="4"/>
      <c r="AH853" s="4"/>
      <c r="AI853" s="4"/>
      <c r="AL853" s="4" t="str">
        <f t="shared" si="1"/>
        <v>Cluster 10</v>
      </c>
      <c r="AM853" s="4" t="str">
        <f t="shared" si="2"/>
        <v>AUDU SAYE STREET</v>
      </c>
    </row>
    <row r="854">
      <c r="A854" s="3">
        <f>IFERROR(__xludf.DUMMYFUNCTION("""COMPUTED_VALUE"""),45844.985174409725)</f>
        <v>45844.98517</v>
      </c>
      <c r="B854" s="4" t="str">
        <f>IFERROR(__xludf.DUMMYFUNCTION("""COMPUTED_VALUE"""),"umrdalhatu@gmail.com")</f>
        <v>umrdalhatu@gmail.com</v>
      </c>
      <c r="C854" s="4" t="str">
        <f>IFERROR(__xludf.DUMMYFUNCTION("""COMPUTED_VALUE"""),"Umar Dalhatu")</f>
        <v>Umar Dalhatu</v>
      </c>
      <c r="D854" s="4"/>
      <c r="E854" s="4"/>
      <c r="F854" s="4"/>
      <c r="G854" s="4"/>
      <c r="H854" s="4"/>
      <c r="I854" s="4"/>
      <c r="J854" s="4" t="str">
        <f>IFERROR(__xludf.DUMMYFUNCTION("""COMPUTED_VALUE"""),"Cluster 10")</f>
        <v>Cluster 10</v>
      </c>
      <c r="K854" s="4"/>
      <c r="L854" s="4"/>
      <c r="M854" s="4" t="str">
        <f>IFERROR(__xludf.DUMMYFUNCTION("""COMPUTED_VALUE"""),"AUYO STREET")</f>
        <v>AUYO STREET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>
        <f>IFERROR(__xludf.DUMMYFUNCTION("""COMPUTED_VALUE"""),2.0)</f>
        <v>2</v>
      </c>
      <c r="AC854" s="4">
        <f>IFERROR(__xludf.DUMMYFUNCTION("""COMPUTED_VALUE"""),11.97620852)</f>
        <v>11.97620852</v>
      </c>
      <c r="AD854" s="4">
        <f>IFERROR(__xludf.DUMMYFUNCTION("""COMPUTED_VALUE"""),8.577720738)</f>
        <v>8.577720738</v>
      </c>
      <c r="AE854" s="5" t="str">
        <f>IFERROR(__xludf.DUMMYFUNCTION("""COMPUTED_VALUE"""),"https://drive.google.com/open?id=1Ay02XTCfczMMFsknjOwr5UbrgziyAS9K")</f>
        <v>https://drive.google.com/open?id=1Ay02XTCfczMMFsknjOwr5UbrgziyAS9K</v>
      </c>
      <c r="AF854" s="4"/>
      <c r="AG854" s="4"/>
      <c r="AH854" s="4"/>
      <c r="AI854" s="4"/>
      <c r="AL854" s="4" t="str">
        <f t="shared" si="1"/>
        <v>Cluster 10</v>
      </c>
      <c r="AM854" s="4" t="str">
        <f t="shared" si="2"/>
        <v>AUYO STREET</v>
      </c>
    </row>
    <row r="855">
      <c r="A855" s="3">
        <f>IFERROR(__xludf.DUMMYFUNCTION("""COMPUTED_VALUE"""),45844.98418342593)</f>
        <v>45844.98418</v>
      </c>
      <c r="B855" s="4" t="str">
        <f>IFERROR(__xludf.DUMMYFUNCTION("""COMPUTED_VALUE"""),"umrdalhatu@gmail.com")</f>
        <v>umrdalhatu@gmail.com</v>
      </c>
      <c r="C855" s="4" t="str">
        <f>IFERROR(__xludf.DUMMYFUNCTION("""COMPUTED_VALUE"""),"Umar Dalhatu")</f>
        <v>Umar Dalhatu</v>
      </c>
      <c r="D855" s="4"/>
      <c r="E855" s="4"/>
      <c r="F855" s="4"/>
      <c r="G855" s="4"/>
      <c r="H855" s="4"/>
      <c r="I855" s="4"/>
      <c r="J855" s="4" t="str">
        <f>IFERROR(__xludf.DUMMYFUNCTION("""COMPUTED_VALUE"""),"Cluster 10")</f>
        <v>Cluster 10</v>
      </c>
      <c r="K855" s="4"/>
      <c r="L855" s="4"/>
      <c r="M855" s="4" t="str">
        <f>IFERROR(__xludf.DUMMYFUNCTION("""COMPUTED_VALUE"""),"AUYO STREET")</f>
        <v>AUYO STREET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>
        <f>IFERROR(__xludf.DUMMYFUNCTION("""COMPUTED_VALUE"""),1.0)</f>
        <v>1</v>
      </c>
      <c r="AC855" s="4">
        <f>IFERROR(__xludf.DUMMYFUNCTION("""COMPUTED_VALUE"""),11.9772418)</f>
        <v>11.9772418</v>
      </c>
      <c r="AD855" s="4">
        <f>IFERROR(__xludf.DUMMYFUNCTION("""COMPUTED_VALUE"""),8.577316331)</f>
        <v>8.577316331</v>
      </c>
      <c r="AE855" s="5" t="str">
        <f>IFERROR(__xludf.DUMMYFUNCTION("""COMPUTED_VALUE"""),"https://drive.google.com/open?id=1CWXsNWQpkq9_2oPpa4f36Pkdj_SzleSs")</f>
        <v>https://drive.google.com/open?id=1CWXsNWQpkq9_2oPpa4f36Pkdj_SzleSs</v>
      </c>
      <c r="AF855" s="4"/>
      <c r="AG855" s="4"/>
      <c r="AH855" s="4"/>
      <c r="AI855" s="4"/>
      <c r="AL855" s="4" t="str">
        <f t="shared" si="1"/>
        <v>Cluster 10</v>
      </c>
      <c r="AM855" s="4" t="str">
        <f t="shared" si="2"/>
        <v>AUYO STREET</v>
      </c>
    </row>
    <row r="856">
      <c r="A856" s="3">
        <f>IFERROR(__xludf.DUMMYFUNCTION("""COMPUTED_VALUE"""),45844.98293462963)</f>
        <v>45844.98293</v>
      </c>
      <c r="B856" s="4" t="str">
        <f>IFERROR(__xludf.DUMMYFUNCTION("""COMPUTED_VALUE"""),"umrdalhatu@gmail.com")</f>
        <v>umrdalhatu@gmail.com</v>
      </c>
      <c r="C856" s="4" t="str">
        <f>IFERROR(__xludf.DUMMYFUNCTION("""COMPUTED_VALUE"""),"Umar Dalhatu")</f>
        <v>Umar Dalhatu</v>
      </c>
      <c r="D856" s="4"/>
      <c r="E856" s="4"/>
      <c r="F856" s="4"/>
      <c r="G856" s="4"/>
      <c r="H856" s="4"/>
      <c r="I856" s="4"/>
      <c r="J856" s="4" t="str">
        <f>IFERROR(__xludf.DUMMYFUNCTION("""COMPUTED_VALUE"""),"Cluster 10")</f>
        <v>Cluster 10</v>
      </c>
      <c r="K856" s="4"/>
      <c r="L856" s="4"/>
      <c r="M856" s="4" t="str">
        <f>IFERROR(__xludf.DUMMYFUNCTION("""COMPUTED_VALUE"""),"GARBA KAZAURE STREET")</f>
        <v>GARBA KAZAURE STREET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>
        <f>IFERROR(__xludf.DUMMYFUNCTION("""COMPUTED_VALUE"""),1.0)</f>
        <v>1</v>
      </c>
      <c r="AC856" s="4">
        <f>IFERROR(__xludf.DUMMYFUNCTION("""COMPUTED_VALUE"""),11.97986742)</f>
        <v>11.97986742</v>
      </c>
      <c r="AD856" s="4">
        <f>IFERROR(__xludf.DUMMYFUNCTION("""COMPUTED_VALUE"""),8.574172234)</f>
        <v>8.574172234</v>
      </c>
      <c r="AE856" s="5" t="str">
        <f>IFERROR(__xludf.DUMMYFUNCTION("""COMPUTED_VALUE"""),"https://drive.google.com/open?id=1-cvgE5IdwkONIY72CzufYPwyrRYLUH7U")</f>
        <v>https://drive.google.com/open?id=1-cvgE5IdwkONIY72CzufYPwyrRYLUH7U</v>
      </c>
      <c r="AF856" s="4"/>
      <c r="AG856" s="4"/>
      <c r="AH856" s="4"/>
      <c r="AI856" s="4"/>
      <c r="AL856" s="4" t="str">
        <f t="shared" si="1"/>
        <v>Cluster 10</v>
      </c>
      <c r="AM856" s="4" t="str">
        <f t="shared" si="2"/>
        <v>GARBA KAZAURE STREET</v>
      </c>
    </row>
    <row r="857">
      <c r="A857" s="3">
        <f>IFERROR(__xludf.DUMMYFUNCTION("""COMPUTED_VALUE"""),45844.98119986111)</f>
        <v>45844.9812</v>
      </c>
      <c r="B857" s="4" t="str">
        <f>IFERROR(__xludf.DUMMYFUNCTION("""COMPUTED_VALUE"""),"umrdalhatu@gmail.com")</f>
        <v>umrdalhatu@gmail.com</v>
      </c>
      <c r="C857" s="4" t="str">
        <f>IFERROR(__xludf.DUMMYFUNCTION("""COMPUTED_VALUE"""),"Umar Dalhatu")</f>
        <v>Umar Dalhatu</v>
      </c>
      <c r="D857" s="4"/>
      <c r="E857" s="4"/>
      <c r="F857" s="4"/>
      <c r="G857" s="4"/>
      <c r="H857" s="4"/>
      <c r="I857" s="4"/>
      <c r="J857" s="4" t="str">
        <f>IFERROR(__xludf.DUMMYFUNCTION("""COMPUTED_VALUE"""),"Cluster 10")</f>
        <v>Cluster 10</v>
      </c>
      <c r="K857" s="4"/>
      <c r="L857" s="4"/>
      <c r="M857" s="4" t="str">
        <f>IFERROR(__xludf.DUMMYFUNCTION("""COMPUTED_VALUE"""),"GARBA KAZAURE STREET")</f>
        <v>GARBA KAZAURE STREET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>
        <f>IFERROR(__xludf.DUMMYFUNCTION("""COMPUTED_VALUE"""),2.0)</f>
        <v>2</v>
      </c>
      <c r="AC857" s="4">
        <f>IFERROR(__xludf.DUMMYFUNCTION("""COMPUTED_VALUE"""),11.98100479)</f>
        <v>11.98100479</v>
      </c>
      <c r="AD857" s="4">
        <f>IFERROR(__xludf.DUMMYFUNCTION("""COMPUTED_VALUE"""),8.573148892)</f>
        <v>8.573148892</v>
      </c>
      <c r="AE857" s="5" t="str">
        <f>IFERROR(__xludf.DUMMYFUNCTION("""COMPUTED_VALUE"""),"https://drive.google.com/open?id=11i_7HAqZU_cG32ObR-HFYA4MKx0ix-26")</f>
        <v>https://drive.google.com/open?id=11i_7HAqZU_cG32ObR-HFYA4MKx0ix-26</v>
      </c>
      <c r="AF857" s="4"/>
      <c r="AG857" s="4"/>
      <c r="AH857" s="4"/>
      <c r="AI857" s="4"/>
      <c r="AL857" s="4" t="str">
        <f t="shared" si="1"/>
        <v>Cluster 10</v>
      </c>
      <c r="AM857" s="4" t="str">
        <f t="shared" si="2"/>
        <v>GARBA KAZAURE STREET</v>
      </c>
    </row>
    <row r="858">
      <c r="A858" s="3">
        <f>IFERROR(__xludf.DUMMYFUNCTION("""COMPUTED_VALUE"""),45844.976936122686)</f>
        <v>45844.97694</v>
      </c>
      <c r="B858" s="4" t="str">
        <f>IFERROR(__xludf.DUMMYFUNCTION("""COMPUTED_VALUE"""),"umrdalhatu@gmail.com")</f>
        <v>umrdalhatu@gmail.com</v>
      </c>
      <c r="C858" s="4" t="str">
        <f>IFERROR(__xludf.DUMMYFUNCTION("""COMPUTED_VALUE"""),"Umar Dalhatu")</f>
        <v>Umar Dalhatu</v>
      </c>
      <c r="D858" s="4"/>
      <c r="E858" s="4"/>
      <c r="F858" s="4"/>
      <c r="G858" s="4"/>
      <c r="H858" s="4"/>
      <c r="I858" s="4"/>
      <c r="J858" s="4" t="str">
        <f>IFERROR(__xludf.DUMMYFUNCTION("""COMPUTED_VALUE"""),"Cluster 1")</f>
        <v>Cluster 1</v>
      </c>
      <c r="K858" s="4" t="str">
        <f>IFERROR(__xludf.DUMMYFUNCTION("""COMPUTED_VALUE"""),"UMAR IDRIS ILLO STREET")</f>
        <v>UMAR IDRIS ILLO STREET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>
        <f>IFERROR(__xludf.DUMMYFUNCTION("""COMPUTED_VALUE"""),2.0)</f>
        <v>2</v>
      </c>
      <c r="AC858" s="4">
        <f>IFERROR(__xludf.DUMMYFUNCTION("""COMPUTED_VALUE"""),11.99690254)</f>
        <v>11.99690254</v>
      </c>
      <c r="AD858" s="4">
        <f>IFERROR(__xludf.DUMMYFUNCTION("""COMPUTED_VALUE"""),8.570448482)</f>
        <v>8.570448482</v>
      </c>
      <c r="AE858" s="5" t="str">
        <f>IFERROR(__xludf.DUMMYFUNCTION("""COMPUTED_VALUE"""),"https://drive.google.com/open?id=1ThUhcgGi52O_bn2hVj4Gv5Uf_u_Md7gP")</f>
        <v>https://drive.google.com/open?id=1ThUhcgGi52O_bn2hVj4Gv5Uf_u_Md7gP</v>
      </c>
      <c r="AF858" s="4"/>
      <c r="AG858" s="4"/>
      <c r="AH858" s="4"/>
      <c r="AI858" s="4"/>
      <c r="AL858" s="4" t="str">
        <f t="shared" si="1"/>
        <v>Cluster 1</v>
      </c>
      <c r="AM858" s="4" t="str">
        <f t="shared" si="2"/>
        <v>UMAR IDRIS ILLO STREET</v>
      </c>
    </row>
    <row r="859">
      <c r="A859" s="3">
        <f>IFERROR(__xludf.DUMMYFUNCTION("""COMPUTED_VALUE"""),45844.97427148148)</f>
        <v>45844.97427</v>
      </c>
      <c r="B859" s="4" t="str">
        <f>IFERROR(__xludf.DUMMYFUNCTION("""COMPUTED_VALUE"""),"umrdalhatu@gmail.com")</f>
        <v>umrdalhatu@gmail.com</v>
      </c>
      <c r="C859" s="4" t="str">
        <f>IFERROR(__xludf.DUMMYFUNCTION("""COMPUTED_VALUE"""),"Umar Dalhatu")</f>
        <v>Umar Dalhatu</v>
      </c>
      <c r="D859" s="4"/>
      <c r="E859" s="4"/>
      <c r="F859" s="4"/>
      <c r="G859" s="4"/>
      <c r="H859" s="4"/>
      <c r="I859" s="4"/>
      <c r="J859" s="4" t="str">
        <f>IFERROR(__xludf.DUMMYFUNCTION("""COMPUTED_VALUE"""),"Cluster 1")</f>
        <v>Cluster 1</v>
      </c>
      <c r="K859" s="4" t="str">
        <f>IFERROR(__xludf.DUMMYFUNCTION("""COMPUTED_VALUE"""),"UMAR IDRIS ILLO STREET")</f>
        <v>UMAR IDRIS ILLO STREET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>
        <f>IFERROR(__xludf.DUMMYFUNCTION("""COMPUTED_VALUE"""),1.0)</f>
        <v>1</v>
      </c>
      <c r="AC859" s="4">
        <f>IFERROR(__xludf.DUMMYFUNCTION("""COMPUTED_VALUE"""),11.99688214)</f>
        <v>11.99688214</v>
      </c>
      <c r="AD859" s="4">
        <f>IFERROR(__xludf.DUMMYFUNCTION("""COMPUTED_VALUE"""),8.570981421)</f>
        <v>8.570981421</v>
      </c>
      <c r="AE859" s="5" t="str">
        <f>IFERROR(__xludf.DUMMYFUNCTION("""COMPUTED_VALUE"""),"https://drive.google.com/open?id=1jxj_fGxfc5QweKrLL1Fj0MFrZOZ43O7S")</f>
        <v>https://drive.google.com/open?id=1jxj_fGxfc5QweKrLL1Fj0MFrZOZ43O7S</v>
      </c>
      <c r="AF859" s="4"/>
      <c r="AG859" s="4"/>
      <c r="AH859" s="4"/>
      <c r="AI859" s="4"/>
      <c r="AL859" s="4" t="str">
        <f t="shared" si="1"/>
        <v>Cluster 1</v>
      </c>
      <c r="AM859" s="4" t="str">
        <f t="shared" si="2"/>
        <v>UMAR IDRIS ILLO STREET</v>
      </c>
    </row>
    <row r="860">
      <c r="A860" s="3">
        <f>IFERROR(__xludf.DUMMYFUNCTION("""COMPUTED_VALUE"""),45844.972126875)</f>
        <v>45844.97213</v>
      </c>
      <c r="B860" s="4" t="str">
        <f>IFERROR(__xludf.DUMMYFUNCTION("""COMPUTED_VALUE"""),"umrdalhatu@gmail.com")</f>
        <v>umrdalhatu@gmail.com</v>
      </c>
      <c r="C860" s="4" t="str">
        <f>IFERROR(__xludf.DUMMYFUNCTION("""COMPUTED_VALUE"""),"Umar Dalhatu")</f>
        <v>Umar Dalhatu</v>
      </c>
      <c r="D860" s="4"/>
      <c r="E860" s="4"/>
      <c r="F860" s="4"/>
      <c r="G860" s="4"/>
      <c r="H860" s="4"/>
      <c r="I860" s="4"/>
      <c r="J860" s="4" t="str">
        <f>IFERROR(__xludf.DUMMYFUNCTION("""COMPUTED_VALUE"""),"Cluster 1")</f>
        <v>Cluster 1</v>
      </c>
      <c r="K860" s="4" t="str">
        <f>IFERROR(__xludf.DUMMYFUNCTION("""COMPUTED_VALUE"""),"B.A ABDULLAHI LINK")</f>
        <v>B.A ABDULLAHI LINK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>
        <f>IFERROR(__xludf.DUMMYFUNCTION("""COMPUTED_VALUE"""),1.0)</f>
        <v>1</v>
      </c>
      <c r="AC860" s="4">
        <f>IFERROR(__xludf.DUMMYFUNCTION("""COMPUTED_VALUE"""),11.99574252)</f>
        <v>11.99574252</v>
      </c>
      <c r="AD860" s="4">
        <f>IFERROR(__xludf.DUMMYFUNCTION("""COMPUTED_VALUE"""),8.571568649)</f>
        <v>8.571568649</v>
      </c>
      <c r="AE860" s="5" t="str">
        <f>IFERROR(__xludf.DUMMYFUNCTION("""COMPUTED_VALUE"""),"https://drive.google.com/open?id=1qGDK3QmTtU5sNF0UjyVgxcRTyvyu0Tkn")</f>
        <v>https://drive.google.com/open?id=1qGDK3QmTtU5sNF0UjyVgxcRTyvyu0Tkn</v>
      </c>
      <c r="AF860" s="4"/>
      <c r="AG860" s="4"/>
      <c r="AH860" s="4"/>
      <c r="AI860" s="4"/>
      <c r="AL860" s="4" t="str">
        <f t="shared" si="1"/>
        <v>Cluster 1</v>
      </c>
      <c r="AM860" s="4" t="str">
        <f t="shared" si="2"/>
        <v>B.A ABDULLAHI LINK</v>
      </c>
    </row>
    <row r="861">
      <c r="A861" s="3">
        <f>IFERROR(__xludf.DUMMYFUNCTION("""COMPUTED_VALUE"""),45889.83230974537)</f>
        <v>45889.83231</v>
      </c>
      <c r="B861" s="4" t="str">
        <f>IFERROR(__xludf.DUMMYFUNCTION("""COMPUTED_VALUE"""),"ajisadiqdala@gmail.com")</f>
        <v>ajisadiqdala@gmail.com</v>
      </c>
      <c r="C861" s="4" t="str">
        <f>IFERROR(__xludf.DUMMYFUNCTION("""COMPUTED_VALUE"""),"Sadiq Dala")</f>
        <v>Sadiq Dala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 t="str">
        <f>IFERROR(__xludf.DUMMYFUNCTION("""COMPUTED_VALUE"""),"Cluster 15")</f>
        <v>Cluster 15</v>
      </c>
      <c r="W861" s="4"/>
      <c r="X861" s="4"/>
      <c r="Y861" s="4" t="str">
        <f>IFERROR(__xludf.DUMMYFUNCTION("""COMPUTED_VALUE"""),"LAYIN LAJAWA ROAD")</f>
        <v>LAYIN LAJAWA ROAD</v>
      </c>
      <c r="Z861" s="4"/>
      <c r="AA861" s="4"/>
      <c r="AB861" s="4" t="str">
        <f>IFERROR(__xludf.DUMMYFUNCTION("""COMPUTED_VALUE"""),"Point 2")</f>
        <v>Point 2</v>
      </c>
      <c r="AC861" s="4">
        <f>IFERROR(__xludf.DUMMYFUNCTION("""COMPUTED_VALUE"""),11.957726)</f>
        <v>11.957726</v>
      </c>
      <c r="AD861" s="4">
        <f>IFERROR(__xludf.DUMMYFUNCTION("""COMPUTED_VALUE"""),8.54176)</f>
        <v>8.54176</v>
      </c>
      <c r="AE861" s="5" t="str">
        <f>IFERROR(__xludf.DUMMYFUNCTION("""COMPUTED_VALUE"""),"https://drive.google.com/open?id=1xN0j461XaDJfa_aqvfmRn6HykLeqWKHs")</f>
        <v>https://drive.google.com/open?id=1xN0j461XaDJfa_aqvfmRn6HykLeqWKHs</v>
      </c>
      <c r="AF861" s="4"/>
      <c r="AG861" s="4"/>
      <c r="AH861" s="4"/>
      <c r="AI861" s="4"/>
      <c r="AL861" s="4" t="str">
        <f t="shared" si="1"/>
        <v>Cluster 15</v>
      </c>
      <c r="AM861" s="4" t="str">
        <f t="shared" si="2"/>
        <v>LAYIN LAJAWA ROAD</v>
      </c>
    </row>
    <row r="862">
      <c r="A862" s="3">
        <f>IFERROR(__xludf.DUMMYFUNCTION("""COMPUTED_VALUE"""),45889.83351740741)</f>
        <v>45889.83352</v>
      </c>
      <c r="B862" s="4" t="str">
        <f>IFERROR(__xludf.DUMMYFUNCTION("""COMPUTED_VALUE"""),"ajisadiqdala@gmail.com")</f>
        <v>ajisadiqdala@gmail.com</v>
      </c>
      <c r="C862" s="4" t="str">
        <f>IFERROR(__xludf.DUMMYFUNCTION("""COMPUTED_VALUE"""),"Sadiq Dala")</f>
        <v>Sadiq Dala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 t="str">
        <f>IFERROR(__xludf.DUMMYFUNCTION("""COMPUTED_VALUE"""),"Cluster 15")</f>
        <v>Cluster 15</v>
      </c>
      <c r="W862" s="4"/>
      <c r="X862" s="4"/>
      <c r="Y862" s="4" t="str">
        <f>IFERROR(__xludf.DUMMYFUNCTION("""COMPUTED_VALUE"""),"MUHAMMAD SHESHE STREET")</f>
        <v>MUHAMMAD SHESHE STREET</v>
      </c>
      <c r="Z862" s="4"/>
      <c r="AA862" s="4"/>
      <c r="AB862" s="4" t="str">
        <f>IFERROR(__xludf.DUMMYFUNCTION("""COMPUTED_VALUE"""),"Point 2")</f>
        <v>Point 2</v>
      </c>
      <c r="AC862" s="4">
        <f>IFERROR(__xludf.DUMMYFUNCTION("""COMPUTED_VALUE"""),11.957447)</f>
        <v>11.957447</v>
      </c>
      <c r="AD862" s="4">
        <f>IFERROR(__xludf.DUMMYFUNCTION("""COMPUTED_VALUE"""),8.53905)</f>
        <v>8.53905</v>
      </c>
      <c r="AE862" s="5" t="str">
        <f>IFERROR(__xludf.DUMMYFUNCTION("""COMPUTED_VALUE"""),"https://drive.google.com/open?id=1VhhUuN7Gq8bgQGrcgMmlPzzXkyuWGni7")</f>
        <v>https://drive.google.com/open?id=1VhhUuN7Gq8bgQGrcgMmlPzzXkyuWGni7</v>
      </c>
      <c r="AF862" s="4"/>
      <c r="AG862" s="4"/>
      <c r="AH862" s="4"/>
      <c r="AI862" s="4"/>
      <c r="AL862" s="4" t="str">
        <f t="shared" si="1"/>
        <v>Cluster 15</v>
      </c>
      <c r="AM862" s="4" t="str">
        <f t="shared" si="2"/>
        <v>MUHAMMAD SHESHE STREET</v>
      </c>
    </row>
    <row r="863">
      <c r="A863" s="3">
        <f>IFERROR(__xludf.DUMMYFUNCTION("""COMPUTED_VALUE"""),45889.83540783565)</f>
        <v>45889.83541</v>
      </c>
      <c r="B863" s="4" t="str">
        <f>IFERROR(__xludf.DUMMYFUNCTION("""COMPUTED_VALUE"""),"ajisadiqdala@gmail.com")</f>
        <v>ajisadiqdala@gmail.com</v>
      </c>
      <c r="C863" s="4" t="str">
        <f>IFERROR(__xludf.DUMMYFUNCTION("""COMPUTED_VALUE"""),"Sadiq Dala")</f>
        <v>Sadiq Dala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 t="str">
        <f>IFERROR(__xludf.DUMMYFUNCTION("""COMPUTED_VALUE"""),"Cluster 9")</f>
        <v>Cluster 9</v>
      </c>
      <c r="W863" s="4"/>
      <c r="X863" s="4" t="str">
        <f>IFERROR(__xludf.DUMMYFUNCTION("""COMPUTED_VALUE"""),"A D TITIMA STREET")</f>
        <v>A D TITIMA STREET</v>
      </c>
      <c r="Y863" s="4"/>
      <c r="Z863" s="4"/>
      <c r="AA863" s="4"/>
      <c r="AB863" s="4" t="str">
        <f>IFERROR(__xludf.DUMMYFUNCTION("""COMPUTED_VALUE"""),"Point 1")</f>
        <v>Point 1</v>
      </c>
      <c r="AC863" s="4">
        <f>IFERROR(__xludf.DUMMYFUNCTION("""COMPUTED_VALUE"""),11.946583)</f>
        <v>11.946583</v>
      </c>
      <c r="AD863" s="4">
        <f>IFERROR(__xludf.DUMMYFUNCTION("""COMPUTED_VALUE"""),8.557922)</f>
        <v>8.557922</v>
      </c>
      <c r="AE863" s="5" t="str">
        <f>IFERROR(__xludf.DUMMYFUNCTION("""COMPUTED_VALUE"""),"https://drive.google.com/open?id=17pT4Ex91gJ2OWG0r644HAJdZdK1fX4Bf")</f>
        <v>https://drive.google.com/open?id=17pT4Ex91gJ2OWG0r644HAJdZdK1fX4Bf</v>
      </c>
      <c r="AF863" s="4"/>
      <c r="AG863" s="4"/>
      <c r="AH863" s="4"/>
      <c r="AI863" s="4"/>
      <c r="AL863" s="4" t="str">
        <f t="shared" si="1"/>
        <v>Cluster 9</v>
      </c>
      <c r="AM863" s="4" t="str">
        <f t="shared" si="2"/>
        <v>A D TITIMA STREET</v>
      </c>
    </row>
    <row r="864">
      <c r="A864" s="3">
        <f>IFERROR(__xludf.DUMMYFUNCTION("""COMPUTED_VALUE"""),45889.836787002314)</f>
        <v>45889.83679</v>
      </c>
      <c r="B864" s="4" t="str">
        <f>IFERROR(__xludf.DUMMYFUNCTION("""COMPUTED_VALUE"""),"ajisadiqdala@gmail.com")</f>
        <v>ajisadiqdala@gmail.com</v>
      </c>
      <c r="C864" s="4" t="str">
        <f>IFERROR(__xludf.DUMMYFUNCTION("""COMPUTED_VALUE"""),"Sadiq Dala")</f>
        <v>Sadiq Dala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 t="str">
        <f>IFERROR(__xludf.DUMMYFUNCTION("""COMPUTED_VALUE"""),"Cluster 9")</f>
        <v>Cluster 9</v>
      </c>
      <c r="W864" s="4"/>
      <c r="X864" s="4" t="str">
        <f>IFERROR(__xludf.DUMMYFUNCTION("""COMPUTED_VALUE"""),"A D TITIMA STREET")</f>
        <v>A D TITIMA STREET</v>
      </c>
      <c r="Y864" s="4"/>
      <c r="Z864" s="4"/>
      <c r="AA864" s="4"/>
      <c r="AB864" s="4" t="str">
        <f>IFERROR(__xludf.DUMMYFUNCTION("""COMPUTED_VALUE"""),"Point 2")</f>
        <v>Point 2</v>
      </c>
      <c r="AC864" s="4">
        <f>IFERROR(__xludf.DUMMYFUNCTION("""COMPUTED_VALUE"""),11.945991)</f>
        <v>11.945991</v>
      </c>
      <c r="AD864" s="4">
        <f>IFERROR(__xludf.DUMMYFUNCTION("""COMPUTED_VALUE"""),8.556697)</f>
        <v>8.556697</v>
      </c>
      <c r="AE864" s="5" t="str">
        <f>IFERROR(__xludf.DUMMYFUNCTION("""COMPUTED_VALUE"""),"https://drive.google.com/open?id=1F93vDiZ30NNt8EGphXmwNwQ6kNB5gZZL")</f>
        <v>https://drive.google.com/open?id=1F93vDiZ30NNt8EGphXmwNwQ6kNB5gZZL</v>
      </c>
      <c r="AF864" s="4"/>
      <c r="AG864" s="4"/>
      <c r="AH864" s="4"/>
      <c r="AI864" s="4"/>
      <c r="AL864" s="4" t="str">
        <f t="shared" si="1"/>
        <v>Cluster 9</v>
      </c>
      <c r="AM864" s="4" t="str">
        <f t="shared" si="2"/>
        <v>A D TITIMA STREET</v>
      </c>
    </row>
    <row r="865">
      <c r="A865" s="3">
        <f>IFERROR(__xludf.DUMMYFUNCTION("""COMPUTED_VALUE"""),45889.83805590278)</f>
        <v>45889.83806</v>
      </c>
      <c r="B865" s="4" t="str">
        <f>IFERROR(__xludf.DUMMYFUNCTION("""COMPUTED_VALUE"""),"ajisadiqdala@gmail.com")</f>
        <v>ajisadiqdala@gmail.com</v>
      </c>
      <c r="C865" s="4" t="str">
        <f>IFERROR(__xludf.DUMMYFUNCTION("""COMPUTED_VALUE"""),"Sadiq Dala")</f>
        <v>Sadiq Dala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 t="str">
        <f>IFERROR(__xludf.DUMMYFUNCTION("""COMPUTED_VALUE"""),"Cluster 9")</f>
        <v>Cluster 9</v>
      </c>
      <c r="W865" s="4"/>
      <c r="X865" s="4" t="str">
        <f>IFERROR(__xludf.DUMMYFUNCTION("""COMPUTED_VALUE"""),"YAKUBU UMAR STREET")</f>
        <v>YAKUBU UMAR STREET</v>
      </c>
      <c r="Y865" s="4"/>
      <c r="Z865" s="4"/>
      <c r="AA865" s="4"/>
      <c r="AB865" s="4" t="str">
        <f>IFERROR(__xludf.DUMMYFUNCTION("""COMPUTED_VALUE"""),"Point 1")</f>
        <v>Point 1</v>
      </c>
      <c r="AC865" s="4">
        <f>IFERROR(__xludf.DUMMYFUNCTION("""COMPUTED_VALUE"""),11.939342)</f>
        <v>11.939342</v>
      </c>
      <c r="AD865" s="4">
        <f>IFERROR(__xludf.DUMMYFUNCTION("""COMPUTED_VALUE"""),8.557006)</f>
        <v>8.557006</v>
      </c>
      <c r="AE865" s="5" t="str">
        <f>IFERROR(__xludf.DUMMYFUNCTION("""COMPUTED_VALUE"""),"https://drive.google.com/open?id=1KYXcBL8ab12aB4egtfZOdrtSJIk7Nc1a")</f>
        <v>https://drive.google.com/open?id=1KYXcBL8ab12aB4egtfZOdrtSJIk7Nc1a</v>
      </c>
      <c r="AF865" s="4"/>
      <c r="AG865" s="4"/>
      <c r="AH865" s="4"/>
      <c r="AI865" s="4"/>
      <c r="AL865" s="4" t="str">
        <f t="shared" si="1"/>
        <v>Cluster 9</v>
      </c>
      <c r="AM865" s="4" t="str">
        <f t="shared" si="2"/>
        <v>YAKUBU UMAR STREET</v>
      </c>
    </row>
    <row r="866">
      <c r="A866" s="3">
        <f>IFERROR(__xludf.DUMMYFUNCTION("""COMPUTED_VALUE"""),45889.84062335648)</f>
        <v>45889.84062</v>
      </c>
      <c r="B866" s="4" t="str">
        <f>IFERROR(__xludf.DUMMYFUNCTION("""COMPUTED_VALUE"""),"ajisadiqdala@gmail.com")</f>
        <v>ajisadiqdala@gmail.com</v>
      </c>
      <c r="C866" s="4" t="str">
        <f>IFERROR(__xludf.DUMMYFUNCTION("""COMPUTED_VALUE"""),"Sadiq Dala")</f>
        <v>Sadiq Dala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 t="str">
        <f>IFERROR(__xludf.DUMMYFUNCTION("""COMPUTED_VALUE"""),"Cluster 5")</f>
        <v>Cluster 5</v>
      </c>
      <c r="W866" s="4" t="str">
        <f>IFERROR(__xludf.DUMMYFUNCTION("""COMPUTED_VALUE"""),"BARDE STREET")</f>
        <v>BARDE STREET</v>
      </c>
      <c r="X866" s="4"/>
      <c r="Y866" s="4"/>
      <c r="Z866" s="4"/>
      <c r="AA866" s="4"/>
      <c r="AB866" s="4" t="str">
        <f>IFERROR(__xludf.DUMMYFUNCTION("""COMPUTED_VALUE"""),"Point 1")</f>
        <v>Point 1</v>
      </c>
      <c r="AC866" s="4">
        <f>IFERROR(__xludf.DUMMYFUNCTION("""COMPUTED_VALUE"""),11.946758)</f>
        <v>11.946758</v>
      </c>
      <c r="AD866" s="4">
        <f>IFERROR(__xludf.DUMMYFUNCTION("""COMPUTED_VALUE"""),8.551796)</f>
        <v>8.551796</v>
      </c>
      <c r="AE866" s="5" t="str">
        <f>IFERROR(__xludf.DUMMYFUNCTION("""COMPUTED_VALUE"""),"https://drive.google.com/open?id=1smBo_MvD0Pl2jzyib1FcfkLa1WhJLHJb")</f>
        <v>https://drive.google.com/open?id=1smBo_MvD0Pl2jzyib1FcfkLa1WhJLHJb</v>
      </c>
      <c r="AF866" s="4"/>
      <c r="AG866" s="4"/>
      <c r="AH866" s="4"/>
      <c r="AI866" s="4"/>
      <c r="AL866" s="4" t="str">
        <f t="shared" si="1"/>
        <v>Cluster 5</v>
      </c>
      <c r="AM866" s="4" t="str">
        <f t="shared" si="2"/>
        <v>BARDE STREET</v>
      </c>
    </row>
    <row r="867">
      <c r="A867" s="3">
        <f>IFERROR(__xludf.DUMMYFUNCTION("""COMPUTED_VALUE"""),45889.844909259264)</f>
        <v>45889.84491</v>
      </c>
      <c r="B867" s="4" t="str">
        <f>IFERROR(__xludf.DUMMYFUNCTION("""COMPUTED_VALUE"""),"ajisadiqdala@gmail.com")</f>
        <v>ajisadiqdala@gmail.com</v>
      </c>
      <c r="C867" s="4" t="str">
        <f>IFERROR(__xludf.DUMMYFUNCTION("""COMPUTED_VALUE"""),"Sadiq Dala")</f>
        <v>Sadiq Dala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 t="str">
        <f>IFERROR(__xludf.DUMMYFUNCTION("""COMPUTED_VALUE"""),"Cluster 5")</f>
        <v>Cluster 5</v>
      </c>
      <c r="W867" s="4" t="str">
        <f>IFERROR(__xludf.DUMMYFUNCTION("""COMPUTED_VALUE"""),"BARDE STREET")</f>
        <v>BARDE STREET</v>
      </c>
      <c r="X867" s="4"/>
      <c r="Y867" s="4"/>
      <c r="Z867" s="4"/>
      <c r="AA867" s="4"/>
      <c r="AB867" s="4" t="str">
        <f>IFERROR(__xludf.DUMMYFUNCTION("""COMPUTED_VALUE"""),"Point 2")</f>
        <v>Point 2</v>
      </c>
      <c r="AC867" s="4">
        <f>IFERROR(__xludf.DUMMYFUNCTION("""COMPUTED_VALUE"""),11.94761)</f>
        <v>11.94761</v>
      </c>
      <c r="AD867" s="4">
        <f>IFERROR(__xludf.DUMMYFUNCTION("""COMPUTED_VALUE"""),8.5553326)</f>
        <v>8.5553326</v>
      </c>
      <c r="AE867" s="5" t="str">
        <f>IFERROR(__xludf.DUMMYFUNCTION("""COMPUTED_VALUE"""),"https://drive.google.com/open?id=1KwafmUneLra3_l7BvLU9KEesjkyS1cuT")</f>
        <v>https://drive.google.com/open?id=1KwafmUneLra3_l7BvLU9KEesjkyS1cuT</v>
      </c>
      <c r="AF867" s="4"/>
      <c r="AG867" s="4"/>
      <c r="AH867" s="4"/>
      <c r="AI867" s="4"/>
      <c r="AL867" s="4" t="str">
        <f t="shared" si="1"/>
        <v>Cluster 5</v>
      </c>
      <c r="AM867" s="4" t="str">
        <f t="shared" si="2"/>
        <v>BARDE STREET</v>
      </c>
    </row>
    <row r="868">
      <c r="A868" s="3">
        <f>IFERROR(__xludf.DUMMYFUNCTION("""COMPUTED_VALUE"""),45889.85429880787)</f>
        <v>45889.8543</v>
      </c>
      <c r="B868" s="4" t="str">
        <f>IFERROR(__xludf.DUMMYFUNCTION("""COMPUTED_VALUE"""),"ajisadiqdala@gmail.com")</f>
        <v>ajisadiqdala@gmail.com</v>
      </c>
      <c r="C868" s="4" t="str">
        <f>IFERROR(__xludf.DUMMYFUNCTION("""COMPUTED_VALUE"""),"Sadiq Dala")</f>
        <v>Sadiq Dala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 t="str">
        <f>IFERROR(__xludf.DUMMYFUNCTION("""COMPUTED_VALUE"""),"Cluster 19")</f>
        <v>Cluster 19</v>
      </c>
      <c r="W868" s="4"/>
      <c r="X868" s="4"/>
      <c r="Y868" s="4"/>
      <c r="Z868" s="4"/>
      <c r="AA868" s="4" t="str">
        <f>IFERROR(__xludf.DUMMYFUNCTION("""COMPUTED_VALUE"""),"ADAKAWA LINK")</f>
        <v>ADAKAWA LINK</v>
      </c>
      <c r="AB868" s="4" t="str">
        <f>IFERROR(__xludf.DUMMYFUNCTION("""COMPUTED_VALUE"""),"Point 2")</f>
        <v>Point 2</v>
      </c>
      <c r="AC868" s="4">
        <f>IFERROR(__xludf.DUMMYFUNCTION("""COMPUTED_VALUE"""),11.991)</f>
        <v>11.991</v>
      </c>
      <c r="AD868" s="4">
        <f>IFERROR(__xludf.DUMMYFUNCTION("""COMPUTED_VALUE"""),8.570609)</f>
        <v>8.570609</v>
      </c>
      <c r="AE868" s="5" t="str">
        <f>IFERROR(__xludf.DUMMYFUNCTION("""COMPUTED_VALUE"""),"https://drive.google.com/open?id=1JNqGGlq_oFgLyOktNxeKp8PaqVM-jt7A")</f>
        <v>https://drive.google.com/open?id=1JNqGGlq_oFgLyOktNxeKp8PaqVM-jt7A</v>
      </c>
      <c r="AF868" s="4"/>
      <c r="AG868" s="4"/>
      <c r="AH868" s="4"/>
      <c r="AI868" s="4"/>
      <c r="AL868" s="4" t="str">
        <f t="shared" si="1"/>
        <v>Cluster 19</v>
      </c>
      <c r="AM868" s="4" t="str">
        <f t="shared" si="2"/>
        <v>ADAKAWA LINK</v>
      </c>
    </row>
    <row r="869">
      <c r="A869" s="3">
        <f>IFERROR(__xludf.DUMMYFUNCTION("""COMPUTED_VALUE"""),45889.859903495366)</f>
        <v>45889.8599</v>
      </c>
      <c r="B869" s="4" t="str">
        <f>IFERROR(__xludf.DUMMYFUNCTION("""COMPUTED_VALUE"""),"ajisadiqdala@gmail.com")</f>
        <v>ajisadiqdala@gmail.com</v>
      </c>
      <c r="C869" s="4" t="str">
        <f>IFERROR(__xludf.DUMMYFUNCTION("""COMPUTED_VALUE"""),"Sadiq Dala")</f>
        <v>Sadiq Dala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 t="str">
        <f>IFERROR(__xludf.DUMMYFUNCTION("""COMPUTED_VALUE"""),"Cluster 5")</f>
        <v>Cluster 5</v>
      </c>
      <c r="W869" s="4" t="str">
        <f>IFERROR(__xludf.DUMMYFUNCTION("""COMPUTED_VALUE"""),"DARMANAWA ROAD")</f>
        <v>DARMANAWA ROAD</v>
      </c>
      <c r="X869" s="4"/>
      <c r="Y869" s="4"/>
      <c r="Z869" s="4"/>
      <c r="AA869" s="4"/>
      <c r="AB869" s="4" t="str">
        <f>IFERROR(__xludf.DUMMYFUNCTION("""COMPUTED_VALUE"""),"Point 1")</f>
        <v>Point 1</v>
      </c>
      <c r="AC869" s="4">
        <f>IFERROR(__xludf.DUMMYFUNCTION("""COMPUTED_VALUE"""),11.952544)</f>
        <v>11.952544</v>
      </c>
      <c r="AD869" s="4">
        <f>IFERROR(__xludf.DUMMYFUNCTION("""COMPUTED_VALUE"""),8.553714)</f>
        <v>8.553714</v>
      </c>
      <c r="AE869" s="5" t="str">
        <f>IFERROR(__xludf.DUMMYFUNCTION("""COMPUTED_VALUE"""),"https://drive.google.com/open?id=1GpjuN9xdU4ScpVkwku-2C9mVKTLUHk1y")</f>
        <v>https://drive.google.com/open?id=1GpjuN9xdU4ScpVkwku-2C9mVKTLUHk1y</v>
      </c>
      <c r="AF869" s="4"/>
      <c r="AG869" s="4"/>
      <c r="AH869" s="4"/>
      <c r="AI869" s="4"/>
      <c r="AL869" s="4" t="str">
        <f t="shared" si="1"/>
        <v>Cluster 5</v>
      </c>
      <c r="AM869" s="4" t="str">
        <f t="shared" si="2"/>
        <v>DARMANAWA ROAD</v>
      </c>
    </row>
    <row r="870">
      <c r="A870" s="3">
        <f>IFERROR(__xludf.DUMMYFUNCTION("""COMPUTED_VALUE"""),45889.86120506944)</f>
        <v>45889.86121</v>
      </c>
      <c r="B870" s="4" t="str">
        <f>IFERROR(__xludf.DUMMYFUNCTION("""COMPUTED_VALUE"""),"ajisadiqdala@gmail.com")</f>
        <v>ajisadiqdala@gmail.com</v>
      </c>
      <c r="C870" s="4" t="str">
        <f>IFERROR(__xludf.DUMMYFUNCTION("""COMPUTED_VALUE"""),"Sadiq Dala")</f>
        <v>Sadiq Dala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 t="str">
        <f>IFERROR(__xludf.DUMMYFUNCTION("""COMPUTED_VALUE"""),"Cluster 5")</f>
        <v>Cluster 5</v>
      </c>
      <c r="W870" s="4" t="str">
        <f>IFERROR(__xludf.DUMMYFUNCTION("""COMPUTED_VALUE"""),"DARMANAWA ROAD")</f>
        <v>DARMANAWA ROAD</v>
      </c>
      <c r="X870" s="4"/>
      <c r="Y870" s="4"/>
      <c r="Z870" s="4"/>
      <c r="AA870" s="4"/>
      <c r="AB870" s="4" t="str">
        <f>IFERROR(__xludf.DUMMYFUNCTION("""COMPUTED_VALUE"""),"Point 2")</f>
        <v>Point 2</v>
      </c>
      <c r="AC870" s="4">
        <f>IFERROR(__xludf.DUMMYFUNCTION("""COMPUTED_VALUE"""),11.947468)</f>
        <v>11.947468</v>
      </c>
      <c r="AD870" s="4">
        <f>IFERROR(__xludf.DUMMYFUNCTION("""COMPUTED_VALUE"""),8.544971)</f>
        <v>8.544971</v>
      </c>
      <c r="AE870" s="5" t="str">
        <f>IFERROR(__xludf.DUMMYFUNCTION("""COMPUTED_VALUE"""),"https://drive.google.com/open?id=194bBRaIPvBjnGNEc6zT-gV6_sjTdfYKg")</f>
        <v>https://drive.google.com/open?id=194bBRaIPvBjnGNEc6zT-gV6_sjTdfYKg</v>
      </c>
      <c r="AF870" s="4"/>
      <c r="AG870" s="4"/>
      <c r="AH870" s="4"/>
      <c r="AI870" s="4"/>
      <c r="AL870" s="4" t="str">
        <f t="shared" si="1"/>
        <v>Cluster 5</v>
      </c>
      <c r="AM870" s="4" t="str">
        <f t="shared" si="2"/>
        <v>DARMANAWA ROAD</v>
      </c>
    </row>
    <row r="871">
      <c r="A871" s="3">
        <f>IFERROR(__xludf.DUMMYFUNCTION("""COMPUTED_VALUE"""),45889.863703958334)</f>
        <v>45889.8637</v>
      </c>
      <c r="B871" s="4" t="str">
        <f>IFERROR(__xludf.DUMMYFUNCTION("""COMPUTED_VALUE"""),"ajisadiqdala@gmail.com")</f>
        <v>ajisadiqdala@gmail.com</v>
      </c>
      <c r="C871" s="4" t="str">
        <f>IFERROR(__xludf.DUMMYFUNCTION("""COMPUTED_VALUE"""),"Sadiq Dala")</f>
        <v>Sadiq Dala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 t="str">
        <f>IFERROR(__xludf.DUMMYFUNCTION("""COMPUTED_VALUE"""),"Cluster 19")</f>
        <v>Cluster 19</v>
      </c>
      <c r="W871" s="4"/>
      <c r="X871" s="4"/>
      <c r="Y871" s="4"/>
      <c r="Z871" s="4"/>
      <c r="AA871" s="4" t="str">
        <f>IFERROR(__xludf.DUMMYFUNCTION("""COMPUTED_VALUE"""),"ASMA'U LINK")</f>
        <v>ASMA'U LINK</v>
      </c>
      <c r="AB871" s="4" t="str">
        <f>IFERROR(__xludf.DUMMYFUNCTION("""COMPUTED_VALUE"""),"Point 2")</f>
        <v>Point 2</v>
      </c>
      <c r="AC871" s="4">
        <f>IFERROR(__xludf.DUMMYFUNCTION("""COMPUTED_VALUE"""),11.990896)</f>
        <v>11.990896</v>
      </c>
      <c r="AD871" s="4">
        <f>IFERROR(__xludf.DUMMYFUNCTION("""COMPUTED_VALUE"""),8.570743)</f>
        <v>8.570743</v>
      </c>
      <c r="AE871" s="5" t="str">
        <f>IFERROR(__xludf.DUMMYFUNCTION("""COMPUTED_VALUE"""),"https://drive.google.com/open?id=1NYZKc5_DcADx-2ULROBc-Rg9FjcWSBhQ")</f>
        <v>https://drive.google.com/open?id=1NYZKc5_DcADx-2ULROBc-Rg9FjcWSBhQ</v>
      </c>
      <c r="AF871" s="4"/>
      <c r="AG871" s="4"/>
      <c r="AH871" s="4"/>
      <c r="AI871" s="4"/>
      <c r="AL871" s="4" t="str">
        <f t="shared" si="1"/>
        <v>Cluster 19</v>
      </c>
      <c r="AM871" s="4" t="str">
        <f t="shared" si="2"/>
        <v>ASMA'U LINK</v>
      </c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L872" s="4" t="str">
        <f t="shared" si="1"/>
        <v/>
      </c>
      <c r="AM872" s="4" t="str">
        <f t="shared" si="2"/>
        <v/>
      </c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L873" s="4" t="str">
        <f t="shared" si="1"/>
        <v/>
      </c>
      <c r="AM873" s="4" t="str">
        <f t="shared" si="2"/>
        <v/>
      </c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L874" s="4" t="str">
        <f t="shared" si="1"/>
        <v/>
      </c>
      <c r="AM874" s="4" t="str">
        <f t="shared" si="2"/>
        <v/>
      </c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L875" s="4" t="str">
        <f t="shared" si="1"/>
        <v/>
      </c>
      <c r="AM875" s="4" t="str">
        <f t="shared" si="2"/>
        <v/>
      </c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L876" s="4" t="str">
        <f t="shared" si="1"/>
        <v/>
      </c>
      <c r="AM876" s="4" t="str">
        <f t="shared" si="2"/>
        <v/>
      </c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L877" s="4" t="str">
        <f t="shared" si="1"/>
        <v/>
      </c>
      <c r="AM877" s="4" t="str">
        <f t="shared" si="2"/>
        <v/>
      </c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L878" s="4" t="str">
        <f t="shared" si="1"/>
        <v/>
      </c>
      <c r="AM878" s="4" t="str">
        <f t="shared" si="2"/>
        <v/>
      </c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L879" s="4" t="str">
        <f t="shared" si="1"/>
        <v/>
      </c>
      <c r="AM879" s="4" t="str">
        <f t="shared" si="2"/>
        <v/>
      </c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L880" s="4" t="str">
        <f t="shared" si="1"/>
        <v/>
      </c>
      <c r="AM880" s="4" t="str">
        <f t="shared" si="2"/>
        <v/>
      </c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L881" s="4" t="str">
        <f t="shared" si="1"/>
        <v/>
      </c>
      <c r="AM881" s="4" t="str">
        <f t="shared" si="2"/>
        <v/>
      </c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L882" s="4" t="str">
        <f t="shared" si="1"/>
        <v/>
      </c>
      <c r="AM882" s="4" t="str">
        <f t="shared" si="2"/>
        <v/>
      </c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L883" s="4" t="str">
        <f t="shared" si="1"/>
        <v/>
      </c>
      <c r="AM883" s="4" t="str">
        <f t="shared" si="2"/>
        <v/>
      </c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L884" s="4" t="str">
        <f t="shared" si="1"/>
        <v/>
      </c>
      <c r="AM884" s="4" t="str">
        <f t="shared" si="2"/>
        <v/>
      </c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L885" s="4" t="str">
        <f t="shared" si="1"/>
        <v/>
      </c>
      <c r="AM885" s="4" t="str">
        <f t="shared" si="2"/>
        <v/>
      </c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L886" s="4" t="str">
        <f t="shared" si="1"/>
        <v/>
      </c>
      <c r="AM886" s="4" t="str">
        <f t="shared" si="2"/>
        <v/>
      </c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L887" s="4" t="str">
        <f t="shared" si="1"/>
        <v/>
      </c>
      <c r="AM887" s="4" t="str">
        <f t="shared" si="2"/>
        <v/>
      </c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L888" s="4" t="str">
        <f t="shared" si="1"/>
        <v/>
      </c>
      <c r="AM888" s="4" t="str">
        <f t="shared" si="2"/>
        <v/>
      </c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L889" s="4" t="str">
        <f t="shared" si="1"/>
        <v/>
      </c>
      <c r="AM889" s="4" t="str">
        <f t="shared" si="2"/>
        <v/>
      </c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L890" s="4" t="str">
        <f t="shared" si="1"/>
        <v/>
      </c>
      <c r="AM890" s="4" t="str">
        <f t="shared" si="2"/>
        <v/>
      </c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L891" s="4" t="str">
        <f t="shared" si="1"/>
        <v/>
      </c>
      <c r="AM891" s="4" t="str">
        <f t="shared" si="2"/>
        <v/>
      </c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L892" s="4" t="str">
        <f t="shared" si="1"/>
        <v/>
      </c>
      <c r="AM892" s="4" t="str">
        <f t="shared" si="2"/>
        <v/>
      </c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L893" s="4" t="str">
        <f t="shared" si="1"/>
        <v/>
      </c>
      <c r="AM893" s="4" t="str">
        <f t="shared" si="2"/>
        <v/>
      </c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L894" s="4" t="str">
        <f t="shared" si="1"/>
        <v/>
      </c>
      <c r="AM894" s="4" t="str">
        <f t="shared" si="2"/>
        <v/>
      </c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L895" s="4" t="str">
        <f t="shared" si="1"/>
        <v/>
      </c>
      <c r="AM895" s="4" t="str">
        <f t="shared" si="2"/>
        <v/>
      </c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L896" s="4" t="str">
        <f t="shared" si="1"/>
        <v/>
      </c>
      <c r="AM896" s="4" t="str">
        <f t="shared" si="2"/>
        <v/>
      </c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L897" s="4" t="str">
        <f t="shared" si="1"/>
        <v/>
      </c>
      <c r="AM897" s="4" t="str">
        <f t="shared" si="2"/>
        <v/>
      </c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L898" s="4" t="str">
        <f t="shared" si="1"/>
        <v/>
      </c>
      <c r="AM898" s="4" t="str">
        <f t="shared" si="2"/>
        <v/>
      </c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L899" s="4" t="str">
        <f t="shared" si="1"/>
        <v/>
      </c>
      <c r="AM899" s="4" t="str">
        <f t="shared" si="2"/>
        <v/>
      </c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L900" s="4" t="str">
        <f t="shared" si="1"/>
        <v/>
      </c>
      <c r="AM900" s="4" t="str">
        <f t="shared" si="2"/>
        <v/>
      </c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L901" s="4" t="str">
        <f t="shared" si="1"/>
        <v/>
      </c>
      <c r="AM901" s="4" t="str">
        <f t="shared" si="2"/>
        <v/>
      </c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L902" s="4" t="str">
        <f t="shared" si="1"/>
        <v/>
      </c>
      <c r="AM902" s="4" t="str">
        <f t="shared" si="2"/>
        <v/>
      </c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L903" s="4" t="str">
        <f t="shared" si="1"/>
        <v/>
      </c>
      <c r="AM903" s="4" t="str">
        <f t="shared" si="2"/>
        <v/>
      </c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L904" s="4" t="str">
        <f t="shared" si="1"/>
        <v/>
      </c>
      <c r="AM904" s="4" t="str">
        <f t="shared" si="2"/>
        <v/>
      </c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L905" s="4" t="str">
        <f t="shared" si="1"/>
        <v/>
      </c>
      <c r="AM905" s="4" t="str">
        <f t="shared" si="2"/>
        <v/>
      </c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L906" s="4" t="str">
        <f t="shared" si="1"/>
        <v/>
      </c>
      <c r="AM906" s="4" t="str">
        <f t="shared" si="2"/>
        <v/>
      </c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L907" s="4" t="str">
        <f t="shared" si="1"/>
        <v/>
      </c>
      <c r="AM907" s="4" t="str">
        <f t="shared" si="2"/>
        <v/>
      </c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L908" s="4" t="str">
        <f t="shared" si="1"/>
        <v/>
      </c>
      <c r="AM908" s="4" t="str">
        <f t="shared" si="2"/>
        <v/>
      </c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L909" s="4" t="str">
        <f t="shared" si="1"/>
        <v/>
      </c>
      <c r="AM909" s="4" t="str">
        <f t="shared" si="2"/>
        <v/>
      </c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L910" s="4" t="str">
        <f t="shared" si="1"/>
        <v/>
      </c>
      <c r="AM910" s="4" t="str">
        <f t="shared" si="2"/>
        <v/>
      </c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L911" s="4" t="str">
        <f t="shared" si="1"/>
        <v/>
      </c>
      <c r="AM911" s="4" t="str">
        <f t="shared" si="2"/>
        <v/>
      </c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L912" s="4" t="str">
        <f t="shared" si="1"/>
        <v/>
      </c>
      <c r="AM912" s="4" t="str">
        <f t="shared" si="2"/>
        <v/>
      </c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L913" s="4" t="str">
        <f t="shared" si="1"/>
        <v/>
      </c>
      <c r="AM913" s="4" t="str">
        <f t="shared" si="2"/>
        <v/>
      </c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L914" s="4" t="str">
        <f t="shared" si="1"/>
        <v/>
      </c>
      <c r="AM914" s="4" t="str">
        <f t="shared" si="2"/>
        <v/>
      </c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L915" s="4" t="str">
        <f t="shared" si="1"/>
        <v/>
      </c>
      <c r="AM915" s="4" t="str">
        <f t="shared" si="2"/>
        <v/>
      </c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L916" s="4" t="str">
        <f t="shared" si="1"/>
        <v/>
      </c>
      <c r="AM916" s="4" t="str">
        <f t="shared" si="2"/>
        <v/>
      </c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L917" s="4" t="str">
        <f t="shared" si="1"/>
        <v/>
      </c>
      <c r="AM917" s="4" t="str">
        <f t="shared" si="2"/>
        <v/>
      </c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L918" s="4" t="str">
        <f t="shared" si="1"/>
        <v/>
      </c>
      <c r="AM918" s="4" t="str">
        <f t="shared" si="2"/>
        <v/>
      </c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L919" s="4" t="str">
        <f t="shared" si="1"/>
        <v/>
      </c>
      <c r="AM919" s="4" t="str">
        <f t="shared" si="2"/>
        <v/>
      </c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L920" s="4" t="str">
        <f t="shared" si="1"/>
        <v/>
      </c>
      <c r="AM920" s="4" t="str">
        <f t="shared" si="2"/>
        <v/>
      </c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L921" s="4" t="str">
        <f t="shared" si="1"/>
        <v/>
      </c>
      <c r="AM921" s="4" t="str">
        <f t="shared" si="2"/>
        <v/>
      </c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L922" s="4" t="str">
        <f t="shared" si="1"/>
        <v/>
      </c>
      <c r="AM922" s="4" t="str">
        <f t="shared" si="2"/>
        <v/>
      </c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L923" s="4" t="str">
        <f t="shared" si="1"/>
        <v/>
      </c>
      <c r="AM923" s="4" t="str">
        <f t="shared" si="2"/>
        <v/>
      </c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L924" s="4" t="str">
        <f t="shared" si="1"/>
        <v/>
      </c>
      <c r="AM924" s="4" t="str">
        <f t="shared" si="2"/>
        <v/>
      </c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L925" s="4" t="str">
        <f t="shared" si="1"/>
        <v/>
      </c>
      <c r="AM925" s="4" t="str">
        <f t="shared" si="2"/>
        <v/>
      </c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L926" s="4" t="str">
        <f t="shared" si="1"/>
        <v/>
      </c>
      <c r="AM926" s="4" t="str">
        <f t="shared" si="2"/>
        <v/>
      </c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L927" s="4" t="str">
        <f t="shared" si="1"/>
        <v/>
      </c>
      <c r="AM927" s="4" t="str">
        <f t="shared" si="2"/>
        <v/>
      </c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L928" s="4" t="str">
        <f t="shared" si="1"/>
        <v/>
      </c>
      <c r="AM928" s="4" t="str">
        <f t="shared" si="2"/>
        <v/>
      </c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L929" s="4" t="str">
        <f t="shared" si="1"/>
        <v/>
      </c>
      <c r="AM929" s="4" t="str">
        <f t="shared" si="2"/>
        <v/>
      </c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L930" s="4" t="str">
        <f t="shared" si="1"/>
        <v/>
      </c>
      <c r="AM930" s="4" t="str">
        <f t="shared" si="2"/>
        <v/>
      </c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L931" s="4" t="str">
        <f t="shared" si="1"/>
        <v/>
      </c>
      <c r="AM931" s="4" t="str">
        <f t="shared" si="2"/>
        <v/>
      </c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L932" s="4" t="str">
        <f t="shared" si="1"/>
        <v/>
      </c>
      <c r="AM932" s="4" t="str">
        <f t="shared" si="2"/>
        <v/>
      </c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L933" s="4" t="str">
        <f t="shared" si="1"/>
        <v/>
      </c>
      <c r="AM933" s="4" t="str">
        <f t="shared" si="2"/>
        <v/>
      </c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L934" s="4" t="str">
        <f t="shared" si="1"/>
        <v/>
      </c>
      <c r="AM934" s="4" t="str">
        <f t="shared" si="2"/>
        <v/>
      </c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L935" s="4" t="str">
        <f t="shared" si="1"/>
        <v/>
      </c>
      <c r="AM935" s="4" t="str">
        <f t="shared" si="2"/>
        <v/>
      </c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L936" s="4" t="str">
        <f t="shared" si="1"/>
        <v/>
      </c>
      <c r="AM936" s="4" t="str">
        <f t="shared" si="2"/>
        <v/>
      </c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L937" s="4" t="str">
        <f t="shared" si="1"/>
        <v/>
      </c>
      <c r="AM937" s="4" t="str">
        <f t="shared" si="2"/>
        <v/>
      </c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L938" s="4" t="str">
        <f t="shared" si="1"/>
        <v/>
      </c>
      <c r="AM938" s="4" t="str">
        <f t="shared" si="2"/>
        <v/>
      </c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L939" s="4" t="str">
        <f t="shared" si="1"/>
        <v/>
      </c>
      <c r="AM939" s="4" t="str">
        <f t="shared" si="2"/>
        <v/>
      </c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L940" s="4" t="str">
        <f t="shared" si="1"/>
        <v/>
      </c>
      <c r="AM940" s="4" t="str">
        <f t="shared" si="2"/>
        <v/>
      </c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L941" s="4" t="str">
        <f t="shared" si="1"/>
        <v/>
      </c>
      <c r="AM941" s="4" t="str">
        <f t="shared" si="2"/>
        <v/>
      </c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L942" s="4" t="str">
        <f t="shared" si="1"/>
        <v/>
      </c>
      <c r="AM942" s="4" t="str">
        <f t="shared" si="2"/>
        <v/>
      </c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L943" s="4" t="str">
        <f t="shared" si="1"/>
        <v/>
      </c>
      <c r="AM943" s="4" t="str">
        <f t="shared" si="2"/>
        <v/>
      </c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L944" s="4" t="str">
        <f t="shared" si="1"/>
        <v/>
      </c>
      <c r="AM944" s="4" t="str">
        <f t="shared" si="2"/>
        <v/>
      </c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L945" s="4" t="str">
        <f t="shared" si="1"/>
        <v/>
      </c>
      <c r="AM945" s="4" t="str">
        <f t="shared" si="2"/>
        <v/>
      </c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L946" s="4" t="str">
        <f t="shared" si="1"/>
        <v/>
      </c>
      <c r="AM946" s="4" t="str">
        <f t="shared" si="2"/>
        <v/>
      </c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L947" s="4" t="str">
        <f t="shared" si="1"/>
        <v/>
      </c>
      <c r="AM947" s="4" t="str">
        <f t="shared" si="2"/>
        <v/>
      </c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L948" s="4" t="str">
        <f t="shared" si="1"/>
        <v/>
      </c>
      <c r="AM948" s="4" t="str">
        <f t="shared" si="2"/>
        <v/>
      </c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L949" s="4" t="str">
        <f t="shared" si="1"/>
        <v/>
      </c>
      <c r="AM949" s="4" t="str">
        <f t="shared" si="2"/>
        <v/>
      </c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L950" s="4" t="str">
        <f t="shared" si="1"/>
        <v/>
      </c>
      <c r="AM950" s="4" t="str">
        <f t="shared" si="2"/>
        <v/>
      </c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L951" s="4" t="str">
        <f t="shared" si="1"/>
        <v/>
      </c>
      <c r="AM951" s="4" t="str">
        <f t="shared" si="2"/>
        <v/>
      </c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L952" s="4" t="str">
        <f t="shared" si="1"/>
        <v/>
      </c>
      <c r="AM952" s="4" t="str">
        <f t="shared" si="2"/>
        <v/>
      </c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L953" s="4" t="str">
        <f t="shared" si="1"/>
        <v/>
      </c>
      <c r="AM953" s="4" t="str">
        <f t="shared" si="2"/>
        <v/>
      </c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L954" s="4" t="str">
        <f t="shared" si="1"/>
        <v/>
      </c>
      <c r="AM954" s="4" t="str">
        <f t="shared" si="2"/>
        <v/>
      </c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L955" s="4" t="str">
        <f t="shared" si="1"/>
        <v/>
      </c>
      <c r="AM955" s="4" t="str">
        <f t="shared" si="2"/>
        <v/>
      </c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L956" s="4" t="str">
        <f t="shared" si="1"/>
        <v/>
      </c>
      <c r="AM956" s="4" t="str">
        <f t="shared" si="2"/>
        <v/>
      </c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L957" s="4" t="str">
        <f t="shared" si="1"/>
        <v/>
      </c>
      <c r="AM957" s="4" t="str">
        <f t="shared" si="2"/>
        <v/>
      </c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L958" s="4" t="str">
        <f t="shared" si="1"/>
        <v/>
      </c>
      <c r="AM958" s="4" t="str">
        <f t="shared" si="2"/>
        <v/>
      </c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L959" s="4" t="str">
        <f t="shared" si="1"/>
        <v/>
      </c>
      <c r="AM959" s="4" t="str">
        <f t="shared" si="2"/>
        <v/>
      </c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L960" s="4" t="str">
        <f t="shared" si="1"/>
        <v/>
      </c>
      <c r="AM960" s="4" t="str">
        <f t="shared" si="2"/>
        <v/>
      </c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L961" s="4" t="str">
        <f t="shared" si="1"/>
        <v/>
      </c>
      <c r="AM961" s="4" t="str">
        <f t="shared" si="2"/>
        <v/>
      </c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L962" s="4" t="str">
        <f t="shared" si="1"/>
        <v/>
      </c>
      <c r="AM962" s="4" t="str">
        <f t="shared" si="2"/>
        <v/>
      </c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L963" s="4" t="str">
        <f t="shared" si="1"/>
        <v/>
      </c>
      <c r="AM963" s="4" t="str">
        <f t="shared" si="2"/>
        <v/>
      </c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L964" s="4" t="str">
        <f t="shared" si="1"/>
        <v/>
      </c>
      <c r="AM964" s="4" t="str">
        <f t="shared" si="2"/>
        <v/>
      </c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L965" s="4" t="str">
        <f t="shared" si="1"/>
        <v/>
      </c>
      <c r="AM965" s="4" t="str">
        <f t="shared" si="2"/>
        <v/>
      </c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L966" s="4" t="str">
        <f t="shared" si="1"/>
        <v/>
      </c>
      <c r="AM966" s="4" t="str">
        <f t="shared" si="2"/>
        <v/>
      </c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L967" s="4" t="str">
        <f t="shared" si="1"/>
        <v/>
      </c>
      <c r="AM967" s="4" t="str">
        <f t="shared" si="2"/>
        <v/>
      </c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L968" s="4" t="str">
        <f t="shared" si="1"/>
        <v/>
      </c>
      <c r="AM968" s="4" t="str">
        <f t="shared" si="2"/>
        <v/>
      </c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L969" s="4" t="str">
        <f t="shared" si="1"/>
        <v/>
      </c>
      <c r="AM969" s="4" t="str">
        <f t="shared" si="2"/>
        <v/>
      </c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L970" s="4" t="str">
        <f t="shared" si="1"/>
        <v/>
      </c>
      <c r="AM970" s="4" t="str">
        <f t="shared" si="2"/>
        <v/>
      </c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L971" s="4" t="str">
        <f t="shared" si="1"/>
        <v/>
      </c>
      <c r="AM971" s="4" t="str">
        <f t="shared" si="2"/>
        <v/>
      </c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L972" s="4" t="str">
        <f t="shared" si="1"/>
        <v/>
      </c>
      <c r="AM972" s="4" t="str">
        <f t="shared" si="2"/>
        <v/>
      </c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L973" s="4" t="str">
        <f t="shared" si="1"/>
        <v/>
      </c>
      <c r="AM973" s="4" t="str">
        <f t="shared" si="2"/>
        <v/>
      </c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L974" s="4" t="str">
        <f t="shared" si="1"/>
        <v/>
      </c>
      <c r="AM974" s="4" t="str">
        <f t="shared" si="2"/>
        <v/>
      </c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L975" s="4" t="str">
        <f t="shared" si="1"/>
        <v/>
      </c>
      <c r="AM975" s="4" t="str">
        <f t="shared" si="2"/>
        <v/>
      </c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L976" s="4" t="str">
        <f t="shared" si="1"/>
        <v/>
      </c>
      <c r="AM976" s="4" t="str">
        <f t="shared" si="2"/>
        <v/>
      </c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L977" s="4" t="str">
        <f t="shared" si="1"/>
        <v/>
      </c>
      <c r="AM977" s="4" t="str">
        <f t="shared" si="2"/>
        <v/>
      </c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L978" s="4" t="str">
        <f t="shared" si="1"/>
        <v/>
      </c>
      <c r="AM978" s="4" t="str">
        <f t="shared" si="2"/>
        <v/>
      </c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L979" s="4" t="str">
        <f t="shared" si="1"/>
        <v/>
      </c>
      <c r="AM979" s="4" t="str">
        <f t="shared" si="2"/>
        <v/>
      </c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L980" s="4" t="str">
        <f t="shared" si="1"/>
        <v/>
      </c>
      <c r="AM980" s="4" t="str">
        <f t="shared" si="2"/>
        <v/>
      </c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L981" s="4" t="str">
        <f t="shared" si="1"/>
        <v/>
      </c>
      <c r="AM981" s="4" t="str">
        <f t="shared" si="2"/>
        <v/>
      </c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L982" s="4" t="str">
        <f t="shared" si="1"/>
        <v/>
      </c>
      <c r="AM982" s="4" t="str">
        <f t="shared" si="2"/>
        <v/>
      </c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L983" s="4" t="str">
        <f t="shared" si="1"/>
        <v/>
      </c>
      <c r="AM983" s="4" t="str">
        <f t="shared" si="2"/>
        <v/>
      </c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L984" s="4" t="str">
        <f t="shared" si="1"/>
        <v/>
      </c>
      <c r="AM984" s="4" t="str">
        <f t="shared" si="2"/>
        <v/>
      </c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L985" s="4" t="str">
        <f t="shared" si="1"/>
        <v/>
      </c>
      <c r="AM985" s="4" t="str">
        <f t="shared" si="2"/>
        <v/>
      </c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L986" s="4" t="str">
        <f t="shared" si="1"/>
        <v/>
      </c>
      <c r="AM986" s="4" t="str">
        <f t="shared" si="2"/>
        <v/>
      </c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L987" s="4" t="str">
        <f t="shared" si="1"/>
        <v/>
      </c>
      <c r="AM987" s="4" t="str">
        <f t="shared" si="2"/>
        <v/>
      </c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L988" s="4" t="str">
        <f t="shared" si="1"/>
        <v/>
      </c>
      <c r="AM988" s="4" t="str">
        <f t="shared" si="2"/>
        <v/>
      </c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L989" s="4" t="str">
        <f t="shared" si="1"/>
        <v/>
      </c>
      <c r="AM989" s="4" t="str">
        <f t="shared" si="2"/>
        <v/>
      </c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L990" s="4" t="str">
        <f t="shared" si="1"/>
        <v/>
      </c>
      <c r="AM990" s="4" t="str">
        <f t="shared" si="2"/>
        <v/>
      </c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L991" s="4" t="str">
        <f t="shared" si="1"/>
        <v/>
      </c>
      <c r="AM991" s="4" t="str">
        <f t="shared" si="2"/>
        <v/>
      </c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L992" s="4" t="str">
        <f t="shared" si="1"/>
        <v/>
      </c>
      <c r="AM992" s="4" t="str">
        <f t="shared" si="2"/>
        <v/>
      </c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L993" s="4" t="str">
        <f t="shared" si="1"/>
        <v/>
      </c>
      <c r="AM993" s="4" t="str">
        <f t="shared" si="2"/>
        <v/>
      </c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L994" s="4" t="str">
        <f t="shared" si="1"/>
        <v/>
      </c>
      <c r="AM994" s="4" t="str">
        <f t="shared" si="2"/>
        <v/>
      </c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L995" s="4" t="str">
        <f t="shared" si="1"/>
        <v/>
      </c>
      <c r="AM995" s="4" t="str">
        <f t="shared" si="2"/>
        <v/>
      </c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L996" s="4" t="str">
        <f t="shared" si="1"/>
        <v/>
      </c>
      <c r="AM996" s="4" t="str">
        <f t="shared" si="2"/>
        <v/>
      </c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L997" s="4" t="str">
        <f t="shared" si="1"/>
        <v/>
      </c>
      <c r="AM997" s="4" t="str">
        <f t="shared" si="2"/>
        <v/>
      </c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L998" s="4" t="str">
        <f t="shared" si="1"/>
        <v/>
      </c>
      <c r="AM998" s="4" t="str">
        <f t="shared" si="2"/>
        <v/>
      </c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L999" s="4" t="str">
        <f t="shared" si="1"/>
        <v/>
      </c>
      <c r="AM999" s="4" t="str">
        <f t="shared" si="2"/>
        <v/>
      </c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L1000" s="4" t="str">
        <f t="shared" si="1"/>
        <v/>
      </c>
      <c r="AM1000" s="4" t="str">
        <f t="shared" si="2"/>
        <v/>
      </c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L1001" s="4" t="str">
        <f t="shared" si="1"/>
        <v/>
      </c>
      <c r="AM1001" s="4" t="str">
        <f t="shared" si="2"/>
        <v/>
      </c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L1002" s="4" t="str">
        <f t="shared" si="1"/>
        <v/>
      </c>
      <c r="AM1002" s="4" t="str">
        <f t="shared" si="2"/>
        <v/>
      </c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L1003" s="4" t="str">
        <f t="shared" si="1"/>
        <v/>
      </c>
      <c r="AM1003" s="4" t="str">
        <f t="shared" si="2"/>
        <v/>
      </c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L1004" s="4" t="str">
        <f t="shared" si="1"/>
        <v/>
      </c>
      <c r="AM1004" s="4" t="str">
        <f t="shared" si="2"/>
        <v/>
      </c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L1005" s="4" t="str">
        <f t="shared" si="1"/>
        <v/>
      </c>
      <c r="AM1005" s="4" t="str">
        <f t="shared" si="2"/>
        <v/>
      </c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L1006" s="4" t="str">
        <f t="shared" si="1"/>
        <v/>
      </c>
      <c r="AM1006" s="4" t="str">
        <f t="shared" si="2"/>
        <v/>
      </c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L1007" s="4" t="str">
        <f t="shared" si="1"/>
        <v/>
      </c>
      <c r="AM1007" s="4" t="str">
        <f t="shared" si="2"/>
        <v/>
      </c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L1008" s="4" t="str">
        <f t="shared" si="1"/>
        <v/>
      </c>
      <c r="AM1008" s="4" t="str">
        <f t="shared" si="2"/>
        <v/>
      </c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L1009" s="4" t="str">
        <f t="shared" si="1"/>
        <v/>
      </c>
      <c r="AM1009" s="4" t="str">
        <f t="shared" si="2"/>
        <v/>
      </c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L1010" s="4" t="str">
        <f t="shared" si="1"/>
        <v/>
      </c>
      <c r="AM1010" s="4" t="str">
        <f t="shared" si="2"/>
        <v/>
      </c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L1011" s="4" t="str">
        <f t="shared" si="1"/>
        <v/>
      </c>
      <c r="AM1011" s="4" t="str">
        <f t="shared" si="2"/>
        <v/>
      </c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L1012" s="4" t="str">
        <f t="shared" si="1"/>
        <v/>
      </c>
      <c r="AM1012" s="4" t="str">
        <f t="shared" si="2"/>
        <v/>
      </c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L1013" s="4" t="str">
        <f t="shared" si="1"/>
        <v/>
      </c>
      <c r="AM1013" s="4" t="str">
        <f t="shared" si="2"/>
        <v/>
      </c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L1014" s="4" t="str">
        <f t="shared" si="1"/>
        <v/>
      </c>
      <c r="AM1014" s="4" t="str">
        <f t="shared" si="2"/>
        <v/>
      </c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L1015" s="4" t="str">
        <f t="shared" si="1"/>
        <v/>
      </c>
      <c r="AM1015" s="4" t="str">
        <f t="shared" si="2"/>
        <v/>
      </c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L1016" s="4" t="str">
        <f t="shared" si="1"/>
        <v/>
      </c>
      <c r="AM1016" s="4" t="str">
        <f t="shared" si="2"/>
        <v/>
      </c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L1017" s="4" t="str">
        <f t="shared" si="1"/>
        <v/>
      </c>
      <c r="AM1017" s="4" t="str">
        <f t="shared" si="2"/>
        <v/>
      </c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L1018" s="4" t="str">
        <f t="shared" si="1"/>
        <v/>
      </c>
      <c r="AM1018" s="4" t="str">
        <f t="shared" si="2"/>
        <v/>
      </c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L1019" s="4" t="str">
        <f t="shared" si="1"/>
        <v/>
      </c>
      <c r="AM1019" s="4" t="str">
        <f t="shared" si="2"/>
        <v/>
      </c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L1020" s="4" t="str">
        <f t="shared" si="1"/>
        <v/>
      </c>
      <c r="AM1020" s="4" t="str">
        <f t="shared" si="2"/>
        <v/>
      </c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L1021" s="4" t="str">
        <f t="shared" si="1"/>
        <v/>
      </c>
      <c r="AM1021" s="4" t="str">
        <f t="shared" si="2"/>
        <v/>
      </c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L1022" s="4" t="str">
        <f t="shared" si="1"/>
        <v/>
      </c>
      <c r="AM1022" s="4" t="str">
        <f t="shared" si="2"/>
        <v/>
      </c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L1023" s="4" t="str">
        <f t="shared" si="1"/>
        <v/>
      </c>
      <c r="AM1023" s="4" t="str">
        <f t="shared" si="2"/>
        <v/>
      </c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L1024" s="4" t="str">
        <f t="shared" si="1"/>
        <v/>
      </c>
      <c r="AM1024" s="4" t="str">
        <f t="shared" si="2"/>
        <v/>
      </c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L1025" s="4" t="str">
        <f t="shared" si="1"/>
        <v/>
      </c>
      <c r="AM1025" s="4" t="str">
        <f t="shared" si="2"/>
        <v/>
      </c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L1026" s="4" t="str">
        <f t="shared" si="1"/>
        <v/>
      </c>
      <c r="AM1026" s="4" t="str">
        <f t="shared" si="2"/>
        <v/>
      </c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L1027" s="4" t="str">
        <f t="shared" si="1"/>
        <v/>
      </c>
      <c r="AM1027" s="4" t="str">
        <f t="shared" si="2"/>
        <v/>
      </c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L1028" s="4" t="str">
        <f t="shared" si="1"/>
        <v/>
      </c>
      <c r="AM1028" s="4" t="str">
        <f t="shared" si="2"/>
        <v/>
      </c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L1029" s="4" t="str">
        <f t="shared" si="1"/>
        <v/>
      </c>
      <c r="AM1029" s="4" t="str">
        <f t="shared" si="2"/>
        <v/>
      </c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L1030" s="4" t="str">
        <f t="shared" si="1"/>
        <v/>
      </c>
      <c r="AM1030" s="4" t="str">
        <f t="shared" si="2"/>
        <v/>
      </c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L1031" s="4" t="str">
        <f t="shared" si="1"/>
        <v/>
      </c>
      <c r="AM1031" s="4" t="str">
        <f t="shared" si="2"/>
        <v/>
      </c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L1032" s="4" t="str">
        <f t="shared" si="1"/>
        <v/>
      </c>
      <c r="AM1032" s="4" t="str">
        <f t="shared" si="2"/>
        <v/>
      </c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L1033" s="4" t="str">
        <f t="shared" si="1"/>
        <v/>
      </c>
      <c r="AM1033" s="4" t="str">
        <f t="shared" si="2"/>
        <v/>
      </c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L1034" s="4" t="str">
        <f t="shared" si="1"/>
        <v/>
      </c>
      <c r="AM1034" s="4" t="str">
        <f t="shared" si="2"/>
        <v/>
      </c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L1035" s="4" t="str">
        <f t="shared" si="1"/>
        <v/>
      </c>
      <c r="AM1035" s="4" t="str">
        <f t="shared" si="2"/>
        <v/>
      </c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L1036" s="4" t="str">
        <f t="shared" si="1"/>
        <v/>
      </c>
      <c r="AM1036" s="4" t="str">
        <f t="shared" si="2"/>
        <v/>
      </c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L1037" s="4" t="str">
        <f t="shared" si="1"/>
        <v/>
      </c>
      <c r="AM1037" s="4" t="str">
        <f t="shared" si="2"/>
        <v/>
      </c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L1038" s="4" t="str">
        <f t="shared" si="1"/>
        <v/>
      </c>
      <c r="AM1038" s="4" t="str">
        <f t="shared" si="2"/>
        <v/>
      </c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L1039" s="4" t="str">
        <f t="shared" si="1"/>
        <v/>
      </c>
      <c r="AM1039" s="4" t="str">
        <f t="shared" si="2"/>
        <v/>
      </c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L1040" s="4" t="str">
        <f t="shared" si="1"/>
        <v/>
      </c>
      <c r="AM1040" s="4" t="str">
        <f t="shared" si="2"/>
        <v/>
      </c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L1041" s="4" t="str">
        <f t="shared" si="1"/>
        <v/>
      </c>
      <c r="AM1041" s="4" t="str">
        <f t="shared" si="2"/>
        <v/>
      </c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L1042" s="4" t="str">
        <f t="shared" si="1"/>
        <v/>
      </c>
      <c r="AM1042" s="4" t="str">
        <f t="shared" si="2"/>
        <v/>
      </c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L1043" s="4" t="str">
        <f t="shared" si="1"/>
        <v/>
      </c>
      <c r="AM1043" s="4" t="str">
        <f t="shared" si="2"/>
        <v/>
      </c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L1044" s="4" t="str">
        <f t="shared" si="1"/>
        <v/>
      </c>
      <c r="AM1044" s="4" t="str">
        <f t="shared" si="2"/>
        <v/>
      </c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L1045" s="4" t="str">
        <f t="shared" si="1"/>
        <v/>
      </c>
      <c r="AM1045" s="4" t="str">
        <f t="shared" si="2"/>
        <v/>
      </c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L1046" s="4" t="str">
        <f t="shared" si="1"/>
        <v/>
      </c>
      <c r="AM1046" s="4" t="str">
        <f t="shared" si="2"/>
        <v/>
      </c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L1047" s="4" t="str">
        <f t="shared" si="1"/>
        <v/>
      </c>
      <c r="AM1047" s="4" t="str">
        <f t="shared" si="2"/>
        <v/>
      </c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L1048" s="4" t="str">
        <f t="shared" si="1"/>
        <v/>
      </c>
      <c r="AM1048" s="4" t="str">
        <f t="shared" si="2"/>
        <v/>
      </c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L1049" s="4" t="str">
        <f t="shared" si="1"/>
        <v/>
      </c>
      <c r="AM1049" s="4" t="str">
        <f t="shared" si="2"/>
        <v/>
      </c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L1050" s="4" t="str">
        <f t="shared" si="1"/>
        <v/>
      </c>
      <c r="AM1050" s="4" t="str">
        <f t="shared" si="2"/>
        <v/>
      </c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L1051" s="4" t="str">
        <f t="shared" si="1"/>
        <v/>
      </c>
      <c r="AM1051" s="4" t="str">
        <f t="shared" si="2"/>
        <v/>
      </c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L1052" s="4" t="str">
        <f t="shared" si="1"/>
        <v/>
      </c>
      <c r="AM1052" s="4" t="str">
        <f t="shared" si="2"/>
        <v/>
      </c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L1053" s="4" t="str">
        <f t="shared" si="1"/>
        <v/>
      </c>
      <c r="AM1053" s="4" t="str">
        <f t="shared" si="2"/>
        <v/>
      </c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L1054" s="4" t="str">
        <f t="shared" si="1"/>
        <v/>
      </c>
      <c r="AM1054" s="4" t="str">
        <f t="shared" si="2"/>
        <v/>
      </c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L1055" s="4" t="str">
        <f t="shared" si="1"/>
        <v/>
      </c>
      <c r="AM1055" s="4" t="str">
        <f t="shared" si="2"/>
        <v/>
      </c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L1056" s="4" t="str">
        <f t="shared" si="1"/>
        <v/>
      </c>
      <c r="AM1056" s="4" t="str">
        <f t="shared" si="2"/>
        <v/>
      </c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L1057" s="4" t="str">
        <f t="shared" si="1"/>
        <v/>
      </c>
      <c r="AM1057" s="4" t="str">
        <f t="shared" si="2"/>
        <v/>
      </c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L1058" s="4" t="str">
        <f t="shared" si="1"/>
        <v/>
      </c>
      <c r="AM1058" s="4" t="str">
        <f t="shared" si="2"/>
        <v/>
      </c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L1059" s="4" t="str">
        <f t="shared" si="1"/>
        <v/>
      </c>
      <c r="AM1059" s="4" t="str">
        <f t="shared" si="2"/>
        <v/>
      </c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L1060" s="4" t="str">
        <f t="shared" si="1"/>
        <v/>
      </c>
      <c r="AM1060" s="4" t="str">
        <f t="shared" si="2"/>
        <v/>
      </c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L1061" s="4" t="str">
        <f t="shared" si="1"/>
        <v/>
      </c>
      <c r="AM1061" s="4" t="str">
        <f t="shared" si="2"/>
        <v/>
      </c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L1062" s="4" t="str">
        <f t="shared" si="1"/>
        <v/>
      </c>
      <c r="AM1062" s="4" t="str">
        <f t="shared" si="2"/>
        <v/>
      </c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L1063" s="4" t="str">
        <f t="shared" si="1"/>
        <v/>
      </c>
      <c r="AM1063" s="4" t="str">
        <f t="shared" si="2"/>
        <v/>
      </c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L1064" s="4" t="str">
        <f t="shared" si="1"/>
        <v/>
      </c>
      <c r="AM1064" s="4" t="str">
        <f t="shared" si="2"/>
        <v/>
      </c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L1065" s="4" t="str">
        <f t="shared" si="1"/>
        <v/>
      </c>
      <c r="AM1065" s="4" t="str">
        <f t="shared" si="2"/>
        <v/>
      </c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L1066" s="4" t="str">
        <f t="shared" si="1"/>
        <v/>
      </c>
      <c r="AM1066" s="4" t="str">
        <f t="shared" si="2"/>
        <v/>
      </c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L1067" s="4" t="str">
        <f t="shared" si="1"/>
        <v/>
      </c>
      <c r="AM1067" s="4" t="str">
        <f t="shared" si="2"/>
        <v/>
      </c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L1068" s="4" t="str">
        <f t="shared" si="1"/>
        <v/>
      </c>
      <c r="AM1068" s="4" t="str">
        <f t="shared" si="2"/>
        <v/>
      </c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L1069" s="4" t="str">
        <f t="shared" si="1"/>
        <v/>
      </c>
      <c r="AM1069" s="4" t="str">
        <f t="shared" si="2"/>
        <v/>
      </c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L1070" s="4" t="str">
        <f t="shared" si="1"/>
        <v/>
      </c>
      <c r="AM1070" s="4" t="str">
        <f t="shared" si="2"/>
        <v/>
      </c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L1071" s="4" t="str">
        <f t="shared" si="1"/>
        <v/>
      </c>
      <c r="AM1071" s="4" t="str">
        <f t="shared" si="2"/>
        <v/>
      </c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L1072" s="4" t="str">
        <f t="shared" si="1"/>
        <v/>
      </c>
      <c r="AM1072" s="4" t="str">
        <f t="shared" si="2"/>
        <v/>
      </c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L1073" s="4" t="str">
        <f t="shared" si="1"/>
        <v/>
      </c>
      <c r="AM1073" s="4" t="str">
        <f t="shared" si="2"/>
        <v/>
      </c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L1074" s="4" t="str">
        <f t="shared" si="1"/>
        <v/>
      </c>
      <c r="AM1074" s="4" t="str">
        <f t="shared" si="2"/>
        <v/>
      </c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L1075" s="4" t="str">
        <f t="shared" si="1"/>
        <v/>
      </c>
      <c r="AM1075" s="4" t="str">
        <f t="shared" si="2"/>
        <v/>
      </c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L1076" s="4" t="str">
        <f t="shared" si="1"/>
        <v/>
      </c>
      <c r="AM1076" s="4" t="str">
        <f t="shared" si="2"/>
        <v/>
      </c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L1077" s="4" t="str">
        <f t="shared" si="1"/>
        <v/>
      </c>
      <c r="AM1077" s="4" t="str">
        <f t="shared" si="2"/>
        <v/>
      </c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L1078" s="4" t="str">
        <f t="shared" si="1"/>
        <v/>
      </c>
      <c r="AM1078" s="4" t="str">
        <f t="shared" si="2"/>
        <v/>
      </c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L1079" s="4" t="str">
        <f t="shared" si="1"/>
        <v/>
      </c>
      <c r="AM1079" s="4" t="str">
        <f t="shared" si="2"/>
        <v/>
      </c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L1080" s="4" t="str">
        <f t="shared" si="1"/>
        <v/>
      </c>
      <c r="AM1080" s="4" t="str">
        <f t="shared" si="2"/>
        <v/>
      </c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L1081" s="4" t="str">
        <f t="shared" si="1"/>
        <v/>
      </c>
      <c r="AM1081" s="4" t="str">
        <f t="shared" si="2"/>
        <v/>
      </c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L1082" s="4" t="str">
        <f t="shared" si="1"/>
        <v/>
      </c>
      <c r="AM1082" s="4" t="str">
        <f t="shared" si="2"/>
        <v/>
      </c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L1083" s="4" t="str">
        <f t="shared" si="1"/>
        <v/>
      </c>
      <c r="AM1083" s="4" t="str">
        <f t="shared" si="2"/>
        <v/>
      </c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L1084" s="4" t="str">
        <f t="shared" si="1"/>
        <v/>
      </c>
      <c r="AM1084" s="4" t="str">
        <f t="shared" si="2"/>
        <v/>
      </c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L1085" s="4" t="str">
        <f t="shared" si="1"/>
        <v/>
      </c>
      <c r="AM1085" s="4" t="str">
        <f t="shared" si="2"/>
        <v/>
      </c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L1086" s="4" t="str">
        <f t="shared" si="1"/>
        <v/>
      </c>
      <c r="AM1086" s="4" t="str">
        <f t="shared" si="2"/>
        <v/>
      </c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L1087" s="4" t="str">
        <f t="shared" si="1"/>
        <v/>
      </c>
      <c r="AM1087" s="4" t="str">
        <f t="shared" si="2"/>
        <v/>
      </c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L1088" s="4" t="str">
        <f t="shared" si="1"/>
        <v/>
      </c>
      <c r="AM1088" s="4" t="str">
        <f t="shared" si="2"/>
        <v/>
      </c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L1089" s="4" t="str">
        <f t="shared" si="1"/>
        <v/>
      </c>
      <c r="AM1089" s="4" t="str">
        <f t="shared" si="2"/>
        <v/>
      </c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L1090" s="4" t="str">
        <f t="shared" si="1"/>
        <v/>
      </c>
      <c r="AM1090" s="4" t="str">
        <f t="shared" si="2"/>
        <v/>
      </c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L1091" s="4" t="str">
        <f t="shared" si="1"/>
        <v/>
      </c>
      <c r="AM1091" s="4" t="str">
        <f t="shared" si="2"/>
        <v/>
      </c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L1092" s="4" t="str">
        <f t="shared" si="1"/>
        <v/>
      </c>
      <c r="AM1092" s="4" t="str">
        <f t="shared" si="2"/>
        <v/>
      </c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L1093" s="4" t="str">
        <f t="shared" si="1"/>
        <v/>
      </c>
      <c r="AM1093" s="4" t="str">
        <f t="shared" si="2"/>
        <v/>
      </c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L1094" s="4" t="str">
        <f t="shared" si="1"/>
        <v/>
      </c>
      <c r="AM1094" s="4" t="str">
        <f t="shared" si="2"/>
        <v/>
      </c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L1095" s="4" t="str">
        <f t="shared" si="1"/>
        <v/>
      </c>
      <c r="AM1095" s="4" t="str">
        <f t="shared" si="2"/>
        <v/>
      </c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L1096" s="4" t="str">
        <f t="shared" si="1"/>
        <v/>
      </c>
      <c r="AM1096" s="4" t="str">
        <f t="shared" si="2"/>
        <v/>
      </c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L1097" s="4" t="str">
        <f t="shared" si="1"/>
        <v/>
      </c>
      <c r="AM1097" s="4" t="str">
        <f t="shared" si="2"/>
        <v/>
      </c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L1098" s="4" t="str">
        <f t="shared" si="1"/>
        <v/>
      </c>
      <c r="AM1098" s="4" t="str">
        <f t="shared" si="2"/>
        <v/>
      </c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L1099" s="4" t="str">
        <f t="shared" si="1"/>
        <v/>
      </c>
      <c r="AM1099" s="4" t="str">
        <f t="shared" si="2"/>
        <v/>
      </c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L1100" s="4" t="str">
        <f t="shared" si="1"/>
        <v/>
      </c>
      <c r="AM1100" s="4" t="str">
        <f t="shared" si="2"/>
        <v/>
      </c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L1101" s="4" t="str">
        <f t="shared" si="1"/>
        <v/>
      </c>
      <c r="AM1101" s="4" t="str">
        <f t="shared" si="2"/>
        <v/>
      </c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L1102" s="4" t="str">
        <f t="shared" si="1"/>
        <v/>
      </c>
      <c r="AM1102" s="4" t="str">
        <f t="shared" si="2"/>
        <v/>
      </c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L1103" s="4" t="str">
        <f t="shared" si="1"/>
        <v/>
      </c>
      <c r="AM1103" s="4" t="str">
        <f t="shared" si="2"/>
        <v/>
      </c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L1104" s="4" t="str">
        <f t="shared" si="1"/>
        <v/>
      </c>
      <c r="AM1104" s="4" t="str">
        <f t="shared" si="2"/>
        <v/>
      </c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L1105" s="4" t="str">
        <f t="shared" si="1"/>
        <v/>
      </c>
      <c r="AM1105" s="4" t="str">
        <f t="shared" si="2"/>
        <v/>
      </c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L1106" s="4" t="str">
        <f t="shared" si="1"/>
        <v/>
      </c>
      <c r="AM1106" s="4" t="str">
        <f t="shared" si="2"/>
        <v/>
      </c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L1107" s="4" t="str">
        <f t="shared" si="1"/>
        <v/>
      </c>
      <c r="AM1107" s="4" t="str">
        <f t="shared" si="2"/>
        <v/>
      </c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L1108" s="4" t="str">
        <f t="shared" si="1"/>
        <v/>
      </c>
      <c r="AM1108" s="4" t="str">
        <f t="shared" si="2"/>
        <v/>
      </c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L1109" s="4" t="str">
        <f t="shared" si="1"/>
        <v/>
      </c>
      <c r="AM1109" s="4" t="str">
        <f t="shared" si="2"/>
        <v/>
      </c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L1110" s="4" t="str">
        <f t="shared" si="1"/>
        <v/>
      </c>
      <c r="AM1110" s="4" t="str">
        <f t="shared" si="2"/>
        <v/>
      </c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L1111" s="4" t="str">
        <f t="shared" si="1"/>
        <v/>
      </c>
      <c r="AM1111" s="4" t="str">
        <f t="shared" si="2"/>
        <v/>
      </c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L1112" s="4" t="str">
        <f t="shared" si="1"/>
        <v/>
      </c>
      <c r="AM1112" s="4" t="str">
        <f t="shared" si="2"/>
        <v/>
      </c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L1113" s="4" t="str">
        <f t="shared" si="1"/>
        <v/>
      </c>
      <c r="AM1113" s="4" t="str">
        <f t="shared" si="2"/>
        <v/>
      </c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L1114" s="4" t="str">
        <f t="shared" si="1"/>
        <v/>
      </c>
      <c r="AM1114" s="4" t="str">
        <f t="shared" si="2"/>
        <v/>
      </c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L1115" s="4" t="str">
        <f t="shared" si="1"/>
        <v/>
      </c>
      <c r="AM1115" s="4" t="str">
        <f t="shared" si="2"/>
        <v/>
      </c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L1116" s="4" t="str">
        <f t="shared" si="1"/>
        <v/>
      </c>
      <c r="AM1116" s="4" t="str">
        <f t="shared" si="2"/>
        <v/>
      </c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L1117" s="4" t="str">
        <f t="shared" si="1"/>
        <v/>
      </c>
      <c r="AM1117" s="4" t="str">
        <f t="shared" si="2"/>
        <v/>
      </c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L1118" s="4" t="str">
        <f t="shared" si="1"/>
        <v/>
      </c>
      <c r="AM1118" s="4" t="str">
        <f t="shared" si="2"/>
        <v/>
      </c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L1119" s="4" t="str">
        <f t="shared" si="1"/>
        <v/>
      </c>
      <c r="AM1119" s="4" t="str">
        <f t="shared" si="2"/>
        <v/>
      </c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L1120" s="4" t="str">
        <f t="shared" si="1"/>
        <v/>
      </c>
      <c r="AM1120" s="4" t="str">
        <f t="shared" si="2"/>
        <v/>
      </c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L1121" s="4" t="str">
        <f t="shared" si="1"/>
        <v/>
      </c>
      <c r="AM1121" s="4" t="str">
        <f t="shared" si="2"/>
        <v/>
      </c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L1122" s="4" t="str">
        <f t="shared" si="1"/>
        <v/>
      </c>
      <c r="AM1122" s="4" t="str">
        <f t="shared" si="2"/>
        <v/>
      </c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L1123" s="4" t="str">
        <f t="shared" si="1"/>
        <v/>
      </c>
      <c r="AM1123" s="4" t="str">
        <f t="shared" si="2"/>
        <v/>
      </c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L1124" s="4" t="str">
        <f t="shared" si="1"/>
        <v/>
      </c>
      <c r="AM1124" s="4" t="str">
        <f t="shared" si="2"/>
        <v/>
      </c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L1125" s="4" t="str">
        <f t="shared" si="1"/>
        <v/>
      </c>
      <c r="AM1125" s="4" t="str">
        <f t="shared" si="2"/>
        <v/>
      </c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L1126" s="4" t="str">
        <f t="shared" si="1"/>
        <v/>
      </c>
      <c r="AM1126" s="4" t="str">
        <f t="shared" si="2"/>
        <v/>
      </c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L1127" s="4" t="str">
        <f t="shared" si="1"/>
        <v/>
      </c>
      <c r="AM1127" s="4" t="str">
        <f t="shared" si="2"/>
        <v/>
      </c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L1128" s="4" t="str">
        <f t="shared" si="1"/>
        <v/>
      </c>
      <c r="AM1128" s="4" t="str">
        <f t="shared" si="2"/>
        <v/>
      </c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L1129" s="4" t="str">
        <f t="shared" si="1"/>
        <v/>
      </c>
      <c r="AM1129" s="4" t="str">
        <f t="shared" si="2"/>
        <v/>
      </c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L1130" s="4" t="str">
        <f t="shared" si="1"/>
        <v/>
      </c>
      <c r="AM1130" s="4" t="str">
        <f t="shared" si="2"/>
        <v/>
      </c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L1131" s="4" t="str">
        <f t="shared" si="1"/>
        <v/>
      </c>
      <c r="AM1131" s="4" t="str">
        <f t="shared" si="2"/>
        <v/>
      </c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L1132" s="4" t="str">
        <f t="shared" si="1"/>
        <v/>
      </c>
      <c r="AM1132" s="4" t="str">
        <f t="shared" si="2"/>
        <v/>
      </c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L1133" s="4" t="str">
        <f t="shared" si="1"/>
        <v/>
      </c>
      <c r="AM1133" s="4" t="str">
        <f t="shared" si="2"/>
        <v/>
      </c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L1134" s="4" t="str">
        <f t="shared" si="1"/>
        <v/>
      </c>
      <c r="AM1134" s="4" t="str">
        <f t="shared" si="2"/>
        <v/>
      </c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L1135" s="4" t="str">
        <f t="shared" si="1"/>
        <v/>
      </c>
      <c r="AM1135" s="4" t="str">
        <f t="shared" si="2"/>
        <v/>
      </c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L1136" s="4" t="str">
        <f t="shared" si="1"/>
        <v/>
      </c>
      <c r="AM1136" s="4" t="str">
        <f t="shared" si="2"/>
        <v/>
      </c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L1137" s="4" t="str">
        <f t="shared" si="1"/>
        <v/>
      </c>
      <c r="AM1137" s="4" t="str">
        <f t="shared" si="2"/>
        <v/>
      </c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L1138" s="4" t="str">
        <f t="shared" si="1"/>
        <v/>
      </c>
      <c r="AM1138" s="4" t="str">
        <f t="shared" si="2"/>
        <v/>
      </c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L1139" s="4" t="str">
        <f t="shared" si="1"/>
        <v/>
      </c>
      <c r="AM1139" s="4" t="str">
        <f t="shared" si="2"/>
        <v/>
      </c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L1140" s="4" t="str">
        <f t="shared" si="1"/>
        <v/>
      </c>
      <c r="AM1140" s="4" t="str">
        <f t="shared" si="2"/>
        <v/>
      </c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L1141" s="4" t="str">
        <f t="shared" si="1"/>
        <v/>
      </c>
      <c r="AM1141" s="4" t="str">
        <f t="shared" si="2"/>
        <v/>
      </c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L1142" s="4" t="str">
        <f t="shared" si="1"/>
        <v/>
      </c>
      <c r="AM1142" s="4" t="str">
        <f t="shared" si="2"/>
        <v/>
      </c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L1143" s="4" t="str">
        <f t="shared" si="1"/>
        <v/>
      </c>
      <c r="AM1143" s="4" t="str">
        <f t="shared" si="2"/>
        <v/>
      </c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L1144" s="4" t="str">
        <f t="shared" si="1"/>
        <v/>
      </c>
      <c r="AM1144" s="4" t="str">
        <f t="shared" si="2"/>
        <v/>
      </c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L1145" s="4" t="str">
        <f t="shared" si="1"/>
        <v/>
      </c>
      <c r="AM1145" s="4" t="str">
        <f t="shared" si="2"/>
        <v/>
      </c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L1146" s="4" t="str">
        <f t="shared" si="1"/>
        <v/>
      </c>
      <c r="AM1146" s="4" t="str">
        <f t="shared" si="2"/>
        <v/>
      </c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L1147" s="4" t="str">
        <f t="shared" si="1"/>
        <v/>
      </c>
      <c r="AM1147" s="4" t="str">
        <f t="shared" si="2"/>
        <v/>
      </c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L1148" s="4" t="str">
        <f t="shared" si="1"/>
        <v/>
      </c>
      <c r="AM1148" s="4" t="str">
        <f t="shared" si="2"/>
        <v/>
      </c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L1149" s="4" t="str">
        <f t="shared" si="1"/>
        <v/>
      </c>
      <c r="AM1149" s="4" t="str">
        <f t="shared" si="2"/>
        <v/>
      </c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L1150" s="4" t="str">
        <f t="shared" si="1"/>
        <v/>
      </c>
      <c r="AM1150" s="4" t="str">
        <f t="shared" si="2"/>
        <v/>
      </c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L1151" s="4" t="str">
        <f t="shared" si="1"/>
        <v/>
      </c>
      <c r="AM1151" s="4" t="str">
        <f t="shared" si="2"/>
        <v/>
      </c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L1152" s="4" t="str">
        <f t="shared" si="1"/>
        <v/>
      </c>
      <c r="AM1152" s="4" t="str">
        <f t="shared" si="2"/>
        <v/>
      </c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L1153" s="4" t="str">
        <f t="shared" si="1"/>
        <v/>
      </c>
      <c r="AM1153" s="4" t="str">
        <f t="shared" si="2"/>
        <v/>
      </c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L1154" s="4" t="str">
        <f t="shared" si="1"/>
        <v/>
      </c>
      <c r="AM1154" s="4" t="str">
        <f t="shared" si="2"/>
        <v/>
      </c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L1155" s="4" t="str">
        <f t="shared" si="1"/>
        <v/>
      </c>
      <c r="AM1155" s="4" t="str">
        <f t="shared" si="2"/>
        <v/>
      </c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L1156" s="4" t="str">
        <f t="shared" si="1"/>
        <v/>
      </c>
      <c r="AM1156" s="4" t="str">
        <f t="shared" si="2"/>
        <v/>
      </c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L1157" s="4" t="str">
        <f t="shared" si="1"/>
        <v/>
      </c>
      <c r="AM1157" s="4" t="str">
        <f t="shared" si="2"/>
        <v/>
      </c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L1158" s="4" t="str">
        <f t="shared" si="1"/>
        <v/>
      </c>
      <c r="AM1158" s="4" t="str">
        <f t="shared" si="2"/>
        <v/>
      </c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L1159" s="4" t="str">
        <f t="shared" si="1"/>
        <v/>
      </c>
      <c r="AM1159" s="4" t="str">
        <f t="shared" si="2"/>
        <v/>
      </c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L1160" s="4" t="str">
        <f t="shared" si="1"/>
        <v/>
      </c>
      <c r="AM1160" s="4" t="str">
        <f t="shared" si="2"/>
        <v/>
      </c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L1161" s="4" t="str">
        <f t="shared" si="1"/>
        <v/>
      </c>
      <c r="AM1161" s="4" t="str">
        <f t="shared" si="2"/>
        <v/>
      </c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L1162" s="4" t="str">
        <f t="shared" si="1"/>
        <v/>
      </c>
      <c r="AM1162" s="4" t="str">
        <f t="shared" si="2"/>
        <v/>
      </c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L1163" s="4" t="str">
        <f t="shared" si="1"/>
        <v/>
      </c>
      <c r="AM1163" s="4" t="str">
        <f t="shared" si="2"/>
        <v/>
      </c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L1164" s="4" t="str">
        <f t="shared" si="1"/>
        <v/>
      </c>
      <c r="AM1164" s="4" t="str">
        <f t="shared" si="2"/>
        <v/>
      </c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L1165" s="4" t="str">
        <f t="shared" si="1"/>
        <v/>
      </c>
      <c r="AM1165" s="4" t="str">
        <f t="shared" si="2"/>
        <v/>
      </c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L1166" s="4" t="str">
        <f t="shared" si="1"/>
        <v/>
      </c>
      <c r="AM1166" s="4" t="str">
        <f t="shared" si="2"/>
        <v/>
      </c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L1167" s="4" t="str">
        <f t="shared" si="1"/>
        <v/>
      </c>
      <c r="AM1167" s="4" t="str">
        <f t="shared" si="2"/>
        <v/>
      </c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L1168" s="4" t="str">
        <f t="shared" si="1"/>
        <v/>
      </c>
      <c r="AM1168" s="4" t="str">
        <f t="shared" si="2"/>
        <v/>
      </c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L1169" s="4" t="str">
        <f t="shared" si="1"/>
        <v/>
      </c>
      <c r="AM1169" s="4" t="str">
        <f t="shared" si="2"/>
        <v/>
      </c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L1170" s="4" t="str">
        <f t="shared" si="1"/>
        <v/>
      </c>
      <c r="AM1170" s="4" t="str">
        <f t="shared" si="2"/>
        <v/>
      </c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L1171" s="4" t="str">
        <f t="shared" si="1"/>
        <v/>
      </c>
      <c r="AM1171" s="4" t="str">
        <f t="shared" si="2"/>
        <v/>
      </c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L1172" s="4" t="str">
        <f t="shared" si="1"/>
        <v/>
      </c>
      <c r="AM1172" s="4" t="str">
        <f t="shared" si="2"/>
        <v/>
      </c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L1173" s="4" t="str">
        <f t="shared" si="1"/>
        <v/>
      </c>
      <c r="AM1173" s="4" t="str">
        <f t="shared" si="2"/>
        <v/>
      </c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L1174" s="4" t="str">
        <f t="shared" si="1"/>
        <v/>
      </c>
      <c r="AM1174" s="4" t="str">
        <f t="shared" si="2"/>
        <v/>
      </c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L1175" s="4" t="str">
        <f t="shared" si="1"/>
        <v/>
      </c>
      <c r="AM1175" s="4" t="str">
        <f t="shared" si="2"/>
        <v/>
      </c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L1176" s="4" t="str">
        <f t="shared" si="1"/>
        <v/>
      </c>
      <c r="AM1176" s="4" t="str">
        <f t="shared" si="2"/>
        <v/>
      </c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L1177" s="4" t="str">
        <f t="shared" si="1"/>
        <v/>
      </c>
      <c r="AM1177" s="4" t="str">
        <f t="shared" si="2"/>
        <v/>
      </c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L1178" s="4" t="str">
        <f t="shared" si="1"/>
        <v/>
      </c>
      <c r="AM1178" s="4" t="str">
        <f t="shared" si="2"/>
        <v/>
      </c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L1179" s="4" t="str">
        <f t="shared" si="1"/>
        <v/>
      </c>
      <c r="AM1179" s="4" t="str">
        <f t="shared" si="2"/>
        <v/>
      </c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L1180" s="4" t="str">
        <f t="shared" si="1"/>
        <v/>
      </c>
      <c r="AM1180" s="4" t="str">
        <f t="shared" si="2"/>
        <v/>
      </c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L1181" s="4" t="str">
        <f t="shared" si="1"/>
        <v/>
      </c>
      <c r="AM1181" s="4" t="str">
        <f t="shared" si="2"/>
        <v/>
      </c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L1182" s="4" t="str">
        <f t="shared" si="1"/>
        <v/>
      </c>
      <c r="AM1182" s="4" t="str">
        <f t="shared" si="2"/>
        <v/>
      </c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L1183" s="4" t="str">
        <f t="shared" si="1"/>
        <v/>
      </c>
      <c r="AM1183" s="4" t="str">
        <f t="shared" si="2"/>
        <v/>
      </c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L1184" s="4" t="str">
        <f t="shared" si="1"/>
        <v/>
      </c>
      <c r="AM1184" s="4" t="str">
        <f t="shared" si="2"/>
        <v/>
      </c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L1185" s="4" t="str">
        <f t="shared" si="1"/>
        <v/>
      </c>
      <c r="AM1185" s="4" t="str">
        <f t="shared" si="2"/>
        <v/>
      </c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L1186" s="4" t="str">
        <f t="shared" si="1"/>
        <v/>
      </c>
      <c r="AM1186" s="4" t="str">
        <f t="shared" si="2"/>
        <v/>
      </c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L1187" s="4" t="str">
        <f t="shared" si="1"/>
        <v/>
      </c>
      <c r="AM1187" s="4" t="str">
        <f t="shared" si="2"/>
        <v/>
      </c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L1188" s="4" t="str">
        <f t="shared" si="1"/>
        <v/>
      </c>
      <c r="AM1188" s="4" t="str">
        <f t="shared" si="2"/>
        <v/>
      </c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L1189" s="4" t="str">
        <f t="shared" si="1"/>
        <v/>
      </c>
      <c r="AM1189" s="4" t="str">
        <f t="shared" si="2"/>
        <v/>
      </c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L1190" s="4" t="str">
        <f t="shared" si="1"/>
        <v/>
      </c>
      <c r="AM1190" s="4" t="str">
        <f t="shared" si="2"/>
        <v/>
      </c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L1191" s="4" t="str">
        <f t="shared" si="1"/>
        <v/>
      </c>
      <c r="AM1191" s="4" t="str">
        <f t="shared" si="2"/>
        <v/>
      </c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L1192" s="4" t="str">
        <f t="shared" si="1"/>
        <v/>
      </c>
      <c r="AM1192" s="4" t="str">
        <f t="shared" si="2"/>
        <v/>
      </c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L1193" s="4" t="str">
        <f t="shared" si="1"/>
        <v/>
      </c>
      <c r="AM1193" s="4" t="str">
        <f t="shared" si="2"/>
        <v/>
      </c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L1194" s="4" t="str">
        <f t="shared" si="1"/>
        <v/>
      </c>
      <c r="AM1194" s="4" t="str">
        <f t="shared" si="2"/>
        <v/>
      </c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L1195" s="4" t="str">
        <f t="shared" si="1"/>
        <v/>
      </c>
      <c r="AM1195" s="4" t="str">
        <f t="shared" si="2"/>
        <v/>
      </c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L1196" s="4" t="str">
        <f t="shared" si="1"/>
        <v/>
      </c>
      <c r="AM1196" s="4" t="str">
        <f t="shared" si="2"/>
        <v/>
      </c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L1197" s="4" t="str">
        <f t="shared" si="1"/>
        <v/>
      </c>
      <c r="AM1197" s="4" t="str">
        <f t="shared" si="2"/>
        <v/>
      </c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L1198" s="4" t="str">
        <f t="shared" si="1"/>
        <v/>
      </c>
      <c r="AM1198" s="4" t="str">
        <f t="shared" si="2"/>
        <v/>
      </c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L1199" s="4" t="str">
        <f t="shared" si="1"/>
        <v/>
      </c>
      <c r="AM1199" s="4" t="str">
        <f t="shared" si="2"/>
        <v/>
      </c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L1200" s="4" t="str">
        <f t="shared" si="1"/>
        <v/>
      </c>
      <c r="AM1200" s="4" t="str">
        <f t="shared" si="2"/>
        <v/>
      </c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L1201" s="4" t="str">
        <f t="shared" si="1"/>
        <v/>
      </c>
      <c r="AM1201" s="4" t="str">
        <f t="shared" si="2"/>
        <v/>
      </c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L1202" s="4" t="str">
        <f t="shared" si="1"/>
        <v/>
      </c>
      <c r="AM1202" s="4" t="str">
        <f t="shared" si="2"/>
        <v/>
      </c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L1203" s="4" t="str">
        <f t="shared" si="1"/>
        <v/>
      </c>
      <c r="AM1203" s="4" t="str">
        <f t="shared" si="2"/>
        <v/>
      </c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L1204" s="4" t="str">
        <f t="shared" si="1"/>
        <v/>
      </c>
      <c r="AM1204" s="4" t="str">
        <f t="shared" si="2"/>
        <v/>
      </c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L1205" s="4" t="str">
        <f t="shared" si="1"/>
        <v/>
      </c>
      <c r="AM1205" s="4" t="str">
        <f t="shared" si="2"/>
        <v/>
      </c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L1206" s="4" t="str">
        <f t="shared" si="1"/>
        <v/>
      </c>
      <c r="AM1206" s="4" t="str">
        <f t="shared" si="2"/>
        <v/>
      </c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L1207" s="4" t="str">
        <f t="shared" si="1"/>
        <v/>
      </c>
      <c r="AM1207" s="4" t="str">
        <f t="shared" si="2"/>
        <v/>
      </c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L1208" s="4" t="str">
        <f t="shared" si="1"/>
        <v/>
      </c>
      <c r="AM1208" s="4" t="str">
        <f t="shared" si="2"/>
        <v/>
      </c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L1209" s="4" t="str">
        <f t="shared" si="1"/>
        <v/>
      </c>
      <c r="AM1209" s="4" t="str">
        <f t="shared" si="2"/>
        <v/>
      </c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L1210" s="4" t="str">
        <f t="shared" si="1"/>
        <v/>
      </c>
      <c r="AM1210" s="4" t="str">
        <f t="shared" si="2"/>
        <v/>
      </c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L1211" s="4" t="str">
        <f t="shared" si="1"/>
        <v/>
      </c>
      <c r="AM1211" s="4" t="str">
        <f t="shared" si="2"/>
        <v/>
      </c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L1212" s="4" t="str">
        <f t="shared" si="1"/>
        <v/>
      </c>
      <c r="AM1212" s="4" t="str">
        <f t="shared" si="2"/>
        <v/>
      </c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L1213" s="4" t="str">
        <f t="shared" si="1"/>
        <v/>
      </c>
      <c r="AM1213" s="4" t="str">
        <f t="shared" si="2"/>
        <v/>
      </c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L1214" s="4" t="str">
        <f t="shared" si="1"/>
        <v/>
      </c>
      <c r="AM1214" s="4" t="str">
        <f t="shared" si="2"/>
        <v/>
      </c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L1215" s="4" t="str">
        <f t="shared" si="1"/>
        <v/>
      </c>
      <c r="AM1215" s="4" t="str">
        <f t="shared" si="2"/>
        <v/>
      </c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L1216" s="4" t="str">
        <f t="shared" si="1"/>
        <v/>
      </c>
      <c r="AM1216" s="4" t="str">
        <f t="shared" si="2"/>
        <v/>
      </c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L1217" s="4" t="str">
        <f t="shared" si="1"/>
        <v/>
      </c>
      <c r="AM1217" s="4" t="str">
        <f t="shared" si="2"/>
        <v/>
      </c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L1218" s="4" t="str">
        <f t="shared" si="1"/>
        <v/>
      </c>
      <c r="AM1218" s="4" t="str">
        <f t="shared" si="2"/>
        <v/>
      </c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L1219" s="4" t="str">
        <f t="shared" si="1"/>
        <v/>
      </c>
      <c r="AM1219" s="4" t="str">
        <f t="shared" si="2"/>
        <v/>
      </c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L1220" s="4" t="str">
        <f t="shared" si="1"/>
        <v/>
      </c>
      <c r="AM1220" s="4" t="str">
        <f t="shared" si="2"/>
        <v/>
      </c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L1221" s="4" t="str">
        <f t="shared" si="1"/>
        <v/>
      </c>
      <c r="AM1221" s="4" t="str">
        <f t="shared" si="2"/>
        <v/>
      </c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L1222" s="4" t="str">
        <f t="shared" si="1"/>
        <v/>
      </c>
      <c r="AM1222" s="4" t="str">
        <f t="shared" si="2"/>
        <v/>
      </c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L1223" s="4" t="str">
        <f t="shared" si="1"/>
        <v/>
      </c>
      <c r="AM1223" s="4" t="str">
        <f t="shared" si="2"/>
        <v/>
      </c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L1224" s="4" t="str">
        <f t="shared" si="1"/>
        <v/>
      </c>
      <c r="AM1224" s="4" t="str">
        <f t="shared" si="2"/>
        <v/>
      </c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L1225" s="4" t="str">
        <f t="shared" si="1"/>
        <v/>
      </c>
      <c r="AM1225" s="4" t="str">
        <f t="shared" si="2"/>
        <v/>
      </c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L1226" s="4" t="str">
        <f t="shared" si="1"/>
        <v/>
      </c>
      <c r="AM1226" s="4" t="str">
        <f t="shared" si="2"/>
        <v/>
      </c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L1227" s="4" t="str">
        <f t="shared" si="1"/>
        <v/>
      </c>
      <c r="AM1227" s="4" t="str">
        <f t="shared" si="2"/>
        <v/>
      </c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L1228" s="4" t="str">
        <f t="shared" si="1"/>
        <v/>
      </c>
      <c r="AM1228" s="4" t="str">
        <f t="shared" si="2"/>
        <v/>
      </c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L1229" s="4" t="str">
        <f t="shared" si="1"/>
        <v/>
      </c>
      <c r="AM1229" s="4" t="str">
        <f t="shared" si="2"/>
        <v/>
      </c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L1230" s="4" t="str">
        <f t="shared" si="1"/>
        <v/>
      </c>
      <c r="AM1230" s="4" t="str">
        <f t="shared" si="2"/>
        <v/>
      </c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L1231" s="4" t="str">
        <f t="shared" si="1"/>
        <v/>
      </c>
      <c r="AM1231" s="4" t="str">
        <f t="shared" si="2"/>
        <v/>
      </c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L1232" s="4" t="str">
        <f t="shared" si="1"/>
        <v/>
      </c>
      <c r="AM1232" s="4" t="str">
        <f t="shared" si="2"/>
        <v/>
      </c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L1233" s="4" t="str">
        <f t="shared" si="1"/>
        <v/>
      </c>
      <c r="AM1233" s="4" t="str">
        <f t="shared" si="2"/>
        <v/>
      </c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L1234" s="4" t="str">
        <f t="shared" si="1"/>
        <v/>
      </c>
      <c r="AM1234" s="4" t="str">
        <f t="shared" si="2"/>
        <v/>
      </c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L1235" s="4" t="str">
        <f t="shared" si="1"/>
        <v/>
      </c>
      <c r="AM1235" s="4" t="str">
        <f t="shared" si="2"/>
        <v/>
      </c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L1236" s="4" t="str">
        <f t="shared" si="1"/>
        <v/>
      </c>
      <c r="AM1236" s="4" t="str">
        <f t="shared" si="2"/>
        <v/>
      </c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L1237" s="4" t="str">
        <f t="shared" si="1"/>
        <v/>
      </c>
      <c r="AM1237" s="4" t="str">
        <f t="shared" si="2"/>
        <v/>
      </c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L1238" s="4" t="str">
        <f t="shared" si="1"/>
        <v/>
      </c>
      <c r="AM1238" s="4" t="str">
        <f t="shared" si="2"/>
        <v/>
      </c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L1239" s="4" t="str">
        <f t="shared" si="1"/>
        <v/>
      </c>
      <c r="AM1239" s="4" t="str">
        <f t="shared" si="2"/>
        <v/>
      </c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L1240" s="4" t="str">
        <f t="shared" si="1"/>
        <v/>
      </c>
      <c r="AM1240" s="4" t="str">
        <f t="shared" si="2"/>
        <v/>
      </c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L1241" s="4" t="str">
        <f t="shared" si="1"/>
        <v/>
      </c>
      <c r="AM1241" s="4" t="str">
        <f t="shared" si="2"/>
        <v/>
      </c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L1242" s="4" t="str">
        <f t="shared" si="1"/>
        <v/>
      </c>
      <c r="AM1242" s="4" t="str">
        <f t="shared" si="2"/>
        <v/>
      </c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L1243" s="4" t="str">
        <f t="shared" si="1"/>
        <v/>
      </c>
      <c r="AM1243" s="4" t="str">
        <f t="shared" si="2"/>
        <v/>
      </c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L1244" s="4" t="str">
        <f t="shared" si="1"/>
        <v/>
      </c>
      <c r="AM1244" s="4" t="str">
        <f t="shared" si="2"/>
        <v/>
      </c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L1245" s="4" t="str">
        <f t="shared" si="1"/>
        <v/>
      </c>
      <c r="AM1245" s="4" t="str">
        <f t="shared" si="2"/>
        <v/>
      </c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L1246" s="4" t="str">
        <f t="shared" si="1"/>
        <v/>
      </c>
      <c r="AM1246" s="4" t="str">
        <f t="shared" si="2"/>
        <v/>
      </c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L1247" s="4" t="str">
        <f t="shared" si="1"/>
        <v/>
      </c>
      <c r="AM1247" s="4" t="str">
        <f t="shared" si="2"/>
        <v/>
      </c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L1248" s="4" t="str">
        <f t="shared" si="1"/>
        <v/>
      </c>
      <c r="AM1248" s="4" t="str">
        <f t="shared" si="2"/>
        <v/>
      </c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L1249" s="4" t="str">
        <f t="shared" si="1"/>
        <v/>
      </c>
      <c r="AM1249" s="4" t="str">
        <f t="shared" si="2"/>
        <v/>
      </c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L1250" s="4" t="str">
        <f t="shared" si="1"/>
        <v/>
      </c>
      <c r="AM1250" s="4" t="str">
        <f t="shared" si="2"/>
        <v/>
      </c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L1251" s="4" t="str">
        <f t="shared" si="1"/>
        <v/>
      </c>
      <c r="AM1251" s="4" t="str">
        <f t="shared" si="2"/>
        <v/>
      </c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L1252" s="4" t="str">
        <f t="shared" si="1"/>
        <v/>
      </c>
      <c r="AM1252" s="4" t="str">
        <f t="shared" si="2"/>
        <v/>
      </c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L1253" s="4" t="str">
        <f t="shared" si="1"/>
        <v/>
      </c>
      <c r="AM1253" s="4" t="str">
        <f t="shared" si="2"/>
        <v/>
      </c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L1254" s="4" t="str">
        <f t="shared" si="1"/>
        <v/>
      </c>
      <c r="AM1254" s="4" t="str">
        <f t="shared" si="2"/>
        <v/>
      </c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L1255" s="4" t="str">
        <f t="shared" si="1"/>
        <v/>
      </c>
      <c r="AM1255" s="4" t="str">
        <f t="shared" si="2"/>
        <v/>
      </c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L1256" s="4" t="str">
        <f t="shared" si="1"/>
        <v/>
      </c>
      <c r="AM1256" s="4" t="str">
        <f t="shared" si="2"/>
        <v/>
      </c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L1257" s="4" t="str">
        <f t="shared" si="1"/>
        <v/>
      </c>
      <c r="AM1257" s="4" t="str">
        <f t="shared" si="2"/>
        <v/>
      </c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L1258" s="4" t="str">
        <f t="shared" si="1"/>
        <v/>
      </c>
      <c r="AM1258" s="4" t="str">
        <f t="shared" si="2"/>
        <v/>
      </c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L1259" s="4" t="str">
        <f t="shared" si="1"/>
        <v/>
      </c>
      <c r="AM1259" s="4" t="str">
        <f t="shared" si="2"/>
        <v/>
      </c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L1260" s="4" t="str">
        <f t="shared" si="1"/>
        <v/>
      </c>
      <c r="AM1260" s="4" t="str">
        <f t="shared" si="2"/>
        <v/>
      </c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L1261" s="4" t="str">
        <f t="shared" si="1"/>
        <v/>
      </c>
      <c r="AM1261" s="4" t="str">
        <f t="shared" si="2"/>
        <v/>
      </c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L1262" s="4" t="str">
        <f t="shared" si="1"/>
        <v/>
      </c>
      <c r="AM1262" s="4" t="str">
        <f t="shared" si="2"/>
        <v/>
      </c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L1263" s="4" t="str">
        <f t="shared" si="1"/>
        <v/>
      </c>
      <c r="AM1263" s="4" t="str">
        <f t="shared" si="2"/>
        <v/>
      </c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L1264" s="4" t="str">
        <f t="shared" si="1"/>
        <v/>
      </c>
      <c r="AM1264" s="4" t="str">
        <f t="shared" si="2"/>
        <v/>
      </c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L1265" s="4" t="str">
        <f t="shared" si="1"/>
        <v/>
      </c>
      <c r="AM1265" s="4" t="str">
        <f t="shared" si="2"/>
        <v/>
      </c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L1266" s="4" t="str">
        <f t="shared" si="1"/>
        <v/>
      </c>
      <c r="AM1266" s="4" t="str">
        <f t="shared" si="2"/>
        <v/>
      </c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L1267" s="4" t="str">
        <f t="shared" si="1"/>
        <v/>
      </c>
      <c r="AM1267" s="4" t="str">
        <f t="shared" si="2"/>
        <v/>
      </c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L1268" s="4" t="str">
        <f t="shared" si="1"/>
        <v/>
      </c>
      <c r="AM1268" s="4" t="str">
        <f t="shared" si="2"/>
        <v/>
      </c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L1269" s="4" t="str">
        <f t="shared" si="1"/>
        <v/>
      </c>
      <c r="AM1269" s="4" t="str">
        <f t="shared" si="2"/>
        <v/>
      </c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L1270" s="4" t="str">
        <f t="shared" si="1"/>
        <v/>
      </c>
      <c r="AM1270" s="4" t="str">
        <f t="shared" si="2"/>
        <v/>
      </c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L1271" s="4" t="str">
        <f t="shared" si="1"/>
        <v/>
      </c>
      <c r="AM1271" s="4" t="str">
        <f t="shared" si="2"/>
        <v/>
      </c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L1272" s="4" t="str">
        <f t="shared" si="1"/>
        <v/>
      </c>
      <c r="AM1272" s="4" t="str">
        <f t="shared" si="2"/>
        <v/>
      </c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L1273" s="4" t="str">
        <f t="shared" si="1"/>
        <v/>
      </c>
      <c r="AM1273" s="4" t="str">
        <f t="shared" si="2"/>
        <v/>
      </c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L1274" s="4" t="str">
        <f t="shared" si="1"/>
        <v/>
      </c>
      <c r="AM1274" s="4" t="str">
        <f t="shared" si="2"/>
        <v/>
      </c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L1275" s="4" t="str">
        <f t="shared" si="1"/>
        <v/>
      </c>
      <c r="AM1275" s="4" t="str">
        <f t="shared" si="2"/>
        <v/>
      </c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L1276" s="4" t="str">
        <f t="shared" si="1"/>
        <v/>
      </c>
      <c r="AM1276" s="4" t="str">
        <f t="shared" si="2"/>
        <v/>
      </c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L1277" s="4" t="str">
        <f t="shared" si="1"/>
        <v/>
      </c>
      <c r="AM1277" s="4" t="str">
        <f t="shared" si="2"/>
        <v/>
      </c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L1278" s="4" t="str">
        <f t="shared" si="1"/>
        <v/>
      </c>
      <c r="AM1278" s="4" t="str">
        <f t="shared" si="2"/>
        <v/>
      </c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L1279" s="4" t="str">
        <f t="shared" si="1"/>
        <v/>
      </c>
      <c r="AM1279" s="4" t="str">
        <f t="shared" si="2"/>
        <v/>
      </c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L1280" s="4" t="str">
        <f t="shared" si="1"/>
        <v/>
      </c>
      <c r="AM1280" s="4" t="str">
        <f t="shared" si="2"/>
        <v/>
      </c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L1281" s="4" t="str">
        <f t="shared" si="1"/>
        <v/>
      </c>
      <c r="AM1281" s="4" t="str">
        <f t="shared" si="2"/>
        <v/>
      </c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L1282" s="4" t="str">
        <f t="shared" si="1"/>
        <v/>
      </c>
      <c r="AM1282" s="4" t="str">
        <f t="shared" si="2"/>
        <v/>
      </c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L1283" s="4" t="str">
        <f t="shared" si="1"/>
        <v/>
      </c>
      <c r="AM1283" s="4" t="str">
        <f t="shared" si="2"/>
        <v/>
      </c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L1284" s="4" t="str">
        <f t="shared" si="1"/>
        <v/>
      </c>
      <c r="AM1284" s="4" t="str">
        <f t="shared" si="2"/>
        <v/>
      </c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L1285" s="4" t="str">
        <f t="shared" si="1"/>
        <v/>
      </c>
      <c r="AM1285" s="4" t="str">
        <f t="shared" si="2"/>
        <v/>
      </c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L1286" s="4" t="str">
        <f t="shared" si="1"/>
        <v/>
      </c>
      <c r="AM1286" s="4" t="str">
        <f t="shared" si="2"/>
        <v/>
      </c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L1287" s="4" t="str">
        <f t="shared" si="1"/>
        <v/>
      </c>
      <c r="AM1287" s="4" t="str">
        <f t="shared" si="2"/>
        <v/>
      </c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L1288" s="4" t="str">
        <f t="shared" si="1"/>
        <v/>
      </c>
      <c r="AM1288" s="4" t="str">
        <f t="shared" si="2"/>
        <v/>
      </c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L1289" s="4" t="str">
        <f t="shared" si="1"/>
        <v/>
      </c>
      <c r="AM1289" s="4" t="str">
        <f t="shared" si="2"/>
        <v/>
      </c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L1290" s="4" t="str">
        <f t="shared" si="1"/>
        <v/>
      </c>
      <c r="AM1290" s="4" t="str">
        <f t="shared" si="2"/>
        <v/>
      </c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L1291" s="4" t="str">
        <f t="shared" si="1"/>
        <v/>
      </c>
      <c r="AM1291" s="4" t="str">
        <f t="shared" si="2"/>
        <v/>
      </c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L1292" s="4" t="str">
        <f t="shared" si="1"/>
        <v/>
      </c>
      <c r="AM1292" s="4" t="str">
        <f t="shared" si="2"/>
        <v/>
      </c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L1293" s="4" t="str">
        <f t="shared" si="1"/>
        <v/>
      </c>
      <c r="AM1293" s="4" t="str">
        <f t="shared" si="2"/>
        <v/>
      </c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L1294" s="4" t="str">
        <f t="shared" si="1"/>
        <v/>
      </c>
      <c r="AM1294" s="4" t="str">
        <f t="shared" si="2"/>
        <v/>
      </c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L1295" s="4" t="str">
        <f t="shared" si="1"/>
        <v/>
      </c>
      <c r="AM1295" s="4" t="str">
        <f t="shared" si="2"/>
        <v/>
      </c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L1296" s="4" t="str">
        <f t="shared" si="1"/>
        <v/>
      </c>
      <c r="AM1296" s="4" t="str">
        <f t="shared" si="2"/>
        <v/>
      </c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L1297" s="4" t="str">
        <f t="shared" si="1"/>
        <v/>
      </c>
      <c r="AM1297" s="4" t="str">
        <f t="shared" si="2"/>
        <v/>
      </c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L1298" s="4" t="str">
        <f t="shared" si="1"/>
        <v/>
      </c>
      <c r="AM1298" s="4" t="str">
        <f t="shared" si="2"/>
        <v/>
      </c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L1299" s="4" t="str">
        <f t="shared" si="1"/>
        <v/>
      </c>
      <c r="AM1299" s="4" t="str">
        <f t="shared" si="2"/>
        <v/>
      </c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L1300" s="4" t="str">
        <f t="shared" si="1"/>
        <v/>
      </c>
      <c r="AM1300" s="4" t="str">
        <f t="shared" si="2"/>
        <v/>
      </c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L1301" s="4" t="str">
        <f t="shared" si="1"/>
        <v/>
      </c>
      <c r="AM1301" s="4" t="str">
        <f t="shared" si="2"/>
        <v/>
      </c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L1302" s="4" t="str">
        <f t="shared" si="1"/>
        <v/>
      </c>
      <c r="AM1302" s="4" t="str">
        <f t="shared" si="2"/>
        <v/>
      </c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L1303" s="4" t="str">
        <f t="shared" si="1"/>
        <v/>
      </c>
      <c r="AM1303" s="4" t="str">
        <f t="shared" si="2"/>
        <v/>
      </c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L1304" s="4" t="str">
        <f t="shared" si="1"/>
        <v/>
      </c>
      <c r="AM1304" s="4" t="str">
        <f t="shared" si="2"/>
        <v/>
      </c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L1305" s="4" t="str">
        <f t="shared" si="1"/>
        <v/>
      </c>
      <c r="AM1305" s="4" t="str">
        <f t="shared" si="2"/>
        <v/>
      </c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L1306" s="4" t="str">
        <f t="shared" si="1"/>
        <v/>
      </c>
      <c r="AM1306" s="4" t="str">
        <f t="shared" si="2"/>
        <v/>
      </c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L1307" s="4" t="str">
        <f t="shared" si="1"/>
        <v/>
      </c>
      <c r="AM1307" s="4" t="str">
        <f t="shared" si="2"/>
        <v/>
      </c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L1308" s="4" t="str">
        <f t="shared" si="1"/>
        <v/>
      </c>
      <c r="AM1308" s="4" t="str">
        <f t="shared" si="2"/>
        <v/>
      </c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L1309" s="4" t="str">
        <f t="shared" si="1"/>
        <v/>
      </c>
      <c r="AM1309" s="4" t="str">
        <f t="shared" si="2"/>
        <v/>
      </c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L1310" s="4" t="str">
        <f t="shared" si="1"/>
        <v/>
      </c>
      <c r="AM1310" s="4" t="str">
        <f t="shared" si="2"/>
        <v/>
      </c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L1311" s="4" t="str">
        <f t="shared" si="1"/>
        <v/>
      </c>
      <c r="AM1311" s="4" t="str">
        <f t="shared" si="2"/>
        <v/>
      </c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L1312" s="4" t="str">
        <f t="shared" si="1"/>
        <v/>
      </c>
      <c r="AM1312" s="4" t="str">
        <f t="shared" si="2"/>
        <v/>
      </c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L1313" s="4" t="str">
        <f t="shared" si="1"/>
        <v/>
      </c>
      <c r="AM1313" s="4" t="str">
        <f t="shared" si="2"/>
        <v/>
      </c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L1314" s="4" t="str">
        <f t="shared" si="1"/>
        <v/>
      </c>
      <c r="AM1314" s="4" t="str">
        <f t="shared" si="2"/>
        <v/>
      </c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L1315" s="4" t="str">
        <f t="shared" si="1"/>
        <v/>
      </c>
      <c r="AM1315" s="4" t="str">
        <f t="shared" si="2"/>
        <v/>
      </c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L1316" s="4" t="str">
        <f t="shared" si="1"/>
        <v/>
      </c>
      <c r="AM1316" s="4" t="str">
        <f t="shared" si="2"/>
        <v/>
      </c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L1317" s="4" t="str">
        <f t="shared" si="1"/>
        <v/>
      </c>
      <c r="AM1317" s="4" t="str">
        <f t="shared" si="2"/>
        <v/>
      </c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L1318" s="4" t="str">
        <f t="shared" si="1"/>
        <v/>
      </c>
      <c r="AM1318" s="4" t="str">
        <f t="shared" si="2"/>
        <v/>
      </c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L1319" s="4" t="str">
        <f t="shared" si="1"/>
        <v/>
      </c>
      <c r="AM1319" s="4" t="str">
        <f t="shared" si="2"/>
        <v/>
      </c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L1320" s="4" t="str">
        <f t="shared" si="1"/>
        <v/>
      </c>
      <c r="AM1320" s="4" t="str">
        <f t="shared" si="2"/>
        <v/>
      </c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L1321" s="4" t="str">
        <f t="shared" si="1"/>
        <v/>
      </c>
      <c r="AM1321" s="4" t="str">
        <f t="shared" si="2"/>
        <v/>
      </c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L1322" s="4" t="str">
        <f t="shared" si="1"/>
        <v/>
      </c>
      <c r="AM1322" s="4" t="str">
        <f t="shared" si="2"/>
        <v/>
      </c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L1323" s="4" t="str">
        <f t="shared" si="1"/>
        <v/>
      </c>
      <c r="AM1323" s="4" t="str">
        <f t="shared" si="2"/>
        <v/>
      </c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L1324" s="4" t="str">
        <f t="shared" si="1"/>
        <v/>
      </c>
      <c r="AM1324" s="4" t="str">
        <f t="shared" si="2"/>
        <v/>
      </c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L1325" s="4" t="str">
        <f t="shared" si="1"/>
        <v/>
      </c>
      <c r="AM1325" s="4" t="str">
        <f t="shared" si="2"/>
        <v/>
      </c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L1326" s="4" t="str">
        <f t="shared" si="1"/>
        <v/>
      </c>
      <c r="AM1326" s="4" t="str">
        <f t="shared" si="2"/>
        <v/>
      </c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L1327" s="4" t="str">
        <f t="shared" si="1"/>
        <v/>
      </c>
      <c r="AM1327" s="4" t="str">
        <f t="shared" si="2"/>
        <v/>
      </c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L1328" s="4" t="str">
        <f t="shared" si="1"/>
        <v/>
      </c>
      <c r="AM1328" s="4" t="str">
        <f t="shared" si="2"/>
        <v/>
      </c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L1329" s="4" t="str">
        <f t="shared" si="1"/>
        <v/>
      </c>
      <c r="AM1329" s="4" t="str">
        <f t="shared" si="2"/>
        <v/>
      </c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L1330" s="4" t="str">
        <f t="shared" si="1"/>
        <v/>
      </c>
      <c r="AM1330" s="4" t="str">
        <f t="shared" si="2"/>
        <v/>
      </c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L1331" s="4" t="str">
        <f t="shared" si="1"/>
        <v/>
      </c>
      <c r="AM1331" s="4" t="str">
        <f t="shared" si="2"/>
        <v/>
      </c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L1332" s="4" t="str">
        <f t="shared" si="1"/>
        <v/>
      </c>
      <c r="AM1332" s="4" t="str">
        <f t="shared" si="2"/>
        <v/>
      </c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L1333" s="4" t="str">
        <f t="shared" si="1"/>
        <v/>
      </c>
      <c r="AM1333" s="4" t="str">
        <f t="shared" si="2"/>
        <v/>
      </c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L1334" s="4" t="str">
        <f t="shared" si="1"/>
        <v/>
      </c>
      <c r="AM1334" s="4" t="str">
        <f t="shared" si="2"/>
        <v/>
      </c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L1335" s="4" t="str">
        <f t="shared" si="1"/>
        <v/>
      </c>
      <c r="AM1335" s="4" t="str">
        <f t="shared" si="2"/>
        <v/>
      </c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L1336" s="4" t="str">
        <f t="shared" si="1"/>
        <v/>
      </c>
      <c r="AM1336" s="4" t="str">
        <f t="shared" si="2"/>
        <v/>
      </c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L1337" s="4" t="str">
        <f t="shared" si="1"/>
        <v/>
      </c>
      <c r="AM1337" s="4" t="str">
        <f t="shared" si="2"/>
        <v/>
      </c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L1338" s="4" t="str">
        <f t="shared" si="1"/>
        <v/>
      </c>
      <c r="AM1338" s="4" t="str">
        <f t="shared" si="2"/>
        <v/>
      </c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L1339" s="4" t="str">
        <f t="shared" si="1"/>
        <v/>
      </c>
      <c r="AM1339" s="4" t="str">
        <f t="shared" si="2"/>
        <v/>
      </c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L1340" s="4" t="str">
        <f t="shared" si="1"/>
        <v/>
      </c>
      <c r="AM1340" s="4" t="str">
        <f t="shared" si="2"/>
        <v/>
      </c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L1341" s="4" t="str">
        <f t="shared" si="1"/>
        <v/>
      </c>
      <c r="AM1341" s="4" t="str">
        <f t="shared" si="2"/>
        <v/>
      </c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L1342" s="4" t="str">
        <f t="shared" si="1"/>
        <v/>
      </c>
      <c r="AM1342" s="4" t="str">
        <f t="shared" si="2"/>
        <v/>
      </c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L1343" s="4" t="str">
        <f t="shared" si="1"/>
        <v/>
      </c>
      <c r="AM1343" s="4" t="str">
        <f t="shared" si="2"/>
        <v/>
      </c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L1344" s="4" t="str">
        <f t="shared" si="1"/>
        <v/>
      </c>
      <c r="AM1344" s="4" t="str">
        <f t="shared" si="2"/>
        <v/>
      </c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L1345" s="4" t="str">
        <f t="shared" si="1"/>
        <v/>
      </c>
      <c r="AM1345" s="4" t="str">
        <f t="shared" si="2"/>
        <v/>
      </c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L1346" s="4" t="str">
        <f t="shared" si="1"/>
        <v/>
      </c>
      <c r="AM1346" s="4" t="str">
        <f t="shared" si="2"/>
        <v/>
      </c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L1347" s="4" t="str">
        <f t="shared" si="1"/>
        <v/>
      </c>
      <c r="AM1347" s="4" t="str">
        <f t="shared" si="2"/>
        <v/>
      </c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L1348" s="4" t="str">
        <f t="shared" si="1"/>
        <v/>
      </c>
      <c r="AM1348" s="4" t="str">
        <f t="shared" si="2"/>
        <v/>
      </c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L1349" s="4" t="str">
        <f t="shared" si="1"/>
        <v/>
      </c>
      <c r="AM1349" s="4" t="str">
        <f t="shared" si="2"/>
        <v/>
      </c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L1350" s="4" t="str">
        <f t="shared" si="1"/>
        <v/>
      </c>
      <c r="AM1350" s="4" t="str">
        <f t="shared" si="2"/>
        <v/>
      </c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L1351" s="4" t="str">
        <f t="shared" si="1"/>
        <v/>
      </c>
      <c r="AM1351" s="4" t="str">
        <f t="shared" si="2"/>
        <v/>
      </c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L1352" s="4" t="str">
        <f t="shared" si="1"/>
        <v/>
      </c>
      <c r="AM1352" s="4" t="str">
        <f t="shared" si="2"/>
        <v/>
      </c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L1353" s="4" t="str">
        <f t="shared" si="1"/>
        <v/>
      </c>
      <c r="AM1353" s="4" t="str">
        <f t="shared" si="2"/>
        <v/>
      </c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L1354" s="4" t="str">
        <f t="shared" si="1"/>
        <v/>
      </c>
      <c r="AM1354" s="4" t="str">
        <f t="shared" si="2"/>
        <v/>
      </c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L1355" s="4" t="str">
        <f t="shared" si="1"/>
        <v/>
      </c>
      <c r="AM1355" s="4" t="str">
        <f t="shared" si="2"/>
        <v/>
      </c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L1356" s="4" t="str">
        <f t="shared" si="1"/>
        <v/>
      </c>
      <c r="AM1356" s="4" t="str">
        <f t="shared" si="2"/>
        <v/>
      </c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L1357" s="4" t="str">
        <f t="shared" si="1"/>
        <v/>
      </c>
      <c r="AM1357" s="4" t="str">
        <f t="shared" si="2"/>
        <v/>
      </c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L1358" s="4" t="str">
        <f t="shared" si="1"/>
        <v/>
      </c>
      <c r="AM1358" s="4" t="str">
        <f t="shared" si="2"/>
        <v/>
      </c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L1359" s="4" t="str">
        <f t="shared" si="1"/>
        <v/>
      </c>
      <c r="AM1359" s="4" t="str">
        <f t="shared" si="2"/>
        <v/>
      </c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L1360" s="4" t="str">
        <f t="shared" si="1"/>
        <v/>
      </c>
      <c r="AM1360" s="4" t="str">
        <f t="shared" si="2"/>
        <v/>
      </c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L1361" s="4" t="str">
        <f t="shared" si="1"/>
        <v/>
      </c>
      <c r="AM1361" s="4" t="str">
        <f t="shared" si="2"/>
        <v/>
      </c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L1362" s="4" t="str">
        <f t="shared" si="1"/>
        <v/>
      </c>
      <c r="AM1362" s="4" t="str">
        <f t="shared" si="2"/>
        <v/>
      </c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L1363" s="4" t="str">
        <f t="shared" si="1"/>
        <v/>
      </c>
      <c r="AM1363" s="4" t="str">
        <f t="shared" si="2"/>
        <v/>
      </c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L1364" s="4" t="str">
        <f t="shared" si="1"/>
        <v/>
      </c>
      <c r="AM1364" s="4" t="str">
        <f t="shared" si="2"/>
        <v/>
      </c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L1365" s="4" t="str">
        <f t="shared" si="1"/>
        <v/>
      </c>
      <c r="AM1365" s="4" t="str">
        <f t="shared" si="2"/>
        <v/>
      </c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L1366" s="4" t="str">
        <f t="shared" si="1"/>
        <v/>
      </c>
      <c r="AM1366" s="4" t="str">
        <f t="shared" si="2"/>
        <v/>
      </c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L1367" s="4" t="str">
        <f t="shared" si="1"/>
        <v/>
      </c>
      <c r="AM1367" s="4" t="str">
        <f t="shared" si="2"/>
        <v/>
      </c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L1368" s="4" t="str">
        <f t="shared" si="1"/>
        <v/>
      </c>
      <c r="AM1368" s="4" t="str">
        <f t="shared" si="2"/>
        <v/>
      </c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L1369" s="4" t="str">
        <f t="shared" si="1"/>
        <v/>
      </c>
      <c r="AM1369" s="4" t="str">
        <f t="shared" si="2"/>
        <v/>
      </c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L1370" s="4" t="str">
        <f t="shared" si="1"/>
        <v/>
      </c>
      <c r="AM1370" s="4" t="str">
        <f t="shared" si="2"/>
        <v/>
      </c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L1371" s="4" t="str">
        <f t="shared" si="1"/>
        <v/>
      </c>
      <c r="AM1371" s="4" t="str">
        <f t="shared" si="2"/>
        <v/>
      </c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L1372" s="4" t="str">
        <f t="shared" si="1"/>
        <v/>
      </c>
      <c r="AM1372" s="4" t="str">
        <f t="shared" si="2"/>
        <v/>
      </c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L1373" s="4" t="str">
        <f t="shared" si="1"/>
        <v/>
      </c>
      <c r="AM1373" s="4" t="str">
        <f t="shared" si="2"/>
        <v/>
      </c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L1374" s="4" t="str">
        <f t="shared" si="1"/>
        <v/>
      </c>
      <c r="AM1374" s="4" t="str">
        <f t="shared" si="2"/>
        <v/>
      </c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L1375" s="4" t="str">
        <f t="shared" si="1"/>
        <v/>
      </c>
      <c r="AM1375" s="4" t="str">
        <f t="shared" si="2"/>
        <v/>
      </c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L1376" s="4" t="str">
        <f t="shared" si="1"/>
        <v/>
      </c>
      <c r="AM1376" s="4" t="str">
        <f t="shared" si="2"/>
        <v/>
      </c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L1377" s="4" t="str">
        <f t="shared" si="1"/>
        <v/>
      </c>
      <c r="AM1377" s="4" t="str">
        <f t="shared" si="2"/>
        <v/>
      </c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L1378" s="4" t="str">
        <f t="shared" si="1"/>
        <v/>
      </c>
      <c r="AM1378" s="4" t="str">
        <f t="shared" si="2"/>
        <v/>
      </c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L1379" s="4" t="str">
        <f t="shared" si="1"/>
        <v/>
      </c>
      <c r="AM1379" s="4" t="str">
        <f t="shared" si="2"/>
        <v/>
      </c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L1380" s="4" t="str">
        <f t="shared" si="1"/>
        <v/>
      </c>
      <c r="AM1380" s="4" t="str">
        <f t="shared" si="2"/>
        <v/>
      </c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L1381" s="4" t="str">
        <f t="shared" si="1"/>
        <v/>
      </c>
      <c r="AM1381" s="4" t="str">
        <f t="shared" si="2"/>
        <v/>
      </c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L1382" s="4" t="str">
        <f t="shared" si="1"/>
        <v/>
      </c>
      <c r="AM1382" s="4" t="str">
        <f t="shared" si="2"/>
        <v/>
      </c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L1383" s="4" t="str">
        <f t="shared" si="1"/>
        <v/>
      </c>
      <c r="AM1383" s="4" t="str">
        <f t="shared" si="2"/>
        <v/>
      </c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L1384" s="4" t="str">
        <f t="shared" si="1"/>
        <v/>
      </c>
      <c r="AM1384" s="4" t="str">
        <f t="shared" si="2"/>
        <v/>
      </c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L1385" s="4" t="str">
        <f t="shared" si="1"/>
        <v/>
      </c>
      <c r="AM1385" s="4" t="str">
        <f t="shared" si="2"/>
        <v/>
      </c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L1386" s="4" t="str">
        <f t="shared" si="1"/>
        <v/>
      </c>
      <c r="AM1386" s="4" t="str">
        <f t="shared" si="2"/>
        <v/>
      </c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L1387" s="4" t="str">
        <f t="shared" si="1"/>
        <v/>
      </c>
      <c r="AM1387" s="4" t="str">
        <f t="shared" si="2"/>
        <v/>
      </c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L1388" s="4" t="str">
        <f t="shared" si="1"/>
        <v/>
      </c>
      <c r="AM1388" s="4" t="str">
        <f t="shared" si="2"/>
        <v/>
      </c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L1389" s="4" t="str">
        <f t="shared" si="1"/>
        <v/>
      </c>
      <c r="AM1389" s="4" t="str">
        <f t="shared" si="2"/>
        <v/>
      </c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L1390" s="4" t="str">
        <f t="shared" si="1"/>
        <v/>
      </c>
      <c r="AM1390" s="4" t="str">
        <f t="shared" si="2"/>
        <v/>
      </c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L1391" s="4" t="str">
        <f t="shared" si="1"/>
        <v/>
      </c>
      <c r="AM1391" s="4" t="str">
        <f t="shared" si="2"/>
        <v/>
      </c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L1392" s="4" t="str">
        <f t="shared" si="1"/>
        <v/>
      </c>
      <c r="AM1392" s="4" t="str">
        <f t="shared" si="2"/>
        <v/>
      </c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L1393" s="4" t="str">
        <f t="shared" si="1"/>
        <v/>
      </c>
      <c r="AM1393" s="4" t="str">
        <f t="shared" si="2"/>
        <v/>
      </c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L1394" s="4" t="str">
        <f t="shared" si="1"/>
        <v/>
      </c>
      <c r="AM1394" s="4" t="str">
        <f t="shared" si="2"/>
        <v/>
      </c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L1395" s="4" t="str">
        <f t="shared" si="1"/>
        <v/>
      </c>
      <c r="AM1395" s="4" t="str">
        <f t="shared" si="2"/>
        <v/>
      </c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L1396" s="4" t="str">
        <f t="shared" si="1"/>
        <v/>
      </c>
      <c r="AM1396" s="4" t="str">
        <f t="shared" si="2"/>
        <v/>
      </c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L1397" s="4" t="str">
        <f t="shared" si="1"/>
        <v/>
      </c>
      <c r="AM1397" s="4" t="str">
        <f t="shared" si="2"/>
        <v/>
      </c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L1398" s="4" t="str">
        <f t="shared" si="1"/>
        <v/>
      </c>
      <c r="AM1398" s="4" t="str">
        <f t="shared" si="2"/>
        <v/>
      </c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L1399" s="4" t="str">
        <f t="shared" si="1"/>
        <v/>
      </c>
      <c r="AM1399" s="4" t="str">
        <f t="shared" si="2"/>
        <v/>
      </c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L1400" s="4" t="str">
        <f t="shared" si="1"/>
        <v/>
      </c>
      <c r="AM1400" s="4" t="str">
        <f t="shared" si="2"/>
        <v/>
      </c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L1401" s="4" t="str">
        <f t="shared" si="1"/>
        <v/>
      </c>
      <c r="AM1401" s="4" t="str">
        <f t="shared" si="2"/>
        <v/>
      </c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L1402" s="4" t="str">
        <f t="shared" si="1"/>
        <v/>
      </c>
      <c r="AM1402" s="4" t="str">
        <f t="shared" si="2"/>
        <v/>
      </c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L1403" s="4" t="str">
        <f t="shared" si="1"/>
        <v/>
      </c>
      <c r="AM1403" s="4" t="str">
        <f t="shared" si="2"/>
        <v/>
      </c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L1404" s="4" t="str">
        <f t="shared" si="1"/>
        <v/>
      </c>
      <c r="AM1404" s="4" t="str">
        <f t="shared" si="2"/>
        <v/>
      </c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L1405" s="4" t="str">
        <f t="shared" si="1"/>
        <v/>
      </c>
      <c r="AM1405" s="4" t="str">
        <f t="shared" si="2"/>
        <v/>
      </c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L1406" s="4" t="str">
        <f t="shared" si="1"/>
        <v/>
      </c>
      <c r="AM1406" s="4" t="str">
        <f t="shared" si="2"/>
        <v/>
      </c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L1407" s="4" t="str">
        <f t="shared" si="1"/>
        <v/>
      </c>
      <c r="AM1407" s="4" t="str">
        <f t="shared" si="2"/>
        <v/>
      </c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L1408" s="4" t="str">
        <f t="shared" si="1"/>
        <v/>
      </c>
      <c r="AM1408" s="4" t="str">
        <f t="shared" si="2"/>
        <v/>
      </c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L1409" s="4" t="str">
        <f t="shared" si="1"/>
        <v/>
      </c>
      <c r="AM1409" s="4" t="str">
        <f t="shared" si="2"/>
        <v/>
      </c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L1410" s="4" t="str">
        <f t="shared" si="1"/>
        <v/>
      </c>
      <c r="AM1410" s="4" t="str">
        <f t="shared" si="2"/>
        <v/>
      </c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L1411" s="4" t="str">
        <f t="shared" si="1"/>
        <v/>
      </c>
      <c r="AM1411" s="4" t="str">
        <f t="shared" si="2"/>
        <v/>
      </c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L1412" s="4" t="str">
        <f t="shared" si="1"/>
        <v/>
      </c>
      <c r="AM1412" s="4" t="str">
        <f t="shared" si="2"/>
        <v/>
      </c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L1413" s="4" t="str">
        <f t="shared" si="1"/>
        <v/>
      </c>
      <c r="AM1413" s="4" t="str">
        <f t="shared" si="2"/>
        <v/>
      </c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L1414" s="4" t="str">
        <f t="shared" si="1"/>
        <v/>
      </c>
      <c r="AM1414" s="4" t="str">
        <f t="shared" si="2"/>
        <v/>
      </c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L1415" s="4" t="str">
        <f t="shared" si="1"/>
        <v/>
      </c>
      <c r="AM1415" s="4" t="str">
        <f t="shared" si="2"/>
        <v/>
      </c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L1416" s="4" t="str">
        <f t="shared" si="1"/>
        <v/>
      </c>
      <c r="AM1416" s="4" t="str">
        <f t="shared" si="2"/>
        <v/>
      </c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L1417" s="4" t="str">
        <f t="shared" si="1"/>
        <v/>
      </c>
      <c r="AM1417" s="4" t="str">
        <f t="shared" si="2"/>
        <v/>
      </c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L1418" s="4" t="str">
        <f t="shared" si="1"/>
        <v/>
      </c>
      <c r="AM1418" s="4" t="str">
        <f t="shared" si="2"/>
        <v/>
      </c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L1419" s="4" t="str">
        <f t="shared" si="1"/>
        <v/>
      </c>
      <c r="AM1419" s="4" t="str">
        <f t="shared" si="2"/>
        <v/>
      </c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L1420" s="4" t="str">
        <f t="shared" si="1"/>
        <v/>
      </c>
      <c r="AM1420" s="4" t="str">
        <f t="shared" si="2"/>
        <v/>
      </c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L1421" s="4" t="str">
        <f t="shared" si="1"/>
        <v/>
      </c>
      <c r="AM1421" s="4" t="str">
        <f t="shared" si="2"/>
        <v/>
      </c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L1422" s="4" t="str">
        <f t="shared" si="1"/>
        <v/>
      </c>
      <c r="AM1422" s="4" t="str">
        <f t="shared" si="2"/>
        <v/>
      </c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L1423" s="4" t="str">
        <f t="shared" si="1"/>
        <v/>
      </c>
      <c r="AM1423" s="4" t="str">
        <f t="shared" si="2"/>
        <v/>
      </c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L1424" s="4" t="str">
        <f t="shared" si="1"/>
        <v/>
      </c>
      <c r="AM1424" s="4" t="str">
        <f t="shared" si="2"/>
        <v/>
      </c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L1425" s="4" t="str">
        <f t="shared" si="1"/>
        <v/>
      </c>
      <c r="AM1425" s="4" t="str">
        <f t="shared" si="2"/>
        <v/>
      </c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L1426" s="4" t="str">
        <f t="shared" si="1"/>
        <v/>
      </c>
      <c r="AM1426" s="4" t="str">
        <f t="shared" si="2"/>
        <v/>
      </c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L1427" s="4" t="str">
        <f t="shared" si="1"/>
        <v/>
      </c>
      <c r="AM1427" s="4" t="str">
        <f t="shared" si="2"/>
        <v/>
      </c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L1428" s="4" t="str">
        <f t="shared" si="1"/>
        <v/>
      </c>
      <c r="AM1428" s="4" t="str">
        <f t="shared" si="2"/>
        <v/>
      </c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L1429" s="4" t="str">
        <f t="shared" si="1"/>
        <v/>
      </c>
      <c r="AM1429" s="4" t="str">
        <f t="shared" si="2"/>
        <v/>
      </c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L1430" s="4" t="str">
        <f t="shared" si="1"/>
        <v/>
      </c>
      <c r="AM1430" s="4" t="str">
        <f t="shared" si="2"/>
        <v/>
      </c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L1431" s="4" t="str">
        <f t="shared" si="1"/>
        <v/>
      </c>
      <c r="AM1431" s="4" t="str">
        <f t="shared" si="2"/>
        <v/>
      </c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L1432" s="4" t="str">
        <f t="shared" si="1"/>
        <v/>
      </c>
      <c r="AM1432" s="4" t="str">
        <f t="shared" si="2"/>
        <v/>
      </c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L1433" s="4" t="str">
        <f t="shared" si="1"/>
        <v/>
      </c>
      <c r="AM1433" s="4" t="str">
        <f t="shared" si="2"/>
        <v/>
      </c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L1434" s="4" t="str">
        <f t="shared" si="1"/>
        <v/>
      </c>
      <c r="AM1434" s="4" t="str">
        <f t="shared" si="2"/>
        <v/>
      </c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L1435" s="4" t="str">
        <f t="shared" si="1"/>
        <v/>
      </c>
      <c r="AM1435" s="4" t="str">
        <f t="shared" si="2"/>
        <v/>
      </c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L1436" s="4" t="str">
        <f t="shared" si="1"/>
        <v/>
      </c>
      <c r="AM1436" s="4" t="str">
        <f t="shared" si="2"/>
        <v/>
      </c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L1437" s="4" t="str">
        <f t="shared" si="1"/>
        <v/>
      </c>
      <c r="AM1437" s="4" t="str">
        <f t="shared" si="2"/>
        <v/>
      </c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L1438" s="4" t="str">
        <f t="shared" si="1"/>
        <v/>
      </c>
      <c r="AM1438" s="4" t="str">
        <f t="shared" si="2"/>
        <v/>
      </c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L1439" s="4" t="str">
        <f t="shared" si="1"/>
        <v/>
      </c>
      <c r="AM1439" s="4" t="str">
        <f t="shared" si="2"/>
        <v/>
      </c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L1440" s="4" t="str">
        <f t="shared" si="1"/>
        <v/>
      </c>
      <c r="AM1440" s="4" t="str">
        <f t="shared" si="2"/>
        <v/>
      </c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L1441" s="4" t="str">
        <f t="shared" si="1"/>
        <v/>
      </c>
      <c r="AM1441" s="4" t="str">
        <f t="shared" si="2"/>
        <v/>
      </c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L1442" s="4" t="str">
        <f t="shared" si="1"/>
        <v/>
      </c>
      <c r="AM1442" s="4" t="str">
        <f t="shared" si="2"/>
        <v/>
      </c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L1443" s="4" t="str">
        <f t="shared" si="1"/>
        <v/>
      </c>
      <c r="AM1443" s="4" t="str">
        <f t="shared" si="2"/>
        <v/>
      </c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L1444" s="4" t="str">
        <f t="shared" si="1"/>
        <v/>
      </c>
      <c r="AM1444" s="4" t="str">
        <f t="shared" si="2"/>
        <v/>
      </c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L1445" s="4" t="str">
        <f t="shared" si="1"/>
        <v/>
      </c>
      <c r="AM1445" s="4" t="str">
        <f t="shared" si="2"/>
        <v/>
      </c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L1446" s="4" t="str">
        <f t="shared" si="1"/>
        <v/>
      </c>
      <c r="AM1446" s="4" t="str">
        <f t="shared" si="2"/>
        <v/>
      </c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L1447" s="4" t="str">
        <f t="shared" si="1"/>
        <v/>
      </c>
      <c r="AM1447" s="4" t="str">
        <f t="shared" si="2"/>
        <v/>
      </c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L1448" s="4" t="str">
        <f t="shared" si="1"/>
        <v/>
      </c>
      <c r="AM1448" s="4" t="str">
        <f t="shared" si="2"/>
        <v/>
      </c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L1449" s="4" t="str">
        <f t="shared" si="1"/>
        <v/>
      </c>
      <c r="AM1449" s="4" t="str">
        <f t="shared" si="2"/>
        <v/>
      </c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L1450" s="4" t="str">
        <f t="shared" si="1"/>
        <v/>
      </c>
      <c r="AM1450" s="4" t="str">
        <f t="shared" si="2"/>
        <v/>
      </c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L1451" s="4" t="str">
        <f t="shared" si="1"/>
        <v/>
      </c>
      <c r="AM1451" s="4" t="str">
        <f t="shared" si="2"/>
        <v/>
      </c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L1452" s="4" t="str">
        <f t="shared" si="1"/>
        <v/>
      </c>
      <c r="AM1452" s="4" t="str">
        <f t="shared" si="2"/>
        <v/>
      </c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L1453" s="4" t="str">
        <f t="shared" si="1"/>
        <v/>
      </c>
      <c r="AM1453" s="4" t="str">
        <f t="shared" si="2"/>
        <v/>
      </c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L1454" s="4" t="str">
        <f t="shared" si="1"/>
        <v/>
      </c>
      <c r="AM1454" s="4" t="str">
        <f t="shared" si="2"/>
        <v/>
      </c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L1455" s="4" t="str">
        <f t="shared" si="1"/>
        <v/>
      </c>
      <c r="AM1455" s="4" t="str">
        <f t="shared" si="2"/>
        <v/>
      </c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L1456" s="4" t="str">
        <f t="shared" si="1"/>
        <v/>
      </c>
      <c r="AM1456" s="4" t="str">
        <f t="shared" si="2"/>
        <v/>
      </c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L1457" s="4" t="str">
        <f t="shared" si="1"/>
        <v/>
      </c>
      <c r="AM1457" s="4" t="str">
        <f t="shared" si="2"/>
        <v/>
      </c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L1458" s="4" t="str">
        <f t="shared" si="1"/>
        <v/>
      </c>
      <c r="AM1458" s="4" t="str">
        <f t="shared" si="2"/>
        <v/>
      </c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L1459" s="4" t="str">
        <f t="shared" si="1"/>
        <v/>
      </c>
      <c r="AM1459" s="4" t="str">
        <f t="shared" si="2"/>
        <v/>
      </c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L1460" s="4" t="str">
        <f t="shared" si="1"/>
        <v/>
      </c>
      <c r="AM1460" s="4" t="str">
        <f t="shared" si="2"/>
        <v/>
      </c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L1461" s="4" t="str">
        <f t="shared" si="1"/>
        <v/>
      </c>
      <c r="AM1461" s="4" t="str">
        <f t="shared" si="2"/>
        <v/>
      </c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L1462" s="4" t="str">
        <f t="shared" si="1"/>
        <v/>
      </c>
      <c r="AM1462" s="4" t="str">
        <f t="shared" si="2"/>
        <v/>
      </c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L1463" s="4" t="str">
        <f t="shared" si="1"/>
        <v/>
      </c>
      <c r="AM1463" s="4" t="str">
        <f t="shared" si="2"/>
        <v/>
      </c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L1464" s="4" t="str">
        <f t="shared" si="1"/>
        <v/>
      </c>
      <c r="AM1464" s="4" t="str">
        <f t="shared" si="2"/>
        <v/>
      </c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L1465" s="4" t="str">
        <f t="shared" si="1"/>
        <v/>
      </c>
      <c r="AM1465" s="4" t="str">
        <f t="shared" si="2"/>
        <v/>
      </c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L1466" s="4" t="str">
        <f t="shared" si="1"/>
        <v/>
      </c>
      <c r="AM1466" s="4" t="str">
        <f t="shared" si="2"/>
        <v/>
      </c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L1467" s="4" t="str">
        <f t="shared" si="1"/>
        <v/>
      </c>
      <c r="AM1467" s="4" t="str">
        <f t="shared" si="2"/>
        <v/>
      </c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L1468" s="4" t="str">
        <f t="shared" si="1"/>
        <v/>
      </c>
      <c r="AM1468" s="4" t="str">
        <f t="shared" si="2"/>
        <v/>
      </c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L1469" s="4" t="str">
        <f t="shared" si="1"/>
        <v/>
      </c>
      <c r="AM1469" s="4" t="str">
        <f t="shared" si="2"/>
        <v/>
      </c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L1470" s="4" t="str">
        <f t="shared" si="1"/>
        <v/>
      </c>
      <c r="AM1470" s="4" t="str">
        <f t="shared" si="2"/>
        <v/>
      </c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L1471" s="4" t="str">
        <f t="shared" si="1"/>
        <v/>
      </c>
      <c r="AM1471" s="4" t="str">
        <f t="shared" si="2"/>
        <v/>
      </c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L1472" s="4" t="str">
        <f t="shared" si="1"/>
        <v/>
      </c>
      <c r="AM1472" s="4" t="str">
        <f t="shared" si="2"/>
        <v/>
      </c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L1473" s="4" t="str">
        <f t="shared" si="1"/>
        <v/>
      </c>
      <c r="AM1473" s="4" t="str">
        <f t="shared" si="2"/>
        <v/>
      </c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L1474" s="4" t="str">
        <f t="shared" si="1"/>
        <v/>
      </c>
      <c r="AM1474" s="4" t="str">
        <f t="shared" si="2"/>
        <v/>
      </c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L1475" s="4" t="str">
        <f t="shared" si="1"/>
        <v/>
      </c>
      <c r="AM1475" s="4" t="str">
        <f t="shared" si="2"/>
        <v/>
      </c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L1476" s="4" t="str">
        <f t="shared" si="1"/>
        <v/>
      </c>
      <c r="AM1476" s="4" t="str">
        <f t="shared" si="2"/>
        <v/>
      </c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L1477" s="4" t="str">
        <f t="shared" si="1"/>
        <v/>
      </c>
      <c r="AM1477" s="4" t="str">
        <f t="shared" si="2"/>
        <v/>
      </c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L1478" s="4" t="str">
        <f t="shared" si="1"/>
        <v/>
      </c>
      <c r="AM1478" s="4" t="str">
        <f t="shared" si="2"/>
        <v/>
      </c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L1479" s="4" t="str">
        <f t="shared" si="1"/>
        <v/>
      </c>
      <c r="AM1479" s="4" t="str">
        <f t="shared" si="2"/>
        <v/>
      </c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L1480" s="4" t="str">
        <f t="shared" si="1"/>
        <v/>
      </c>
      <c r="AM1480" s="4" t="str">
        <f t="shared" si="2"/>
        <v/>
      </c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L1481" s="4" t="str">
        <f t="shared" si="1"/>
        <v/>
      </c>
      <c r="AM1481" s="4" t="str">
        <f t="shared" si="2"/>
        <v/>
      </c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L1482" s="4" t="str">
        <f t="shared" si="1"/>
        <v/>
      </c>
      <c r="AM1482" s="4" t="str">
        <f t="shared" si="2"/>
        <v/>
      </c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L1483" s="4" t="str">
        <f t="shared" si="1"/>
        <v/>
      </c>
      <c r="AM1483" s="4" t="str">
        <f t="shared" si="2"/>
        <v/>
      </c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L1484" s="4" t="str">
        <f t="shared" si="1"/>
        <v/>
      </c>
      <c r="AM1484" s="4" t="str">
        <f t="shared" si="2"/>
        <v/>
      </c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L1485" s="4" t="str">
        <f t="shared" si="1"/>
        <v/>
      </c>
      <c r="AM1485" s="4" t="str">
        <f t="shared" si="2"/>
        <v/>
      </c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L1486" s="4" t="str">
        <f t="shared" si="1"/>
        <v/>
      </c>
      <c r="AM1486" s="4" t="str">
        <f t="shared" si="2"/>
        <v/>
      </c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L1487" s="4" t="str">
        <f t="shared" si="1"/>
        <v/>
      </c>
      <c r="AM1487" s="4" t="str">
        <f t="shared" si="2"/>
        <v/>
      </c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L1488" s="4" t="str">
        <f t="shared" si="1"/>
        <v/>
      </c>
      <c r="AM1488" s="4" t="str">
        <f t="shared" si="2"/>
        <v/>
      </c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L1489" s="4" t="str">
        <f t="shared" si="1"/>
        <v/>
      </c>
      <c r="AM1489" s="4" t="str">
        <f t="shared" si="2"/>
        <v/>
      </c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L1490" s="4" t="str">
        <f t="shared" si="1"/>
        <v/>
      </c>
      <c r="AM1490" s="4" t="str">
        <f t="shared" si="2"/>
        <v/>
      </c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L1491" s="4" t="str">
        <f t="shared" si="1"/>
        <v/>
      </c>
      <c r="AM1491" s="4" t="str">
        <f t="shared" si="2"/>
        <v/>
      </c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L1492" s="4" t="str">
        <f t="shared" si="1"/>
        <v/>
      </c>
      <c r="AM1492" s="4" t="str">
        <f t="shared" si="2"/>
        <v/>
      </c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L1493" s="4" t="str">
        <f t="shared" si="1"/>
        <v/>
      </c>
      <c r="AM1493" s="4" t="str">
        <f t="shared" si="2"/>
        <v/>
      </c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L1494" s="4" t="str">
        <f t="shared" si="1"/>
        <v/>
      </c>
      <c r="AM1494" s="4" t="str">
        <f t="shared" si="2"/>
        <v/>
      </c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L1495" s="4" t="str">
        <f t="shared" si="1"/>
        <v/>
      </c>
      <c r="AM1495" s="4" t="str">
        <f t="shared" si="2"/>
        <v/>
      </c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L1496" s="4" t="str">
        <f t="shared" si="1"/>
        <v/>
      </c>
      <c r="AM1496" s="4" t="str">
        <f t="shared" si="2"/>
        <v/>
      </c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L1497" s="4" t="str">
        <f t="shared" si="1"/>
        <v/>
      </c>
      <c r="AM1497" s="4" t="str">
        <f t="shared" si="2"/>
        <v/>
      </c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L1498" s="4" t="str">
        <f t="shared" si="1"/>
        <v/>
      </c>
      <c r="AM1498" s="4" t="str">
        <f t="shared" si="2"/>
        <v/>
      </c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L1499" s="4" t="str">
        <f t="shared" si="1"/>
        <v/>
      </c>
      <c r="AM1499" s="4" t="str">
        <f t="shared" si="2"/>
        <v/>
      </c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L1500" s="4" t="str">
        <f t="shared" si="1"/>
        <v/>
      </c>
      <c r="AM1500" s="4" t="str">
        <f t="shared" si="2"/>
        <v/>
      </c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L1501" s="4" t="str">
        <f t="shared" si="1"/>
        <v/>
      </c>
      <c r="AM1501" s="4" t="str">
        <f t="shared" si="2"/>
        <v/>
      </c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L1502" s="4" t="str">
        <f t="shared" si="1"/>
        <v/>
      </c>
      <c r="AM1502" s="4" t="str">
        <f t="shared" si="2"/>
        <v/>
      </c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L1503" s="4" t="str">
        <f t="shared" si="1"/>
        <v/>
      </c>
      <c r="AM1503" s="4" t="str">
        <f t="shared" si="2"/>
        <v/>
      </c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L1504" s="4" t="str">
        <f t="shared" si="1"/>
        <v/>
      </c>
      <c r="AM1504" s="4" t="str">
        <f t="shared" si="2"/>
        <v/>
      </c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L1505" s="4" t="str">
        <f t="shared" si="1"/>
        <v/>
      </c>
      <c r="AM1505" s="4" t="str">
        <f t="shared" si="2"/>
        <v/>
      </c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L1506" s="4" t="str">
        <f t="shared" si="1"/>
        <v/>
      </c>
      <c r="AM1506" s="4" t="str">
        <f t="shared" si="2"/>
        <v/>
      </c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L1507" s="4" t="str">
        <f t="shared" si="1"/>
        <v/>
      </c>
      <c r="AM1507" s="4" t="str">
        <f t="shared" si="2"/>
        <v/>
      </c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L1508" s="4" t="str">
        <f t="shared" si="1"/>
        <v/>
      </c>
      <c r="AM1508" s="4" t="str">
        <f t="shared" si="2"/>
        <v/>
      </c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L1509" s="4" t="str">
        <f t="shared" si="1"/>
        <v/>
      </c>
      <c r="AM1509" s="4" t="str">
        <f t="shared" si="2"/>
        <v/>
      </c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L1510" s="4" t="str">
        <f t="shared" si="1"/>
        <v/>
      </c>
      <c r="AM1510" s="4" t="str">
        <f t="shared" si="2"/>
        <v/>
      </c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L1511" s="4" t="str">
        <f t="shared" si="1"/>
        <v/>
      </c>
      <c r="AM1511" s="4" t="str">
        <f t="shared" si="2"/>
        <v/>
      </c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L1512" s="4" t="str">
        <f t="shared" si="1"/>
        <v/>
      </c>
      <c r="AM1512" s="4" t="str">
        <f t="shared" si="2"/>
        <v/>
      </c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L1513" s="4" t="str">
        <f t="shared" si="1"/>
        <v/>
      </c>
      <c r="AM1513" s="4" t="str">
        <f t="shared" si="2"/>
        <v/>
      </c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L1514" s="4" t="str">
        <f t="shared" si="1"/>
        <v/>
      </c>
      <c r="AM1514" s="4" t="str">
        <f t="shared" si="2"/>
        <v/>
      </c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L1515" s="4" t="str">
        <f t="shared" si="1"/>
        <v/>
      </c>
      <c r="AM1515" s="4" t="str">
        <f t="shared" si="2"/>
        <v/>
      </c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L1516" s="4" t="str">
        <f t="shared" si="1"/>
        <v/>
      </c>
      <c r="AM1516" s="4" t="str">
        <f t="shared" si="2"/>
        <v/>
      </c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L1517" s="4" t="str">
        <f t="shared" si="1"/>
        <v/>
      </c>
      <c r="AM1517" s="4" t="str">
        <f t="shared" si="2"/>
        <v/>
      </c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L1518" s="4" t="str">
        <f t="shared" si="1"/>
        <v/>
      </c>
      <c r="AM1518" s="4" t="str">
        <f t="shared" si="2"/>
        <v/>
      </c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L1519" s="4" t="str">
        <f t="shared" si="1"/>
        <v/>
      </c>
      <c r="AM1519" s="4" t="str">
        <f t="shared" si="2"/>
        <v/>
      </c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L1520" s="4" t="str">
        <f t="shared" si="1"/>
        <v/>
      </c>
      <c r="AM1520" s="4" t="str">
        <f t="shared" si="2"/>
        <v/>
      </c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L1521" s="4" t="str">
        <f t="shared" si="1"/>
        <v/>
      </c>
      <c r="AM1521" s="4" t="str">
        <f t="shared" si="2"/>
        <v/>
      </c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L1522" s="4" t="str">
        <f t="shared" si="1"/>
        <v/>
      </c>
      <c r="AM1522" s="4" t="str">
        <f t="shared" si="2"/>
        <v/>
      </c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L1523" s="4" t="str">
        <f t="shared" si="1"/>
        <v/>
      </c>
      <c r="AM1523" s="4" t="str">
        <f t="shared" si="2"/>
        <v/>
      </c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L1524" s="4" t="str">
        <f t="shared" si="1"/>
        <v/>
      </c>
      <c r="AM1524" s="4" t="str">
        <f t="shared" si="2"/>
        <v/>
      </c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L1525" s="4" t="str">
        <f t="shared" si="1"/>
        <v/>
      </c>
      <c r="AM1525" s="4" t="str">
        <f t="shared" si="2"/>
        <v/>
      </c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L1526" s="4" t="str">
        <f t="shared" si="1"/>
        <v/>
      </c>
      <c r="AM1526" s="4" t="str">
        <f t="shared" si="2"/>
        <v/>
      </c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L1527" s="4" t="str">
        <f t="shared" si="1"/>
        <v/>
      </c>
      <c r="AM1527" s="4" t="str">
        <f t="shared" si="2"/>
        <v/>
      </c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L1528" s="4" t="str">
        <f t="shared" si="1"/>
        <v/>
      </c>
      <c r="AM1528" s="4" t="str">
        <f t="shared" si="2"/>
        <v/>
      </c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L1529" s="4" t="str">
        <f t="shared" si="1"/>
        <v/>
      </c>
      <c r="AM1529" s="4" t="str">
        <f t="shared" si="2"/>
        <v/>
      </c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L1530" s="4" t="str">
        <f t="shared" si="1"/>
        <v/>
      </c>
      <c r="AM1530" s="4" t="str">
        <f t="shared" si="2"/>
        <v/>
      </c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L1531" s="4" t="str">
        <f t="shared" si="1"/>
        <v/>
      </c>
      <c r="AM1531" s="4" t="str">
        <f t="shared" si="2"/>
        <v/>
      </c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L1532" s="4" t="str">
        <f t="shared" si="1"/>
        <v/>
      </c>
      <c r="AM1532" s="4" t="str">
        <f t="shared" si="2"/>
        <v/>
      </c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L1533" s="4" t="str">
        <f t="shared" si="1"/>
        <v/>
      </c>
      <c r="AM1533" s="4" t="str">
        <f t="shared" si="2"/>
        <v/>
      </c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L1534" s="4" t="str">
        <f t="shared" si="1"/>
        <v/>
      </c>
      <c r="AM1534" s="4" t="str">
        <f t="shared" si="2"/>
        <v/>
      </c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L1535" s="4" t="str">
        <f t="shared" si="1"/>
        <v/>
      </c>
      <c r="AM1535" s="4" t="str">
        <f t="shared" si="2"/>
        <v/>
      </c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L1536" s="4" t="str">
        <f t="shared" si="1"/>
        <v/>
      </c>
      <c r="AM1536" s="4" t="str">
        <f t="shared" si="2"/>
        <v/>
      </c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L1537" s="4" t="str">
        <f t="shared" si="1"/>
        <v/>
      </c>
      <c r="AM1537" s="4" t="str">
        <f t="shared" si="2"/>
        <v/>
      </c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L1538" s="4" t="str">
        <f t="shared" si="1"/>
        <v/>
      </c>
      <c r="AM1538" s="4" t="str">
        <f t="shared" si="2"/>
        <v/>
      </c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L1539" s="4" t="str">
        <f t="shared" si="1"/>
        <v/>
      </c>
      <c r="AM1539" s="4" t="str">
        <f t="shared" si="2"/>
        <v/>
      </c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L1540" s="4" t="str">
        <f t="shared" si="1"/>
        <v/>
      </c>
      <c r="AM1540" s="4" t="str">
        <f t="shared" si="2"/>
        <v/>
      </c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L1541" s="4" t="str">
        <f t="shared" si="1"/>
        <v/>
      </c>
      <c r="AM1541" s="4" t="str">
        <f t="shared" si="2"/>
        <v/>
      </c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L1542" s="4" t="str">
        <f t="shared" si="1"/>
        <v/>
      </c>
      <c r="AM1542" s="4" t="str">
        <f t="shared" si="2"/>
        <v/>
      </c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L1543" s="4" t="str">
        <f t="shared" si="1"/>
        <v/>
      </c>
      <c r="AM1543" s="4" t="str">
        <f t="shared" si="2"/>
        <v/>
      </c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L1544" s="4" t="str">
        <f t="shared" si="1"/>
        <v/>
      </c>
      <c r="AM1544" s="4" t="str">
        <f t="shared" si="2"/>
        <v/>
      </c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L1545" s="4" t="str">
        <f t="shared" si="1"/>
        <v/>
      </c>
      <c r="AM1545" s="4" t="str">
        <f t="shared" si="2"/>
        <v/>
      </c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L1546" s="4" t="str">
        <f t="shared" si="1"/>
        <v/>
      </c>
      <c r="AM1546" s="4" t="str">
        <f t="shared" si="2"/>
        <v/>
      </c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L1547" s="4" t="str">
        <f t="shared" si="1"/>
        <v/>
      </c>
      <c r="AM1547" s="4" t="str">
        <f t="shared" si="2"/>
        <v/>
      </c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L1548" s="4" t="str">
        <f t="shared" si="1"/>
        <v/>
      </c>
      <c r="AM1548" s="4" t="str">
        <f t="shared" si="2"/>
        <v/>
      </c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L1549" s="4" t="str">
        <f t="shared" si="1"/>
        <v/>
      </c>
      <c r="AM1549" s="4" t="str">
        <f t="shared" si="2"/>
        <v/>
      </c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L1550" s="4" t="str">
        <f t="shared" si="1"/>
        <v/>
      </c>
      <c r="AM1550" s="4" t="str">
        <f t="shared" si="2"/>
        <v/>
      </c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L1551" s="4" t="str">
        <f t="shared" si="1"/>
        <v/>
      </c>
      <c r="AM1551" s="4" t="str">
        <f t="shared" si="2"/>
        <v/>
      </c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L1552" s="4" t="str">
        <f t="shared" si="1"/>
        <v/>
      </c>
      <c r="AM1552" s="4" t="str">
        <f t="shared" si="2"/>
        <v/>
      </c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L1553" s="4" t="str">
        <f t="shared" si="1"/>
        <v/>
      </c>
      <c r="AM1553" s="4" t="str">
        <f t="shared" si="2"/>
        <v/>
      </c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L1554" s="4" t="str">
        <f t="shared" si="1"/>
        <v/>
      </c>
      <c r="AM1554" s="4" t="str">
        <f t="shared" si="2"/>
        <v/>
      </c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L1555" s="4" t="str">
        <f t="shared" si="1"/>
        <v/>
      </c>
      <c r="AM1555" s="4" t="str">
        <f t="shared" si="2"/>
        <v/>
      </c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L1556" s="4" t="str">
        <f t="shared" si="1"/>
        <v/>
      </c>
      <c r="AM1556" s="4" t="str">
        <f t="shared" si="2"/>
        <v/>
      </c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L1557" s="4" t="str">
        <f t="shared" si="1"/>
        <v/>
      </c>
      <c r="AM1557" s="4" t="str">
        <f t="shared" si="2"/>
        <v/>
      </c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L1558" s="4" t="str">
        <f t="shared" si="1"/>
        <v/>
      </c>
      <c r="AM1558" s="4" t="str">
        <f t="shared" si="2"/>
        <v/>
      </c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L1559" s="4" t="str">
        <f t="shared" si="1"/>
        <v/>
      </c>
      <c r="AM1559" s="4" t="str">
        <f t="shared" si="2"/>
        <v/>
      </c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L1560" s="4" t="str">
        <f t="shared" si="1"/>
        <v/>
      </c>
      <c r="AM1560" s="4" t="str">
        <f t="shared" si="2"/>
        <v/>
      </c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L1561" s="4" t="str">
        <f t="shared" si="1"/>
        <v/>
      </c>
      <c r="AM1561" s="4" t="str">
        <f t="shared" si="2"/>
        <v/>
      </c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L1562" s="4" t="str">
        <f t="shared" si="1"/>
        <v/>
      </c>
      <c r="AM1562" s="4" t="str">
        <f t="shared" si="2"/>
        <v/>
      </c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L1563" s="4" t="str">
        <f t="shared" si="1"/>
        <v/>
      </c>
      <c r="AM1563" s="4" t="str">
        <f t="shared" si="2"/>
        <v/>
      </c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L1564" s="4" t="str">
        <f t="shared" si="1"/>
        <v/>
      </c>
      <c r="AM1564" s="4" t="str">
        <f t="shared" si="2"/>
        <v/>
      </c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L1565" s="4" t="str">
        <f t="shared" si="1"/>
        <v/>
      </c>
      <c r="AM1565" s="4" t="str">
        <f t="shared" si="2"/>
        <v/>
      </c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L1566" s="4" t="str">
        <f t="shared" si="1"/>
        <v/>
      </c>
      <c r="AM1566" s="4" t="str">
        <f t="shared" si="2"/>
        <v/>
      </c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L1567" s="4" t="str">
        <f t="shared" si="1"/>
        <v/>
      </c>
      <c r="AM1567" s="4" t="str">
        <f t="shared" si="2"/>
        <v/>
      </c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L1568" s="4" t="str">
        <f t="shared" si="1"/>
        <v/>
      </c>
      <c r="AM1568" s="4" t="str">
        <f t="shared" si="2"/>
        <v/>
      </c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L1569" s="4" t="str">
        <f t="shared" si="1"/>
        <v/>
      </c>
      <c r="AM1569" s="4" t="str">
        <f t="shared" si="2"/>
        <v/>
      </c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L1570" s="4" t="str">
        <f t="shared" si="1"/>
        <v/>
      </c>
      <c r="AM1570" s="4" t="str">
        <f t="shared" si="2"/>
        <v/>
      </c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L1571" s="4" t="str">
        <f t="shared" si="1"/>
        <v/>
      </c>
      <c r="AM1571" s="4" t="str">
        <f t="shared" si="2"/>
        <v/>
      </c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L1572" s="4" t="str">
        <f t="shared" si="1"/>
        <v/>
      </c>
      <c r="AM1572" s="4" t="str">
        <f t="shared" si="2"/>
        <v/>
      </c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L1573" s="4" t="str">
        <f t="shared" si="1"/>
        <v/>
      </c>
      <c r="AM1573" s="4" t="str">
        <f t="shared" si="2"/>
        <v/>
      </c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L1574" s="4" t="str">
        <f t="shared" si="1"/>
        <v/>
      </c>
      <c r="AM1574" s="4" t="str">
        <f t="shared" si="2"/>
        <v/>
      </c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L1575" s="4" t="str">
        <f t="shared" si="1"/>
        <v/>
      </c>
      <c r="AM1575" s="4" t="str">
        <f t="shared" si="2"/>
        <v/>
      </c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L1576" s="4" t="str">
        <f t="shared" si="1"/>
        <v/>
      </c>
      <c r="AM1576" s="4" t="str">
        <f t="shared" si="2"/>
        <v/>
      </c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L1577" s="4" t="str">
        <f t="shared" si="1"/>
        <v/>
      </c>
      <c r="AM1577" s="4" t="str">
        <f t="shared" si="2"/>
        <v/>
      </c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L1578" s="4" t="str">
        <f t="shared" si="1"/>
        <v/>
      </c>
      <c r="AM1578" s="4" t="str">
        <f t="shared" si="2"/>
        <v/>
      </c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L1579" s="4" t="str">
        <f t="shared" si="1"/>
        <v/>
      </c>
      <c r="AM1579" s="4" t="str">
        <f t="shared" si="2"/>
        <v/>
      </c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L1580" s="4" t="str">
        <f t="shared" si="1"/>
        <v/>
      </c>
      <c r="AM1580" s="4" t="str">
        <f t="shared" si="2"/>
        <v/>
      </c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L1581" s="4" t="str">
        <f t="shared" si="1"/>
        <v/>
      </c>
      <c r="AM1581" s="4" t="str">
        <f t="shared" si="2"/>
        <v/>
      </c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L1582" s="4" t="str">
        <f t="shared" si="1"/>
        <v/>
      </c>
      <c r="AM1582" s="4" t="str">
        <f t="shared" si="2"/>
        <v/>
      </c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L1583" s="4" t="str">
        <f t="shared" si="1"/>
        <v/>
      </c>
      <c r="AM1583" s="4" t="str">
        <f t="shared" si="2"/>
        <v/>
      </c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L1584" s="4" t="str">
        <f t="shared" si="1"/>
        <v/>
      </c>
      <c r="AM1584" s="4" t="str">
        <f t="shared" si="2"/>
        <v/>
      </c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L1585" s="4" t="str">
        <f t="shared" si="1"/>
        <v/>
      </c>
      <c r="AM1585" s="4" t="str">
        <f t="shared" si="2"/>
        <v/>
      </c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L1586" s="4" t="str">
        <f t="shared" si="1"/>
        <v/>
      </c>
      <c r="AM1586" s="4" t="str">
        <f t="shared" si="2"/>
        <v/>
      </c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L1587" s="4" t="str">
        <f t="shared" si="1"/>
        <v/>
      </c>
      <c r="AM1587" s="4" t="str">
        <f t="shared" si="2"/>
        <v/>
      </c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L1588" s="4" t="str">
        <f t="shared" si="1"/>
        <v/>
      </c>
      <c r="AM1588" s="4" t="str">
        <f t="shared" si="2"/>
        <v/>
      </c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L1589" s="4" t="str">
        <f t="shared" si="1"/>
        <v/>
      </c>
      <c r="AM1589" s="4" t="str">
        <f t="shared" si="2"/>
        <v/>
      </c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L1590" s="4" t="str">
        <f t="shared" si="1"/>
        <v/>
      </c>
      <c r="AM1590" s="4" t="str">
        <f t="shared" si="2"/>
        <v/>
      </c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L1591" s="4" t="str">
        <f t="shared" si="1"/>
        <v/>
      </c>
      <c r="AM1591" s="4" t="str">
        <f t="shared" si="2"/>
        <v/>
      </c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L1592" s="4" t="str">
        <f t="shared" si="1"/>
        <v/>
      </c>
      <c r="AM1592" s="4" t="str">
        <f t="shared" si="2"/>
        <v/>
      </c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L1593" s="4" t="str">
        <f t="shared" si="1"/>
        <v/>
      </c>
      <c r="AM1593" s="4" t="str">
        <f t="shared" si="2"/>
        <v/>
      </c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L1594" s="4" t="str">
        <f t="shared" si="1"/>
        <v/>
      </c>
      <c r="AM1594" s="4" t="str">
        <f t="shared" si="2"/>
        <v/>
      </c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L1595" s="4" t="str">
        <f t="shared" si="1"/>
        <v/>
      </c>
      <c r="AM1595" s="4" t="str">
        <f t="shared" si="2"/>
        <v/>
      </c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L1596" s="4" t="str">
        <f t="shared" si="1"/>
        <v/>
      </c>
      <c r="AM1596" s="4" t="str">
        <f t="shared" si="2"/>
        <v/>
      </c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L1597" s="4" t="str">
        <f t="shared" si="1"/>
        <v/>
      </c>
      <c r="AM1597" s="4" t="str">
        <f t="shared" si="2"/>
        <v/>
      </c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L1598" s="4" t="str">
        <f t="shared" si="1"/>
        <v/>
      </c>
      <c r="AM1598" s="4" t="str">
        <f t="shared" si="2"/>
        <v/>
      </c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L1599" s="4" t="str">
        <f t="shared" si="1"/>
        <v/>
      </c>
      <c r="AM1599" s="4" t="str">
        <f t="shared" si="2"/>
        <v/>
      </c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L1600" s="4" t="str">
        <f t="shared" si="1"/>
        <v/>
      </c>
      <c r="AM1600" s="4" t="str">
        <f t="shared" si="2"/>
        <v/>
      </c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L1601" s="4" t="str">
        <f t="shared" si="1"/>
        <v/>
      </c>
      <c r="AM1601" s="4" t="str">
        <f t="shared" si="2"/>
        <v/>
      </c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L1602" s="4" t="str">
        <f t="shared" si="1"/>
        <v/>
      </c>
      <c r="AM1602" s="4" t="str">
        <f t="shared" si="2"/>
        <v/>
      </c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L1603" s="4" t="str">
        <f t="shared" si="1"/>
        <v/>
      </c>
      <c r="AM1603" s="4" t="str">
        <f t="shared" si="2"/>
        <v/>
      </c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L1604" s="4" t="str">
        <f t="shared" si="1"/>
        <v/>
      </c>
      <c r="AM1604" s="4" t="str">
        <f t="shared" si="2"/>
        <v/>
      </c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L1605" s="4" t="str">
        <f t="shared" si="1"/>
        <v/>
      </c>
      <c r="AM1605" s="4" t="str">
        <f t="shared" si="2"/>
        <v/>
      </c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L1606" s="4" t="str">
        <f t="shared" si="1"/>
        <v/>
      </c>
      <c r="AM1606" s="4" t="str">
        <f t="shared" si="2"/>
        <v/>
      </c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L1607" s="4" t="str">
        <f t="shared" si="1"/>
        <v/>
      </c>
      <c r="AM1607" s="4" t="str">
        <f t="shared" si="2"/>
        <v/>
      </c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L1608" s="4" t="str">
        <f t="shared" si="1"/>
        <v/>
      </c>
      <c r="AM1608" s="4" t="str">
        <f t="shared" si="2"/>
        <v/>
      </c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L1609" s="4" t="str">
        <f t="shared" si="1"/>
        <v/>
      </c>
      <c r="AM1609" s="4" t="str">
        <f t="shared" si="2"/>
        <v/>
      </c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L1610" s="4" t="str">
        <f t="shared" si="1"/>
        <v/>
      </c>
      <c r="AM1610" s="4" t="str">
        <f t="shared" si="2"/>
        <v/>
      </c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L1611" s="4" t="str">
        <f t="shared" si="1"/>
        <v/>
      </c>
      <c r="AM1611" s="4" t="str">
        <f t="shared" si="2"/>
        <v/>
      </c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L1612" s="4" t="str">
        <f t="shared" si="1"/>
        <v/>
      </c>
      <c r="AM1612" s="4" t="str">
        <f t="shared" si="2"/>
        <v/>
      </c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L1613" s="4" t="str">
        <f t="shared" si="1"/>
        <v/>
      </c>
      <c r="AM1613" s="4" t="str">
        <f t="shared" si="2"/>
        <v/>
      </c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L1614" s="4" t="str">
        <f t="shared" si="1"/>
        <v/>
      </c>
      <c r="AM1614" s="4" t="str">
        <f t="shared" si="2"/>
        <v/>
      </c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L1615" s="4" t="str">
        <f t="shared" si="1"/>
        <v/>
      </c>
      <c r="AM1615" s="4" t="str">
        <f t="shared" si="2"/>
        <v/>
      </c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L1616" s="4" t="str">
        <f t="shared" si="1"/>
        <v/>
      </c>
      <c r="AM1616" s="4" t="str">
        <f t="shared" si="2"/>
        <v/>
      </c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L1617" s="4" t="str">
        <f t="shared" si="1"/>
        <v/>
      </c>
      <c r="AM1617" s="4" t="str">
        <f t="shared" si="2"/>
        <v/>
      </c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L1618" s="4" t="str">
        <f t="shared" si="1"/>
        <v/>
      </c>
      <c r="AM1618" s="4" t="str">
        <f t="shared" si="2"/>
        <v/>
      </c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L1619" s="4" t="str">
        <f t="shared" si="1"/>
        <v/>
      </c>
      <c r="AM1619" s="4" t="str">
        <f t="shared" si="2"/>
        <v/>
      </c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L1620" s="4" t="str">
        <f t="shared" si="1"/>
        <v/>
      </c>
      <c r="AM1620" s="4" t="str">
        <f t="shared" si="2"/>
        <v/>
      </c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L1621" s="4" t="str">
        <f t="shared" si="1"/>
        <v/>
      </c>
      <c r="AM1621" s="4" t="str">
        <f t="shared" si="2"/>
        <v/>
      </c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L1622" s="4" t="str">
        <f t="shared" si="1"/>
        <v/>
      </c>
      <c r="AM1622" s="4" t="str">
        <f t="shared" si="2"/>
        <v/>
      </c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L1623" s="4" t="str">
        <f t="shared" si="1"/>
        <v/>
      </c>
      <c r="AM1623" s="4" t="str">
        <f t="shared" si="2"/>
        <v/>
      </c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L1624" s="4" t="str">
        <f t="shared" si="1"/>
        <v/>
      </c>
      <c r="AM1624" s="4" t="str">
        <f t="shared" si="2"/>
        <v/>
      </c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L1625" s="4" t="str">
        <f t="shared" si="1"/>
        <v/>
      </c>
      <c r="AM1625" s="4" t="str">
        <f t="shared" si="2"/>
        <v/>
      </c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L1626" s="4" t="str">
        <f t="shared" si="1"/>
        <v/>
      </c>
      <c r="AM1626" s="4" t="str">
        <f t="shared" si="2"/>
        <v/>
      </c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L1627" s="4" t="str">
        <f t="shared" si="1"/>
        <v/>
      </c>
      <c r="AM1627" s="4" t="str">
        <f t="shared" si="2"/>
        <v/>
      </c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L1628" s="4" t="str">
        <f t="shared" si="1"/>
        <v/>
      </c>
      <c r="AM1628" s="4" t="str">
        <f t="shared" si="2"/>
        <v/>
      </c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L1629" s="4" t="str">
        <f t="shared" si="1"/>
        <v/>
      </c>
      <c r="AM1629" s="4" t="str">
        <f t="shared" si="2"/>
        <v/>
      </c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L1630" s="4" t="str">
        <f t="shared" si="1"/>
        <v/>
      </c>
      <c r="AM1630" s="4" t="str">
        <f t="shared" si="2"/>
        <v/>
      </c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L1631" s="4" t="str">
        <f t="shared" si="1"/>
        <v/>
      </c>
      <c r="AM1631" s="4" t="str">
        <f t="shared" si="2"/>
        <v/>
      </c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L1632" s="4" t="str">
        <f t="shared" si="1"/>
        <v/>
      </c>
      <c r="AM1632" s="4" t="str">
        <f t="shared" si="2"/>
        <v/>
      </c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L1633" s="4" t="str">
        <f t="shared" si="1"/>
        <v/>
      </c>
      <c r="AM1633" s="4" t="str">
        <f t="shared" si="2"/>
        <v/>
      </c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L1634" s="4" t="str">
        <f t="shared" si="1"/>
        <v/>
      </c>
      <c r="AM1634" s="4" t="str">
        <f t="shared" si="2"/>
        <v/>
      </c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L1635" s="4" t="str">
        <f t="shared" si="1"/>
        <v/>
      </c>
      <c r="AM1635" s="4" t="str">
        <f t="shared" si="2"/>
        <v/>
      </c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L1636" s="4" t="str">
        <f t="shared" si="1"/>
        <v/>
      </c>
      <c r="AM1636" s="4" t="str">
        <f t="shared" si="2"/>
        <v/>
      </c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L1637" s="4" t="str">
        <f t="shared" si="1"/>
        <v/>
      </c>
      <c r="AM1637" s="4" t="str">
        <f t="shared" si="2"/>
        <v/>
      </c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L1638" s="4" t="str">
        <f t="shared" si="1"/>
        <v/>
      </c>
      <c r="AM1638" s="4" t="str">
        <f t="shared" si="2"/>
        <v/>
      </c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L1639" s="4" t="str">
        <f t="shared" si="1"/>
        <v/>
      </c>
      <c r="AM1639" s="4" t="str">
        <f t="shared" si="2"/>
        <v/>
      </c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L1640" s="4" t="str">
        <f t="shared" si="1"/>
        <v/>
      </c>
      <c r="AM1640" s="4" t="str">
        <f t="shared" si="2"/>
        <v/>
      </c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L1641" s="4" t="str">
        <f t="shared" si="1"/>
        <v/>
      </c>
      <c r="AM1641" s="4" t="str">
        <f t="shared" si="2"/>
        <v/>
      </c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L1642" s="4" t="str">
        <f t="shared" si="1"/>
        <v/>
      </c>
      <c r="AM1642" s="4" t="str">
        <f t="shared" si="2"/>
        <v/>
      </c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L1643" s="4" t="str">
        <f t="shared" si="1"/>
        <v/>
      </c>
      <c r="AM1643" s="4" t="str">
        <f t="shared" si="2"/>
        <v/>
      </c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L1644" s="4" t="str">
        <f t="shared" si="1"/>
        <v/>
      </c>
      <c r="AM1644" s="4" t="str">
        <f t="shared" si="2"/>
        <v/>
      </c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L1645" s="4" t="str">
        <f t="shared" si="1"/>
        <v/>
      </c>
      <c r="AM1645" s="4" t="str">
        <f t="shared" si="2"/>
        <v/>
      </c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L1646" s="4" t="str">
        <f t="shared" si="1"/>
        <v/>
      </c>
      <c r="AM1646" s="4" t="str">
        <f t="shared" si="2"/>
        <v/>
      </c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L1647" s="4" t="str">
        <f t="shared" si="1"/>
        <v/>
      </c>
      <c r="AM1647" s="4" t="str">
        <f t="shared" si="2"/>
        <v/>
      </c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L1648" s="4" t="str">
        <f t="shared" si="1"/>
        <v/>
      </c>
      <c r="AM1648" s="4" t="str">
        <f t="shared" si="2"/>
        <v/>
      </c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L1649" s="4" t="str">
        <f t="shared" si="1"/>
        <v/>
      </c>
      <c r="AM1649" s="4" t="str">
        <f t="shared" si="2"/>
        <v/>
      </c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L1650" s="4" t="str">
        <f t="shared" si="1"/>
        <v/>
      </c>
      <c r="AM1650" s="4" t="str">
        <f t="shared" si="2"/>
        <v/>
      </c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L1651" s="4" t="str">
        <f t="shared" si="1"/>
        <v/>
      </c>
      <c r="AM1651" s="4" t="str">
        <f t="shared" si="2"/>
        <v/>
      </c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L1652" s="4" t="str">
        <f t="shared" si="1"/>
        <v/>
      </c>
      <c r="AM1652" s="4" t="str">
        <f t="shared" si="2"/>
        <v/>
      </c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L1653" s="4" t="str">
        <f t="shared" si="1"/>
        <v/>
      </c>
      <c r="AM1653" s="4" t="str">
        <f t="shared" si="2"/>
        <v/>
      </c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L1654" s="4" t="str">
        <f t="shared" si="1"/>
        <v/>
      </c>
      <c r="AM1654" s="4" t="str">
        <f t="shared" si="2"/>
        <v/>
      </c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L1655" s="4" t="str">
        <f t="shared" si="1"/>
        <v/>
      </c>
      <c r="AM1655" s="4" t="str">
        <f t="shared" si="2"/>
        <v/>
      </c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L1656" s="4" t="str">
        <f t="shared" si="1"/>
        <v/>
      </c>
      <c r="AM1656" s="4" t="str">
        <f t="shared" si="2"/>
        <v/>
      </c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L1657" s="4" t="str">
        <f t="shared" si="1"/>
        <v/>
      </c>
      <c r="AM1657" s="4" t="str">
        <f t="shared" si="2"/>
        <v/>
      </c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L1658" s="4" t="str">
        <f t="shared" si="1"/>
        <v/>
      </c>
      <c r="AM1658" s="4" t="str">
        <f t="shared" si="2"/>
        <v/>
      </c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L1659" s="4" t="str">
        <f t="shared" si="1"/>
        <v/>
      </c>
      <c r="AM1659" s="4" t="str">
        <f t="shared" si="2"/>
        <v/>
      </c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L1660" s="4" t="str">
        <f t="shared" si="1"/>
        <v/>
      </c>
      <c r="AM1660" s="4" t="str">
        <f t="shared" si="2"/>
        <v/>
      </c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L1661" s="4" t="str">
        <f t="shared" si="1"/>
        <v/>
      </c>
      <c r="AM1661" s="4" t="str">
        <f t="shared" si="2"/>
        <v/>
      </c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L1662" s="4" t="str">
        <f t="shared" si="1"/>
        <v/>
      </c>
      <c r="AM1662" s="4" t="str">
        <f t="shared" si="2"/>
        <v/>
      </c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L1663" s="4" t="str">
        <f t="shared" si="1"/>
        <v/>
      </c>
      <c r="AM1663" s="4" t="str">
        <f t="shared" si="2"/>
        <v/>
      </c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L1664" s="4" t="str">
        <f t="shared" si="1"/>
        <v/>
      </c>
      <c r="AM1664" s="4" t="str">
        <f t="shared" si="2"/>
        <v/>
      </c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L1665" s="4" t="str">
        <f t="shared" si="1"/>
        <v/>
      </c>
      <c r="AM1665" s="4" t="str">
        <f t="shared" si="2"/>
        <v/>
      </c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L1666" s="4" t="str">
        <f t="shared" si="1"/>
        <v/>
      </c>
      <c r="AM1666" s="4" t="str">
        <f t="shared" si="2"/>
        <v/>
      </c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L1667" s="4" t="str">
        <f t="shared" si="1"/>
        <v/>
      </c>
      <c r="AM1667" s="4" t="str">
        <f t="shared" si="2"/>
        <v/>
      </c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L1668" s="4" t="str">
        <f t="shared" si="1"/>
        <v/>
      </c>
      <c r="AM1668" s="4" t="str">
        <f t="shared" si="2"/>
        <v/>
      </c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L1669" s="4" t="str">
        <f t="shared" si="1"/>
        <v/>
      </c>
      <c r="AM1669" s="4" t="str">
        <f t="shared" si="2"/>
        <v/>
      </c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L1670" s="4" t="str">
        <f t="shared" si="1"/>
        <v/>
      </c>
      <c r="AM1670" s="4" t="str">
        <f t="shared" si="2"/>
        <v/>
      </c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L1671" s="4" t="str">
        <f t="shared" si="1"/>
        <v/>
      </c>
      <c r="AM1671" s="4" t="str">
        <f t="shared" si="2"/>
        <v/>
      </c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L1672" s="4" t="str">
        <f t="shared" si="1"/>
        <v/>
      </c>
      <c r="AM1672" s="4" t="str">
        <f t="shared" si="2"/>
        <v/>
      </c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L1673" s="4" t="str">
        <f t="shared" si="1"/>
        <v/>
      </c>
      <c r="AM1673" s="4" t="str">
        <f t="shared" si="2"/>
        <v/>
      </c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L1674" s="4" t="str">
        <f t="shared" si="1"/>
        <v/>
      </c>
      <c r="AM1674" s="4" t="str">
        <f t="shared" si="2"/>
        <v/>
      </c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L1675" s="4" t="str">
        <f t="shared" si="1"/>
        <v/>
      </c>
      <c r="AM1675" s="4" t="str">
        <f t="shared" si="2"/>
        <v/>
      </c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L1676" s="4" t="str">
        <f t="shared" si="1"/>
        <v/>
      </c>
      <c r="AM1676" s="4" t="str">
        <f t="shared" si="2"/>
        <v/>
      </c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L1677" s="4" t="str">
        <f t="shared" si="1"/>
        <v/>
      </c>
      <c r="AM1677" s="4" t="str">
        <f t="shared" si="2"/>
        <v/>
      </c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L1678" s="4" t="str">
        <f t="shared" si="1"/>
        <v/>
      </c>
      <c r="AM1678" s="4" t="str">
        <f t="shared" si="2"/>
        <v/>
      </c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L1679" s="4" t="str">
        <f t="shared" si="1"/>
        <v/>
      </c>
      <c r="AM1679" s="4" t="str">
        <f t="shared" si="2"/>
        <v/>
      </c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L1680" s="4" t="str">
        <f t="shared" si="1"/>
        <v/>
      </c>
      <c r="AM1680" s="4" t="str">
        <f t="shared" si="2"/>
        <v/>
      </c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L1681" s="4" t="str">
        <f t="shared" si="1"/>
        <v/>
      </c>
      <c r="AM1681" s="4" t="str">
        <f t="shared" si="2"/>
        <v/>
      </c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L1682" s="4" t="str">
        <f t="shared" si="1"/>
        <v/>
      </c>
      <c r="AM1682" s="4" t="str">
        <f t="shared" si="2"/>
        <v/>
      </c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L1683" s="4" t="str">
        <f t="shared" si="1"/>
        <v/>
      </c>
      <c r="AM1683" s="4" t="str">
        <f t="shared" si="2"/>
        <v/>
      </c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L1684" s="4" t="str">
        <f t="shared" si="1"/>
        <v/>
      </c>
      <c r="AM1684" s="4" t="str">
        <f t="shared" si="2"/>
        <v/>
      </c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L1685" s="4" t="str">
        <f t="shared" si="1"/>
        <v/>
      </c>
      <c r="AM1685" s="4" t="str">
        <f t="shared" si="2"/>
        <v/>
      </c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L1686" s="4" t="str">
        <f t="shared" si="1"/>
        <v/>
      </c>
      <c r="AM1686" s="4" t="str">
        <f t="shared" si="2"/>
        <v/>
      </c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L1687" s="4" t="str">
        <f t="shared" si="1"/>
        <v/>
      </c>
      <c r="AM1687" s="4" t="str">
        <f t="shared" si="2"/>
        <v/>
      </c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L1688" s="4" t="str">
        <f t="shared" si="1"/>
        <v/>
      </c>
      <c r="AM1688" s="4" t="str">
        <f t="shared" si="2"/>
        <v/>
      </c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L1689" s="4" t="str">
        <f t="shared" si="1"/>
        <v/>
      </c>
      <c r="AM1689" s="4" t="str">
        <f t="shared" si="2"/>
        <v/>
      </c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L1690" s="4" t="str">
        <f t="shared" si="1"/>
        <v/>
      </c>
      <c r="AM1690" s="4" t="str">
        <f t="shared" si="2"/>
        <v/>
      </c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L1691" s="4" t="str">
        <f t="shared" si="1"/>
        <v/>
      </c>
      <c r="AM1691" s="4" t="str">
        <f t="shared" si="2"/>
        <v/>
      </c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L1692" s="4" t="str">
        <f t="shared" si="1"/>
        <v/>
      </c>
      <c r="AM1692" s="4" t="str">
        <f t="shared" si="2"/>
        <v/>
      </c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L1693" s="4" t="str">
        <f t="shared" si="1"/>
        <v/>
      </c>
      <c r="AM1693" s="4" t="str">
        <f t="shared" si="2"/>
        <v/>
      </c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L1694" s="4" t="str">
        <f t="shared" si="1"/>
        <v/>
      </c>
      <c r="AM1694" s="4" t="str">
        <f t="shared" si="2"/>
        <v/>
      </c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L1695" s="4" t="str">
        <f t="shared" si="1"/>
        <v/>
      </c>
      <c r="AM1695" s="4" t="str">
        <f t="shared" si="2"/>
        <v/>
      </c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L1696" s="4" t="str">
        <f t="shared" si="1"/>
        <v/>
      </c>
      <c r="AM1696" s="4" t="str">
        <f t="shared" si="2"/>
        <v/>
      </c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L1697" s="4" t="str">
        <f t="shared" si="1"/>
        <v/>
      </c>
      <c r="AM1697" s="4" t="str">
        <f t="shared" si="2"/>
        <v/>
      </c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L1698" s="4" t="str">
        <f t="shared" si="1"/>
        <v/>
      </c>
      <c r="AM1698" s="4" t="str">
        <f t="shared" si="2"/>
        <v/>
      </c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L1699" s="4" t="str">
        <f t="shared" si="1"/>
        <v/>
      </c>
      <c r="AM1699" s="4" t="str">
        <f t="shared" si="2"/>
        <v/>
      </c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L1700" s="4" t="str">
        <f t="shared" si="1"/>
        <v/>
      </c>
      <c r="AM1700" s="4" t="str">
        <f t="shared" si="2"/>
        <v/>
      </c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L1701" s="4" t="str">
        <f t="shared" si="1"/>
        <v/>
      </c>
      <c r="AM1701" s="4" t="str">
        <f t="shared" si="2"/>
        <v/>
      </c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L1702" s="4" t="str">
        <f t="shared" si="1"/>
        <v/>
      </c>
      <c r="AM1702" s="4" t="str">
        <f t="shared" si="2"/>
        <v/>
      </c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L1703" s="4" t="str">
        <f t="shared" si="1"/>
        <v/>
      </c>
      <c r="AM1703" s="4" t="str">
        <f t="shared" si="2"/>
        <v/>
      </c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L1704" s="4" t="str">
        <f t="shared" si="1"/>
        <v/>
      </c>
      <c r="AM1704" s="4" t="str">
        <f t="shared" si="2"/>
        <v/>
      </c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L1705" s="4" t="str">
        <f t="shared" si="1"/>
        <v/>
      </c>
      <c r="AM1705" s="4" t="str">
        <f t="shared" si="2"/>
        <v/>
      </c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L1706" s="4" t="str">
        <f t="shared" si="1"/>
        <v/>
      </c>
      <c r="AM1706" s="4" t="str">
        <f t="shared" si="2"/>
        <v/>
      </c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L1707" s="4" t="str">
        <f t="shared" si="1"/>
        <v/>
      </c>
      <c r="AM1707" s="4" t="str">
        <f t="shared" si="2"/>
        <v/>
      </c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L1708" s="4" t="str">
        <f t="shared" si="1"/>
        <v/>
      </c>
      <c r="AM1708" s="4" t="str">
        <f t="shared" si="2"/>
        <v/>
      </c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L1709" s="4" t="str">
        <f t="shared" si="1"/>
        <v/>
      </c>
      <c r="AM1709" s="4" t="str">
        <f t="shared" si="2"/>
        <v/>
      </c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L1710" s="4" t="str">
        <f t="shared" si="1"/>
        <v/>
      </c>
      <c r="AM1710" s="4" t="str">
        <f t="shared" si="2"/>
        <v/>
      </c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L1711" s="4" t="str">
        <f t="shared" si="1"/>
        <v/>
      </c>
      <c r="AM1711" s="4" t="str">
        <f t="shared" si="2"/>
        <v/>
      </c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L1712" s="4" t="str">
        <f t="shared" si="1"/>
        <v/>
      </c>
      <c r="AM1712" s="4" t="str">
        <f t="shared" si="2"/>
        <v/>
      </c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L1713" s="4" t="str">
        <f t="shared" si="1"/>
        <v/>
      </c>
      <c r="AM1713" s="4" t="str">
        <f t="shared" si="2"/>
        <v/>
      </c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L1714" s="4" t="str">
        <f t="shared" si="1"/>
        <v/>
      </c>
      <c r="AM1714" s="4" t="str">
        <f t="shared" si="2"/>
        <v/>
      </c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L1715" s="4" t="str">
        <f t="shared" si="1"/>
        <v/>
      </c>
      <c r="AM1715" s="4" t="str">
        <f t="shared" si="2"/>
        <v/>
      </c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L1716" s="4" t="str">
        <f t="shared" si="1"/>
        <v/>
      </c>
      <c r="AM1716" s="4" t="str">
        <f t="shared" si="2"/>
        <v/>
      </c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L1717" s="4" t="str">
        <f t="shared" si="1"/>
        <v/>
      </c>
      <c r="AM1717" s="4" t="str">
        <f t="shared" si="2"/>
        <v/>
      </c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L1718" s="4" t="str">
        <f t="shared" si="1"/>
        <v/>
      </c>
      <c r="AM1718" s="4" t="str">
        <f t="shared" si="2"/>
        <v/>
      </c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L1719" s="4" t="str">
        <f t="shared" si="1"/>
        <v/>
      </c>
      <c r="AM1719" s="4" t="str">
        <f t="shared" si="2"/>
        <v/>
      </c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L1720" s="4" t="str">
        <f t="shared" si="1"/>
        <v/>
      </c>
      <c r="AM1720" s="4" t="str">
        <f t="shared" si="2"/>
        <v/>
      </c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L1721" s="4" t="str">
        <f t="shared" si="1"/>
        <v/>
      </c>
      <c r="AM1721" s="4" t="str">
        <f t="shared" si="2"/>
        <v/>
      </c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L1722" s="4" t="str">
        <f t="shared" si="1"/>
        <v/>
      </c>
      <c r="AM1722" s="4" t="str">
        <f t="shared" si="2"/>
        <v/>
      </c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L1723" s="4" t="str">
        <f t="shared" si="1"/>
        <v/>
      </c>
      <c r="AM1723" s="4" t="str">
        <f t="shared" si="2"/>
        <v/>
      </c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L1724" s="4" t="str">
        <f t="shared" si="1"/>
        <v/>
      </c>
      <c r="AM1724" s="4" t="str">
        <f t="shared" si="2"/>
        <v/>
      </c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L1725" s="4" t="str">
        <f t="shared" si="1"/>
        <v/>
      </c>
      <c r="AM1725" s="4" t="str">
        <f t="shared" si="2"/>
        <v/>
      </c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L1726" s="4" t="str">
        <f t="shared" si="1"/>
        <v/>
      </c>
      <c r="AM1726" s="4" t="str">
        <f t="shared" si="2"/>
        <v/>
      </c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L1727" s="4" t="str">
        <f t="shared" si="1"/>
        <v/>
      </c>
      <c r="AM1727" s="4" t="str">
        <f t="shared" si="2"/>
        <v/>
      </c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L1728" s="4" t="str">
        <f t="shared" si="1"/>
        <v/>
      </c>
      <c r="AM1728" s="4" t="str">
        <f t="shared" si="2"/>
        <v/>
      </c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L1729" s="4" t="str">
        <f t="shared" si="1"/>
        <v/>
      </c>
      <c r="AM1729" s="4" t="str">
        <f t="shared" si="2"/>
        <v/>
      </c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L1730" s="4" t="str">
        <f t="shared" si="1"/>
        <v/>
      </c>
      <c r="AM1730" s="4" t="str">
        <f t="shared" si="2"/>
        <v/>
      </c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L1731" s="4" t="str">
        <f t="shared" si="1"/>
        <v/>
      </c>
      <c r="AM1731" s="4" t="str">
        <f t="shared" si="2"/>
        <v/>
      </c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L1732" s="4" t="str">
        <f t="shared" si="1"/>
        <v/>
      </c>
      <c r="AM1732" s="4" t="str">
        <f t="shared" si="2"/>
        <v/>
      </c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L1733" s="4" t="str">
        <f t="shared" si="1"/>
        <v/>
      </c>
      <c r="AM1733" s="4" t="str">
        <f t="shared" si="2"/>
        <v/>
      </c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L1734" s="4" t="str">
        <f t="shared" si="1"/>
        <v/>
      </c>
      <c r="AM1734" s="4" t="str">
        <f t="shared" si="2"/>
        <v/>
      </c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L1735" s="4" t="str">
        <f t="shared" si="1"/>
        <v/>
      </c>
      <c r="AM1735" s="4" t="str">
        <f t="shared" si="2"/>
        <v/>
      </c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L1736" s="4" t="str">
        <f t="shared" si="1"/>
        <v/>
      </c>
      <c r="AM1736" s="4" t="str">
        <f t="shared" si="2"/>
        <v/>
      </c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L1737" s="4" t="str">
        <f t="shared" si="1"/>
        <v/>
      </c>
      <c r="AM1737" s="4" t="str">
        <f t="shared" si="2"/>
        <v/>
      </c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L1738" s="4" t="str">
        <f t="shared" si="1"/>
        <v/>
      </c>
      <c r="AM1738" s="4" t="str">
        <f t="shared" si="2"/>
        <v/>
      </c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L1739" s="4" t="str">
        <f t="shared" si="1"/>
        <v/>
      </c>
      <c r="AM1739" s="4" t="str">
        <f t="shared" si="2"/>
        <v/>
      </c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L1740" s="4" t="str">
        <f t="shared" si="1"/>
        <v/>
      </c>
      <c r="AM1740" s="4" t="str">
        <f t="shared" si="2"/>
        <v/>
      </c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L1741" s="4" t="str">
        <f t="shared" si="1"/>
        <v/>
      </c>
      <c r="AM1741" s="4" t="str">
        <f t="shared" si="2"/>
        <v/>
      </c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L1742" s="4" t="str">
        <f t="shared" si="1"/>
        <v/>
      </c>
      <c r="AM1742" s="4" t="str">
        <f t="shared" si="2"/>
        <v/>
      </c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L1743" s="4" t="str">
        <f t="shared" si="1"/>
        <v/>
      </c>
      <c r="AM1743" s="4" t="str">
        <f t="shared" si="2"/>
        <v/>
      </c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L1744" s="4" t="str">
        <f t="shared" si="1"/>
        <v/>
      </c>
      <c r="AM1744" s="4" t="str">
        <f t="shared" si="2"/>
        <v/>
      </c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L1745" s="4" t="str">
        <f t="shared" si="1"/>
        <v/>
      </c>
      <c r="AM1745" s="4" t="str">
        <f t="shared" si="2"/>
        <v/>
      </c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L1746" s="4" t="str">
        <f t="shared" si="1"/>
        <v/>
      </c>
      <c r="AM1746" s="4" t="str">
        <f t="shared" si="2"/>
        <v/>
      </c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L1747" s="4" t="str">
        <f t="shared" si="1"/>
        <v/>
      </c>
      <c r="AM1747" s="4" t="str">
        <f t="shared" si="2"/>
        <v/>
      </c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L1748" s="4" t="str">
        <f t="shared" si="1"/>
        <v/>
      </c>
      <c r="AM1748" s="4" t="str">
        <f t="shared" si="2"/>
        <v/>
      </c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L1749" s="4" t="str">
        <f t="shared" si="1"/>
        <v/>
      </c>
      <c r="AM1749" s="4" t="str">
        <f t="shared" si="2"/>
        <v/>
      </c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L1750" s="4" t="str">
        <f t="shared" si="1"/>
        <v/>
      </c>
      <c r="AM1750" s="4" t="str">
        <f t="shared" si="2"/>
        <v/>
      </c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L1751" s="4" t="str">
        <f t="shared" si="1"/>
        <v/>
      </c>
      <c r="AM1751" s="4" t="str">
        <f t="shared" si="2"/>
        <v/>
      </c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L1752" s="4" t="str">
        <f t="shared" si="1"/>
        <v/>
      </c>
      <c r="AM1752" s="4" t="str">
        <f t="shared" si="2"/>
        <v/>
      </c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L1753" s="4" t="str">
        <f t="shared" si="1"/>
        <v/>
      </c>
      <c r="AM1753" s="4" t="str">
        <f t="shared" si="2"/>
        <v/>
      </c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L1754" s="4" t="str">
        <f t="shared" si="1"/>
        <v/>
      </c>
      <c r="AM1754" s="4" t="str">
        <f t="shared" si="2"/>
        <v/>
      </c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L1755" s="4" t="str">
        <f t="shared" si="1"/>
        <v/>
      </c>
      <c r="AM1755" s="4" t="str">
        <f t="shared" si="2"/>
        <v/>
      </c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L1756" s="4" t="str">
        <f t="shared" si="1"/>
        <v/>
      </c>
      <c r="AM1756" s="4" t="str">
        <f t="shared" si="2"/>
        <v/>
      </c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L1757" s="4" t="str">
        <f t="shared" si="1"/>
        <v/>
      </c>
      <c r="AM1757" s="4" t="str">
        <f t="shared" si="2"/>
        <v/>
      </c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L1758" s="4" t="str">
        <f t="shared" si="1"/>
        <v/>
      </c>
      <c r="AM1758" s="4" t="str">
        <f t="shared" si="2"/>
        <v/>
      </c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L1759" s="4" t="str">
        <f t="shared" si="1"/>
        <v/>
      </c>
      <c r="AM1759" s="4" t="str">
        <f t="shared" si="2"/>
        <v/>
      </c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L1760" s="4" t="str">
        <f t="shared" si="1"/>
        <v/>
      </c>
      <c r="AM1760" s="4" t="str">
        <f t="shared" si="2"/>
        <v/>
      </c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L1761" s="4" t="str">
        <f t="shared" si="1"/>
        <v/>
      </c>
      <c r="AM1761" s="4" t="str">
        <f t="shared" si="2"/>
        <v/>
      </c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L1762" s="4" t="str">
        <f t="shared" si="1"/>
        <v/>
      </c>
      <c r="AM1762" s="4" t="str">
        <f t="shared" si="2"/>
        <v/>
      </c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L1763" s="4" t="str">
        <f t="shared" si="1"/>
        <v/>
      </c>
      <c r="AM1763" s="4" t="str">
        <f t="shared" si="2"/>
        <v/>
      </c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L1764" s="4" t="str">
        <f t="shared" si="1"/>
        <v/>
      </c>
      <c r="AM1764" s="4" t="str">
        <f t="shared" si="2"/>
        <v/>
      </c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L1765" s="4" t="str">
        <f t="shared" si="1"/>
        <v/>
      </c>
      <c r="AM1765" s="4" t="str">
        <f t="shared" si="2"/>
        <v/>
      </c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L1766" s="4" t="str">
        <f t="shared" si="1"/>
        <v/>
      </c>
      <c r="AM1766" s="4" t="str">
        <f t="shared" si="2"/>
        <v/>
      </c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L1767" s="4" t="str">
        <f t="shared" si="1"/>
        <v/>
      </c>
      <c r="AM1767" s="4" t="str">
        <f t="shared" si="2"/>
        <v/>
      </c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L1768" s="4" t="str">
        <f t="shared" si="1"/>
        <v/>
      </c>
      <c r="AM1768" s="4" t="str">
        <f t="shared" si="2"/>
        <v/>
      </c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L1769" s="4" t="str">
        <f t="shared" si="1"/>
        <v/>
      </c>
      <c r="AM1769" s="4" t="str">
        <f t="shared" si="2"/>
        <v/>
      </c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L1770" s="4" t="str">
        <f t="shared" si="1"/>
        <v/>
      </c>
      <c r="AM1770" s="4" t="str">
        <f t="shared" si="2"/>
        <v/>
      </c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L1771" s="4" t="str">
        <f t="shared" si="1"/>
        <v/>
      </c>
      <c r="AM1771" s="4" t="str">
        <f t="shared" si="2"/>
        <v/>
      </c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L1772" s="4" t="str">
        <f t="shared" si="1"/>
        <v/>
      </c>
      <c r="AM1772" s="4" t="str">
        <f t="shared" si="2"/>
        <v/>
      </c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L1773" s="4" t="str">
        <f t="shared" si="1"/>
        <v/>
      </c>
      <c r="AM1773" s="4" t="str">
        <f t="shared" si="2"/>
        <v/>
      </c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L1774" s="4" t="str">
        <f t="shared" si="1"/>
        <v/>
      </c>
      <c r="AM1774" s="4" t="str">
        <f t="shared" si="2"/>
        <v/>
      </c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L1775" s="4" t="str">
        <f t="shared" si="1"/>
        <v/>
      </c>
      <c r="AM1775" s="4" t="str">
        <f t="shared" si="2"/>
        <v/>
      </c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L1776" s="4" t="str">
        <f t="shared" si="1"/>
        <v/>
      </c>
      <c r="AM1776" s="4" t="str">
        <f t="shared" si="2"/>
        <v/>
      </c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L1777" s="4" t="str">
        <f t="shared" si="1"/>
        <v/>
      </c>
      <c r="AM1777" s="4" t="str">
        <f t="shared" si="2"/>
        <v/>
      </c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L1778" s="4" t="str">
        <f t="shared" si="1"/>
        <v/>
      </c>
      <c r="AM1778" s="4" t="str">
        <f t="shared" si="2"/>
        <v/>
      </c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L1779" s="4" t="str">
        <f t="shared" si="1"/>
        <v/>
      </c>
      <c r="AM1779" s="4" t="str">
        <f t="shared" si="2"/>
        <v/>
      </c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L1780" s="4" t="str">
        <f t="shared" si="1"/>
        <v/>
      </c>
      <c r="AM1780" s="4" t="str">
        <f t="shared" si="2"/>
        <v/>
      </c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L1781" s="4" t="str">
        <f t="shared" si="1"/>
        <v/>
      </c>
      <c r="AM1781" s="4" t="str">
        <f t="shared" si="2"/>
        <v/>
      </c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L1782" s="4" t="str">
        <f t="shared" si="1"/>
        <v/>
      </c>
      <c r="AM1782" s="4" t="str">
        <f t="shared" si="2"/>
        <v/>
      </c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L1783" s="4" t="str">
        <f t="shared" si="1"/>
        <v/>
      </c>
      <c r="AM1783" s="4" t="str">
        <f t="shared" si="2"/>
        <v/>
      </c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L1784" s="4" t="str">
        <f t="shared" si="1"/>
        <v/>
      </c>
      <c r="AM1784" s="4" t="str">
        <f t="shared" si="2"/>
        <v/>
      </c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L1785" s="4" t="str">
        <f t="shared" si="1"/>
        <v/>
      </c>
      <c r="AM1785" s="4" t="str">
        <f t="shared" si="2"/>
        <v/>
      </c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L1786" s="4" t="str">
        <f t="shared" si="1"/>
        <v/>
      </c>
      <c r="AM1786" s="4" t="str">
        <f t="shared" si="2"/>
        <v/>
      </c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L1787" s="4" t="str">
        <f t="shared" si="1"/>
        <v/>
      </c>
      <c r="AM1787" s="4" t="str">
        <f t="shared" si="2"/>
        <v/>
      </c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L1788" s="4" t="str">
        <f t="shared" si="1"/>
        <v/>
      </c>
      <c r="AM1788" s="4" t="str">
        <f t="shared" si="2"/>
        <v/>
      </c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L1789" s="4" t="str">
        <f t="shared" si="1"/>
        <v/>
      </c>
      <c r="AM1789" s="4" t="str">
        <f t="shared" si="2"/>
        <v/>
      </c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L1790" s="4" t="str">
        <f t="shared" si="1"/>
        <v/>
      </c>
      <c r="AM1790" s="4" t="str">
        <f t="shared" si="2"/>
        <v/>
      </c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L1791" s="4" t="str">
        <f t="shared" si="1"/>
        <v/>
      </c>
      <c r="AM1791" s="4" t="str">
        <f t="shared" si="2"/>
        <v/>
      </c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L1792" s="4" t="str">
        <f t="shared" si="1"/>
        <v/>
      </c>
      <c r="AM1792" s="4" t="str">
        <f t="shared" si="2"/>
        <v/>
      </c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L1793" s="4" t="str">
        <f t="shared" si="1"/>
        <v/>
      </c>
      <c r="AM1793" s="4" t="str">
        <f t="shared" si="2"/>
        <v/>
      </c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L1794" s="4" t="str">
        <f t="shared" si="1"/>
        <v/>
      </c>
      <c r="AM1794" s="4" t="str">
        <f t="shared" si="2"/>
        <v/>
      </c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L1795" s="4" t="str">
        <f t="shared" si="1"/>
        <v/>
      </c>
      <c r="AM1795" s="4" t="str">
        <f t="shared" si="2"/>
        <v/>
      </c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L1796" s="4" t="str">
        <f t="shared" si="1"/>
        <v/>
      </c>
      <c r="AM1796" s="4" t="str">
        <f t="shared" si="2"/>
        <v/>
      </c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L1797" s="4" t="str">
        <f t="shared" si="1"/>
        <v/>
      </c>
      <c r="AM1797" s="4" t="str">
        <f t="shared" si="2"/>
        <v/>
      </c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L1798" s="4" t="str">
        <f t="shared" si="1"/>
        <v/>
      </c>
      <c r="AM1798" s="4" t="str">
        <f t="shared" si="2"/>
        <v/>
      </c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L1799" s="4" t="str">
        <f t="shared" si="1"/>
        <v/>
      </c>
      <c r="AM1799" s="4" t="str">
        <f t="shared" si="2"/>
        <v/>
      </c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L1800" s="4" t="str">
        <f t="shared" si="1"/>
        <v/>
      </c>
      <c r="AM1800" s="4" t="str">
        <f t="shared" si="2"/>
        <v/>
      </c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L1801" s="4" t="str">
        <f t="shared" si="1"/>
        <v/>
      </c>
      <c r="AM1801" s="4" t="str">
        <f t="shared" si="2"/>
        <v/>
      </c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L1802" s="4" t="str">
        <f t="shared" si="1"/>
        <v/>
      </c>
      <c r="AM1802" s="4" t="str">
        <f t="shared" si="2"/>
        <v/>
      </c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L1803" s="4" t="str">
        <f t="shared" si="1"/>
        <v/>
      </c>
      <c r="AM1803" s="4" t="str">
        <f t="shared" si="2"/>
        <v/>
      </c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L1804" s="4" t="str">
        <f t="shared" si="1"/>
        <v/>
      </c>
      <c r="AM1804" s="4" t="str">
        <f t="shared" si="2"/>
        <v/>
      </c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L1805" s="4" t="str">
        <f t="shared" si="1"/>
        <v/>
      </c>
      <c r="AM1805" s="4" t="str">
        <f t="shared" si="2"/>
        <v/>
      </c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L1806" s="4" t="str">
        <f t="shared" si="1"/>
        <v/>
      </c>
      <c r="AM1806" s="4" t="str">
        <f t="shared" si="2"/>
        <v/>
      </c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L1807" s="4" t="str">
        <f t="shared" si="1"/>
        <v/>
      </c>
      <c r="AM1807" s="4" t="str">
        <f t="shared" si="2"/>
        <v/>
      </c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L1808" s="4" t="str">
        <f t="shared" si="1"/>
        <v/>
      </c>
      <c r="AM1808" s="4" t="str">
        <f t="shared" si="2"/>
        <v/>
      </c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L1809" s="4" t="str">
        <f t="shared" si="1"/>
        <v/>
      </c>
      <c r="AM1809" s="4" t="str">
        <f t="shared" si="2"/>
        <v/>
      </c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L1810" s="4" t="str">
        <f t="shared" si="1"/>
        <v/>
      </c>
      <c r="AM1810" s="4" t="str">
        <f t="shared" si="2"/>
        <v/>
      </c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L1811" s="4" t="str">
        <f t="shared" si="1"/>
        <v/>
      </c>
      <c r="AM1811" s="4" t="str">
        <f t="shared" si="2"/>
        <v/>
      </c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L1812" s="4" t="str">
        <f t="shared" si="1"/>
        <v/>
      </c>
      <c r="AM1812" s="4" t="str">
        <f t="shared" si="2"/>
        <v/>
      </c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L1813" s="4" t="str">
        <f t="shared" si="1"/>
        <v/>
      </c>
      <c r="AM1813" s="4" t="str">
        <f t="shared" si="2"/>
        <v/>
      </c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L1814" s="4" t="str">
        <f t="shared" si="1"/>
        <v/>
      </c>
      <c r="AM1814" s="4" t="str">
        <f t="shared" si="2"/>
        <v/>
      </c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L1815" s="4" t="str">
        <f t="shared" si="1"/>
        <v/>
      </c>
      <c r="AM1815" s="4" t="str">
        <f t="shared" si="2"/>
        <v/>
      </c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L1816" s="4" t="str">
        <f t="shared" si="1"/>
        <v/>
      </c>
      <c r="AM1816" s="4" t="str">
        <f t="shared" si="2"/>
        <v/>
      </c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L1817" s="4" t="str">
        <f t="shared" si="1"/>
        <v/>
      </c>
      <c r="AM1817" s="4" t="str">
        <f t="shared" si="2"/>
        <v/>
      </c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L1818" s="4" t="str">
        <f t="shared" si="1"/>
        <v/>
      </c>
      <c r="AM1818" s="4" t="str">
        <f t="shared" si="2"/>
        <v/>
      </c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L1819" s="4" t="str">
        <f t="shared" si="1"/>
        <v/>
      </c>
      <c r="AM1819" s="4" t="str">
        <f t="shared" si="2"/>
        <v/>
      </c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L1820" s="4" t="str">
        <f t="shared" si="1"/>
        <v/>
      </c>
      <c r="AM1820" s="4" t="str">
        <f t="shared" si="2"/>
        <v/>
      </c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L1821" s="4" t="str">
        <f t="shared" si="1"/>
        <v/>
      </c>
      <c r="AM1821" s="4" t="str">
        <f t="shared" si="2"/>
        <v/>
      </c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L1822" s="4" t="str">
        <f t="shared" si="1"/>
        <v/>
      </c>
      <c r="AM1822" s="4" t="str">
        <f t="shared" si="2"/>
        <v/>
      </c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L1823" s="4" t="str">
        <f t="shared" si="1"/>
        <v/>
      </c>
      <c r="AM1823" s="4" t="str">
        <f t="shared" si="2"/>
        <v/>
      </c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L1824" s="4" t="str">
        <f t="shared" si="1"/>
        <v/>
      </c>
      <c r="AM1824" s="4" t="str">
        <f t="shared" si="2"/>
        <v/>
      </c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L1825" s="4" t="str">
        <f t="shared" si="1"/>
        <v/>
      </c>
      <c r="AM1825" s="4" t="str">
        <f t="shared" si="2"/>
        <v/>
      </c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L1826" s="4" t="str">
        <f t="shared" si="1"/>
        <v/>
      </c>
      <c r="AM1826" s="4" t="str">
        <f t="shared" si="2"/>
        <v/>
      </c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L1827" s="4" t="str">
        <f t="shared" si="1"/>
        <v/>
      </c>
      <c r="AM1827" s="4" t="str">
        <f t="shared" si="2"/>
        <v/>
      </c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L1828" s="4" t="str">
        <f t="shared" si="1"/>
        <v/>
      </c>
      <c r="AM1828" s="4" t="str">
        <f t="shared" si="2"/>
        <v/>
      </c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L1829" s="4" t="str">
        <f t="shared" si="1"/>
        <v/>
      </c>
      <c r="AM1829" s="4" t="str">
        <f t="shared" si="2"/>
        <v/>
      </c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L1830" s="4" t="str">
        <f t="shared" si="1"/>
        <v/>
      </c>
      <c r="AM1830" s="4" t="str">
        <f t="shared" si="2"/>
        <v/>
      </c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L1831" s="4" t="str">
        <f t="shared" si="1"/>
        <v/>
      </c>
      <c r="AM1831" s="4" t="str">
        <f t="shared" si="2"/>
        <v/>
      </c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L1832" s="4" t="str">
        <f t="shared" si="1"/>
        <v/>
      </c>
      <c r="AM1832" s="4" t="str">
        <f t="shared" si="2"/>
        <v/>
      </c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L1833" s="4" t="str">
        <f t="shared" si="1"/>
        <v/>
      </c>
      <c r="AM1833" s="4" t="str">
        <f t="shared" si="2"/>
        <v/>
      </c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L1834" s="4" t="str">
        <f t="shared" si="1"/>
        <v/>
      </c>
      <c r="AM1834" s="4" t="str">
        <f t="shared" si="2"/>
        <v/>
      </c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L1835" s="4" t="str">
        <f t="shared" si="1"/>
        <v/>
      </c>
      <c r="AM1835" s="4" t="str">
        <f t="shared" si="2"/>
        <v/>
      </c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L1836" s="4" t="str">
        <f t="shared" si="1"/>
        <v/>
      </c>
      <c r="AM1836" s="4" t="str">
        <f t="shared" si="2"/>
        <v/>
      </c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L1837" s="4" t="str">
        <f t="shared" si="1"/>
        <v/>
      </c>
      <c r="AM1837" s="4" t="str">
        <f t="shared" si="2"/>
        <v/>
      </c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L1838" s="4" t="str">
        <f t="shared" si="1"/>
        <v/>
      </c>
      <c r="AM1838" s="4" t="str">
        <f t="shared" si="2"/>
        <v/>
      </c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L1839" s="4" t="str">
        <f t="shared" si="1"/>
        <v/>
      </c>
      <c r="AM1839" s="4" t="str">
        <f t="shared" si="2"/>
        <v/>
      </c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L1840" s="4" t="str">
        <f t="shared" si="1"/>
        <v/>
      </c>
      <c r="AM1840" s="4" t="str">
        <f t="shared" si="2"/>
        <v/>
      </c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L1841" s="4" t="str">
        <f t="shared" si="1"/>
        <v/>
      </c>
      <c r="AM1841" s="4" t="str">
        <f t="shared" si="2"/>
        <v/>
      </c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L1842" s="4" t="str">
        <f t="shared" si="1"/>
        <v/>
      </c>
      <c r="AM1842" s="4" t="str">
        <f t="shared" si="2"/>
        <v/>
      </c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L1843" s="4" t="str">
        <f t="shared" si="1"/>
        <v/>
      </c>
      <c r="AM1843" s="4" t="str">
        <f t="shared" si="2"/>
        <v/>
      </c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L1844" s="4" t="str">
        <f t="shared" si="1"/>
        <v/>
      </c>
      <c r="AM1844" s="4" t="str">
        <f t="shared" si="2"/>
        <v/>
      </c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L1845" s="4" t="str">
        <f t="shared" si="1"/>
        <v/>
      </c>
      <c r="AM1845" s="4" t="str">
        <f t="shared" si="2"/>
        <v/>
      </c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L1846" s="4" t="str">
        <f t="shared" si="1"/>
        <v/>
      </c>
      <c r="AM1846" s="4" t="str">
        <f t="shared" si="2"/>
        <v/>
      </c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L1847" s="4" t="str">
        <f t="shared" si="1"/>
        <v/>
      </c>
      <c r="AM1847" s="4" t="str">
        <f t="shared" si="2"/>
        <v/>
      </c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L1848" s="4" t="str">
        <f t="shared" si="1"/>
        <v/>
      </c>
      <c r="AM1848" s="4" t="str">
        <f t="shared" si="2"/>
        <v/>
      </c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L1849" s="4" t="str">
        <f t="shared" si="1"/>
        <v/>
      </c>
      <c r="AM1849" s="4" t="str">
        <f t="shared" si="2"/>
        <v/>
      </c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L1850" s="4" t="str">
        <f t="shared" si="1"/>
        <v/>
      </c>
      <c r="AM1850" s="4" t="str">
        <f t="shared" si="2"/>
        <v/>
      </c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L1851" s="4" t="str">
        <f t="shared" si="1"/>
        <v/>
      </c>
      <c r="AM1851" s="4" t="str">
        <f t="shared" si="2"/>
        <v/>
      </c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L1852" s="4" t="str">
        <f t="shared" si="1"/>
        <v/>
      </c>
      <c r="AM1852" s="4" t="str">
        <f t="shared" si="2"/>
        <v/>
      </c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L1853" s="4" t="str">
        <f t="shared" si="1"/>
        <v/>
      </c>
      <c r="AM1853" s="4" t="str">
        <f t="shared" si="2"/>
        <v/>
      </c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L1854" s="4" t="str">
        <f t="shared" si="1"/>
        <v/>
      </c>
      <c r="AM1854" s="4" t="str">
        <f t="shared" si="2"/>
        <v/>
      </c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L1855" s="4" t="str">
        <f t="shared" si="1"/>
        <v/>
      </c>
      <c r="AM1855" s="4" t="str">
        <f t="shared" si="2"/>
        <v/>
      </c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L1856" s="4" t="str">
        <f t="shared" si="1"/>
        <v/>
      </c>
      <c r="AM1856" s="4" t="str">
        <f t="shared" si="2"/>
        <v/>
      </c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L1857" s="4" t="str">
        <f t="shared" si="1"/>
        <v/>
      </c>
      <c r="AM1857" s="4" t="str">
        <f t="shared" si="2"/>
        <v/>
      </c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L1858" s="4" t="str">
        <f t="shared" si="1"/>
        <v/>
      </c>
      <c r="AM1858" s="4" t="str">
        <f t="shared" si="2"/>
        <v/>
      </c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L1859" s="4" t="str">
        <f t="shared" si="1"/>
        <v/>
      </c>
      <c r="AM1859" s="4" t="str">
        <f t="shared" si="2"/>
        <v/>
      </c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L1860" s="4" t="str">
        <f t="shared" si="1"/>
        <v/>
      </c>
      <c r="AM1860" s="4" t="str">
        <f t="shared" si="2"/>
        <v/>
      </c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L1861" s="4" t="str">
        <f t="shared" si="1"/>
        <v/>
      </c>
      <c r="AM1861" s="4" t="str">
        <f t="shared" si="2"/>
        <v/>
      </c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L1862" s="4" t="str">
        <f t="shared" si="1"/>
        <v/>
      </c>
      <c r="AM1862" s="4" t="str">
        <f t="shared" si="2"/>
        <v/>
      </c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L1863" s="4" t="str">
        <f t="shared" si="1"/>
        <v/>
      </c>
      <c r="AM1863" s="4" t="str">
        <f t="shared" si="2"/>
        <v/>
      </c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L1864" s="4" t="str">
        <f t="shared" si="1"/>
        <v/>
      </c>
      <c r="AM1864" s="4" t="str">
        <f t="shared" si="2"/>
        <v/>
      </c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L1865" s="4" t="str">
        <f t="shared" si="1"/>
        <v/>
      </c>
      <c r="AM1865" s="4" t="str">
        <f t="shared" si="2"/>
        <v/>
      </c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L1866" s="4" t="str">
        <f t="shared" si="1"/>
        <v/>
      </c>
      <c r="AM1866" s="4" t="str">
        <f t="shared" si="2"/>
        <v/>
      </c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L1867" s="4" t="str">
        <f t="shared" si="1"/>
        <v/>
      </c>
      <c r="AM1867" s="4" t="str">
        <f t="shared" si="2"/>
        <v/>
      </c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L1868" s="4" t="str">
        <f t="shared" si="1"/>
        <v/>
      </c>
      <c r="AM1868" s="4" t="str">
        <f t="shared" si="2"/>
        <v/>
      </c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L1869" s="4" t="str">
        <f t="shared" si="1"/>
        <v/>
      </c>
      <c r="AM1869" s="4" t="str">
        <f t="shared" si="2"/>
        <v/>
      </c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L1870" s="4" t="str">
        <f t="shared" si="1"/>
        <v/>
      </c>
      <c r="AM1870" s="4" t="str">
        <f t="shared" si="2"/>
        <v/>
      </c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L1871" s="4" t="str">
        <f t="shared" si="1"/>
        <v/>
      </c>
      <c r="AM1871" s="4" t="str">
        <f t="shared" si="2"/>
        <v/>
      </c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L1872" s="4" t="str">
        <f t="shared" si="1"/>
        <v/>
      </c>
      <c r="AM1872" s="4" t="str">
        <f t="shared" si="2"/>
        <v/>
      </c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L1873" s="4" t="str">
        <f t="shared" si="1"/>
        <v/>
      </c>
      <c r="AM1873" s="4" t="str">
        <f t="shared" si="2"/>
        <v/>
      </c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L1874" s="4" t="str">
        <f t="shared" si="1"/>
        <v/>
      </c>
      <c r="AM1874" s="4" t="str">
        <f t="shared" si="2"/>
        <v/>
      </c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L1875" s="4" t="str">
        <f t="shared" si="1"/>
        <v/>
      </c>
      <c r="AM1875" s="4" t="str">
        <f t="shared" si="2"/>
        <v/>
      </c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L1876" s="4" t="str">
        <f t="shared" si="1"/>
        <v/>
      </c>
      <c r="AM1876" s="4" t="str">
        <f t="shared" si="2"/>
        <v/>
      </c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L1877" s="4" t="str">
        <f t="shared" si="1"/>
        <v/>
      </c>
      <c r="AM1877" s="4" t="str">
        <f t="shared" si="2"/>
        <v/>
      </c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L1878" s="4" t="str">
        <f t="shared" si="1"/>
        <v/>
      </c>
      <c r="AM1878" s="4" t="str">
        <f t="shared" si="2"/>
        <v/>
      </c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L1879" s="4" t="str">
        <f t="shared" si="1"/>
        <v/>
      </c>
      <c r="AM1879" s="4" t="str">
        <f t="shared" si="2"/>
        <v/>
      </c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L1880" s="4" t="str">
        <f t="shared" si="1"/>
        <v/>
      </c>
      <c r="AM1880" s="4" t="str">
        <f t="shared" si="2"/>
        <v/>
      </c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L1881" s="4" t="str">
        <f t="shared" si="1"/>
        <v/>
      </c>
      <c r="AM1881" s="4" t="str">
        <f t="shared" si="2"/>
        <v/>
      </c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L1882" s="4" t="str">
        <f t="shared" si="1"/>
        <v/>
      </c>
      <c r="AM1882" s="4" t="str">
        <f t="shared" si="2"/>
        <v/>
      </c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L1883" s="4" t="str">
        <f t="shared" si="1"/>
        <v/>
      </c>
      <c r="AM1883" s="4" t="str">
        <f t="shared" si="2"/>
        <v/>
      </c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L1884" s="4" t="str">
        <f t="shared" si="1"/>
        <v/>
      </c>
      <c r="AM1884" s="4" t="str">
        <f t="shared" si="2"/>
        <v/>
      </c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L1885" s="4" t="str">
        <f t="shared" si="1"/>
        <v/>
      </c>
      <c r="AM1885" s="4" t="str">
        <f t="shared" si="2"/>
        <v/>
      </c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L1886" s="4" t="str">
        <f t="shared" si="1"/>
        <v/>
      </c>
      <c r="AM1886" s="4" t="str">
        <f t="shared" si="2"/>
        <v/>
      </c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L1887" s="4" t="str">
        <f t="shared" si="1"/>
        <v/>
      </c>
      <c r="AM1887" s="4" t="str">
        <f t="shared" si="2"/>
        <v/>
      </c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L1888" s="4" t="str">
        <f t="shared" si="1"/>
        <v/>
      </c>
      <c r="AM1888" s="4" t="str">
        <f t="shared" si="2"/>
        <v/>
      </c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L1889" s="4" t="str">
        <f t="shared" si="1"/>
        <v/>
      </c>
      <c r="AM1889" s="4" t="str">
        <f t="shared" si="2"/>
        <v/>
      </c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L1890" s="4" t="str">
        <f t="shared" si="1"/>
        <v/>
      </c>
      <c r="AM1890" s="4" t="str">
        <f t="shared" si="2"/>
        <v/>
      </c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L1891" s="4" t="str">
        <f t="shared" si="1"/>
        <v/>
      </c>
      <c r="AM1891" s="4" t="str">
        <f t="shared" si="2"/>
        <v/>
      </c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L1892" s="4" t="str">
        <f t="shared" si="1"/>
        <v/>
      </c>
      <c r="AM1892" s="4" t="str">
        <f t="shared" si="2"/>
        <v/>
      </c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L1893" s="4" t="str">
        <f t="shared" si="1"/>
        <v/>
      </c>
      <c r="AM1893" s="4" t="str">
        <f t="shared" si="2"/>
        <v/>
      </c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L1894" s="4" t="str">
        <f t="shared" si="1"/>
        <v/>
      </c>
      <c r="AM1894" s="4" t="str">
        <f t="shared" si="2"/>
        <v/>
      </c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L1895" s="4" t="str">
        <f t="shared" si="1"/>
        <v/>
      </c>
      <c r="AM1895" s="4" t="str">
        <f t="shared" si="2"/>
        <v/>
      </c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L1896" s="4" t="str">
        <f t="shared" si="1"/>
        <v/>
      </c>
      <c r="AM1896" s="4" t="str">
        <f t="shared" si="2"/>
        <v/>
      </c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L1897" s="4" t="str">
        <f t="shared" si="1"/>
        <v/>
      </c>
      <c r="AM1897" s="4" t="str">
        <f t="shared" si="2"/>
        <v/>
      </c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L1898" s="4" t="str">
        <f t="shared" si="1"/>
        <v/>
      </c>
      <c r="AM1898" s="4" t="str">
        <f t="shared" si="2"/>
        <v/>
      </c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L1899" s="4" t="str">
        <f t="shared" si="1"/>
        <v/>
      </c>
      <c r="AM1899" s="4" t="str">
        <f t="shared" si="2"/>
        <v/>
      </c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L1900" s="4" t="str">
        <f t="shared" si="1"/>
        <v/>
      </c>
      <c r="AM1900" s="4" t="str">
        <f t="shared" si="2"/>
        <v/>
      </c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L1901" s="4" t="str">
        <f t="shared" si="1"/>
        <v/>
      </c>
      <c r="AM1901" s="4" t="str">
        <f t="shared" si="2"/>
        <v/>
      </c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L1902" s="4" t="str">
        <f t="shared" si="1"/>
        <v/>
      </c>
      <c r="AM1902" s="4" t="str">
        <f t="shared" si="2"/>
        <v/>
      </c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L1903" s="4" t="str">
        <f t="shared" si="1"/>
        <v/>
      </c>
      <c r="AM1903" s="4" t="str">
        <f t="shared" si="2"/>
        <v/>
      </c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L1904" s="4" t="str">
        <f t="shared" si="1"/>
        <v/>
      </c>
      <c r="AM1904" s="4" t="str">
        <f t="shared" si="2"/>
        <v/>
      </c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L1905" s="4" t="str">
        <f t="shared" si="1"/>
        <v/>
      </c>
      <c r="AM1905" s="4" t="str">
        <f t="shared" si="2"/>
        <v/>
      </c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L1906" s="4" t="str">
        <f t="shared" si="1"/>
        <v/>
      </c>
      <c r="AM1906" s="4" t="str">
        <f t="shared" si="2"/>
        <v/>
      </c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L1907" s="4" t="str">
        <f t="shared" si="1"/>
        <v/>
      </c>
      <c r="AM1907" s="4" t="str">
        <f t="shared" si="2"/>
        <v/>
      </c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L1908" s="4" t="str">
        <f t="shared" si="1"/>
        <v/>
      </c>
      <c r="AM1908" s="4" t="str">
        <f t="shared" si="2"/>
        <v/>
      </c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L1909" s="4" t="str">
        <f t="shared" si="1"/>
        <v/>
      </c>
      <c r="AM1909" s="4" t="str">
        <f t="shared" si="2"/>
        <v/>
      </c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L1910" s="4" t="str">
        <f t="shared" si="1"/>
        <v/>
      </c>
      <c r="AM1910" s="4" t="str">
        <f t="shared" si="2"/>
        <v/>
      </c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L1911" s="4" t="str">
        <f t="shared" si="1"/>
        <v/>
      </c>
      <c r="AM1911" s="4" t="str">
        <f t="shared" si="2"/>
        <v/>
      </c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L1912" s="4" t="str">
        <f t="shared" si="1"/>
        <v/>
      </c>
      <c r="AM1912" s="4" t="str">
        <f t="shared" si="2"/>
        <v/>
      </c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L1913" s="4" t="str">
        <f t="shared" si="1"/>
        <v/>
      </c>
      <c r="AM1913" s="4" t="str">
        <f t="shared" si="2"/>
        <v/>
      </c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L1914" s="4" t="str">
        <f t="shared" si="1"/>
        <v/>
      </c>
      <c r="AM1914" s="4" t="str">
        <f t="shared" si="2"/>
        <v/>
      </c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L1915" s="4" t="str">
        <f t="shared" si="1"/>
        <v/>
      </c>
      <c r="AM1915" s="4" t="str">
        <f t="shared" si="2"/>
        <v/>
      </c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L1916" s="4" t="str">
        <f t="shared" si="1"/>
        <v/>
      </c>
      <c r="AM1916" s="4" t="str">
        <f t="shared" si="2"/>
        <v/>
      </c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L1917" s="4" t="str">
        <f t="shared" si="1"/>
        <v/>
      </c>
      <c r="AM1917" s="4" t="str">
        <f t="shared" si="2"/>
        <v/>
      </c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L1918" s="4" t="str">
        <f t="shared" si="1"/>
        <v/>
      </c>
      <c r="AM1918" s="4" t="str">
        <f t="shared" si="2"/>
        <v/>
      </c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L1919" s="4" t="str">
        <f t="shared" si="1"/>
        <v/>
      </c>
      <c r="AM1919" s="4" t="str">
        <f t="shared" si="2"/>
        <v/>
      </c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L1920" s="4" t="str">
        <f t="shared" si="1"/>
        <v/>
      </c>
      <c r="AM1920" s="4" t="str">
        <f t="shared" si="2"/>
        <v/>
      </c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L1921" s="4" t="str">
        <f t="shared" si="1"/>
        <v/>
      </c>
      <c r="AM1921" s="4" t="str">
        <f t="shared" si="2"/>
        <v/>
      </c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L1922" s="4" t="str">
        <f t="shared" si="1"/>
        <v/>
      </c>
      <c r="AM1922" s="4" t="str">
        <f t="shared" si="2"/>
        <v/>
      </c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L1923" s="4" t="str">
        <f t="shared" si="1"/>
        <v/>
      </c>
      <c r="AM1923" s="4" t="str">
        <f t="shared" si="2"/>
        <v/>
      </c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L1924" s="4" t="str">
        <f t="shared" si="1"/>
        <v/>
      </c>
      <c r="AM1924" s="4" t="str">
        <f t="shared" si="2"/>
        <v/>
      </c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L1925" s="4" t="str">
        <f t="shared" si="1"/>
        <v/>
      </c>
      <c r="AM1925" s="4" t="str">
        <f t="shared" si="2"/>
        <v/>
      </c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L1926" s="4" t="str">
        <f t="shared" si="1"/>
        <v/>
      </c>
      <c r="AM1926" s="4" t="str">
        <f t="shared" si="2"/>
        <v/>
      </c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L1927" s="4" t="str">
        <f t="shared" si="1"/>
        <v/>
      </c>
      <c r="AM1927" s="4" t="str">
        <f t="shared" si="2"/>
        <v/>
      </c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L1928" s="4" t="str">
        <f t="shared" si="1"/>
        <v/>
      </c>
      <c r="AM1928" s="4" t="str">
        <f t="shared" si="2"/>
        <v/>
      </c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L1929" s="4" t="str">
        <f t="shared" si="1"/>
        <v/>
      </c>
      <c r="AM1929" s="4" t="str">
        <f t="shared" si="2"/>
        <v/>
      </c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L1930" s="4" t="str">
        <f t="shared" si="1"/>
        <v/>
      </c>
      <c r="AM1930" s="4" t="str">
        <f t="shared" si="2"/>
        <v/>
      </c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L1931" s="4" t="str">
        <f t="shared" si="1"/>
        <v/>
      </c>
      <c r="AM1931" s="4" t="str">
        <f t="shared" si="2"/>
        <v/>
      </c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L1932" s="4" t="str">
        <f t="shared" si="1"/>
        <v/>
      </c>
      <c r="AM1932" s="4" t="str">
        <f t="shared" si="2"/>
        <v/>
      </c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L1933" s="4" t="str">
        <f t="shared" si="1"/>
        <v/>
      </c>
      <c r="AM1933" s="4" t="str">
        <f t="shared" si="2"/>
        <v/>
      </c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L1934" s="4" t="str">
        <f t="shared" si="1"/>
        <v/>
      </c>
      <c r="AM1934" s="4" t="str">
        <f t="shared" si="2"/>
        <v/>
      </c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L1935" s="4" t="str">
        <f t="shared" si="1"/>
        <v/>
      </c>
      <c r="AM1935" s="4" t="str">
        <f t="shared" si="2"/>
        <v/>
      </c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L1936" s="4" t="str">
        <f t="shared" si="1"/>
        <v/>
      </c>
      <c r="AM1936" s="4" t="str">
        <f t="shared" si="2"/>
        <v/>
      </c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L1937" s="4" t="str">
        <f t="shared" si="1"/>
        <v/>
      </c>
      <c r="AM1937" s="4" t="str">
        <f t="shared" si="2"/>
        <v/>
      </c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L1938" s="4" t="str">
        <f t="shared" si="1"/>
        <v/>
      </c>
      <c r="AM1938" s="4" t="str">
        <f t="shared" si="2"/>
        <v/>
      </c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L1939" s="4" t="str">
        <f t="shared" si="1"/>
        <v/>
      </c>
      <c r="AM1939" s="4" t="str">
        <f t="shared" si="2"/>
        <v/>
      </c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L1940" s="4" t="str">
        <f t="shared" si="1"/>
        <v/>
      </c>
      <c r="AM1940" s="4" t="str">
        <f t="shared" si="2"/>
        <v/>
      </c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L1941" s="4" t="str">
        <f t="shared" si="1"/>
        <v/>
      </c>
      <c r="AM1941" s="4" t="str">
        <f t="shared" si="2"/>
        <v/>
      </c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L1942" s="4" t="str">
        <f t="shared" si="1"/>
        <v/>
      </c>
      <c r="AM1942" s="4" t="str">
        <f t="shared" si="2"/>
        <v/>
      </c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L1943" s="4" t="str">
        <f t="shared" si="1"/>
        <v/>
      </c>
      <c r="AM1943" s="4" t="str">
        <f t="shared" si="2"/>
        <v/>
      </c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L1944" s="4" t="str">
        <f t="shared" si="1"/>
        <v/>
      </c>
      <c r="AM1944" s="4" t="str">
        <f t="shared" si="2"/>
        <v/>
      </c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L1945" s="4" t="str">
        <f t="shared" si="1"/>
        <v/>
      </c>
      <c r="AM1945" s="4" t="str">
        <f t="shared" si="2"/>
        <v/>
      </c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L1946" s="4" t="str">
        <f t="shared" si="1"/>
        <v/>
      </c>
      <c r="AM1946" s="4" t="str">
        <f t="shared" si="2"/>
        <v/>
      </c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L1947" s="4" t="str">
        <f t="shared" si="1"/>
        <v/>
      </c>
      <c r="AM1947" s="4" t="str">
        <f t="shared" si="2"/>
        <v/>
      </c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L1948" s="4" t="str">
        <f t="shared" si="1"/>
        <v/>
      </c>
      <c r="AM1948" s="4" t="str">
        <f t="shared" si="2"/>
        <v/>
      </c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L1949" s="4" t="str">
        <f t="shared" si="1"/>
        <v/>
      </c>
      <c r="AM1949" s="4" t="str">
        <f t="shared" si="2"/>
        <v/>
      </c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L1950" s="4" t="str">
        <f t="shared" si="1"/>
        <v/>
      </c>
      <c r="AM1950" s="4" t="str">
        <f t="shared" si="2"/>
        <v/>
      </c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L1951" s="4" t="str">
        <f t="shared" si="1"/>
        <v/>
      </c>
      <c r="AM1951" s="4" t="str">
        <f t="shared" si="2"/>
        <v/>
      </c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L1952" s="4" t="str">
        <f t="shared" si="1"/>
        <v/>
      </c>
      <c r="AM1952" s="4" t="str">
        <f t="shared" si="2"/>
        <v/>
      </c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L1953" s="4" t="str">
        <f t="shared" si="1"/>
        <v/>
      </c>
      <c r="AM1953" s="4" t="str">
        <f t="shared" si="2"/>
        <v/>
      </c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L1954" s="4" t="str">
        <f t="shared" si="1"/>
        <v/>
      </c>
      <c r="AM1954" s="4" t="str">
        <f t="shared" si="2"/>
        <v/>
      </c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L1955" s="4" t="str">
        <f t="shared" si="1"/>
        <v/>
      </c>
      <c r="AM1955" s="4" t="str">
        <f t="shared" si="2"/>
        <v/>
      </c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L1956" s="4" t="str">
        <f t="shared" si="1"/>
        <v/>
      </c>
      <c r="AM1956" s="4" t="str">
        <f t="shared" si="2"/>
        <v/>
      </c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L1957" s="4" t="str">
        <f t="shared" si="1"/>
        <v/>
      </c>
      <c r="AM1957" s="4" t="str">
        <f t="shared" si="2"/>
        <v/>
      </c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L1958" s="4" t="str">
        <f t="shared" si="1"/>
        <v/>
      </c>
      <c r="AM1958" s="4" t="str">
        <f t="shared" si="2"/>
        <v/>
      </c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L1959" s="4" t="str">
        <f t="shared" si="1"/>
        <v/>
      </c>
      <c r="AM1959" s="4" t="str">
        <f t="shared" si="2"/>
        <v/>
      </c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L1960" s="4" t="str">
        <f t="shared" si="1"/>
        <v/>
      </c>
      <c r="AM1960" s="4" t="str">
        <f t="shared" si="2"/>
        <v/>
      </c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L1961" s="4" t="str">
        <f t="shared" si="1"/>
        <v/>
      </c>
      <c r="AM1961" s="4" t="str">
        <f t="shared" si="2"/>
        <v/>
      </c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L1962" s="4" t="str">
        <f t="shared" si="1"/>
        <v/>
      </c>
      <c r="AM1962" s="4" t="str">
        <f t="shared" si="2"/>
        <v/>
      </c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L1963" s="4" t="str">
        <f t="shared" si="1"/>
        <v/>
      </c>
      <c r="AM1963" s="4" t="str">
        <f t="shared" si="2"/>
        <v/>
      </c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L1964" s="4" t="str">
        <f t="shared" si="1"/>
        <v/>
      </c>
      <c r="AM1964" s="4" t="str">
        <f t="shared" si="2"/>
        <v/>
      </c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L1965" s="4" t="str">
        <f t="shared" si="1"/>
        <v/>
      </c>
      <c r="AM1965" s="4" t="str">
        <f t="shared" si="2"/>
        <v/>
      </c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L1966" s="4" t="str">
        <f t="shared" si="1"/>
        <v/>
      </c>
      <c r="AM1966" s="4" t="str">
        <f t="shared" si="2"/>
        <v/>
      </c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L1967" s="4" t="str">
        <f t="shared" si="1"/>
        <v/>
      </c>
      <c r="AM1967" s="4" t="str">
        <f t="shared" si="2"/>
        <v/>
      </c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L1968" s="4" t="str">
        <f t="shared" si="1"/>
        <v/>
      </c>
      <c r="AM1968" s="4" t="str">
        <f t="shared" si="2"/>
        <v/>
      </c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L1969" s="4" t="str">
        <f t="shared" si="1"/>
        <v/>
      </c>
      <c r="AM1969" s="4" t="str">
        <f t="shared" si="2"/>
        <v/>
      </c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L1970" s="4" t="str">
        <f t="shared" si="1"/>
        <v/>
      </c>
      <c r="AM1970" s="4" t="str">
        <f t="shared" si="2"/>
        <v/>
      </c>
    </row>
    <row r="1971">
      <c r="AL1971" s="4" t="str">
        <f t="shared" si="1"/>
        <v/>
      </c>
      <c r="AM1971" s="4" t="str">
        <f t="shared" si="2"/>
        <v/>
      </c>
    </row>
    <row r="1972">
      <c r="AL1972" s="4" t="str">
        <f t="shared" si="1"/>
        <v/>
      </c>
      <c r="AM1972" s="4" t="str">
        <f t="shared" si="2"/>
        <v/>
      </c>
    </row>
    <row r="1973">
      <c r="AL1973" s="4" t="str">
        <f t="shared" si="1"/>
        <v/>
      </c>
      <c r="AM1973" s="4" t="str">
        <f t="shared" si="2"/>
        <v/>
      </c>
    </row>
    <row r="1974">
      <c r="AL1974" s="4" t="str">
        <f t="shared" si="1"/>
        <v/>
      </c>
      <c r="AM1974" s="4" t="str">
        <f t="shared" si="2"/>
        <v/>
      </c>
    </row>
    <row r="1975">
      <c r="AL1975" s="4" t="str">
        <f t="shared" si="1"/>
        <v/>
      </c>
      <c r="AM1975" s="4" t="str">
        <f t="shared" si="2"/>
        <v/>
      </c>
    </row>
    <row r="1976">
      <c r="AL1976" s="4" t="str">
        <f t="shared" si="1"/>
        <v/>
      </c>
      <c r="AM1976" s="4" t="str">
        <f t="shared" si="2"/>
        <v/>
      </c>
    </row>
    <row r="1977">
      <c r="AL1977" s="4" t="str">
        <f t="shared" si="1"/>
        <v/>
      </c>
      <c r="AM1977" s="4" t="str">
        <f t="shared" si="2"/>
        <v/>
      </c>
    </row>
    <row r="1978">
      <c r="AL1978" s="4" t="str">
        <f t="shared" si="1"/>
        <v/>
      </c>
      <c r="AM1978" s="4" t="str">
        <f t="shared" si="2"/>
        <v/>
      </c>
    </row>
    <row r="1979">
      <c r="AL1979" s="4" t="str">
        <f t="shared" si="1"/>
        <v/>
      </c>
      <c r="AM1979" s="4" t="str">
        <f t="shared" si="2"/>
        <v/>
      </c>
    </row>
    <row r="1980">
      <c r="AL1980" s="4" t="str">
        <f t="shared" si="1"/>
        <v/>
      </c>
      <c r="AM1980" s="4" t="str">
        <f t="shared" si="2"/>
        <v/>
      </c>
    </row>
    <row r="1981">
      <c r="AL1981" s="4" t="str">
        <f t="shared" si="1"/>
        <v/>
      </c>
      <c r="AM1981" s="4" t="str">
        <f t="shared" si="2"/>
        <v/>
      </c>
    </row>
    <row r="1982">
      <c r="AL1982" s="4" t="str">
        <f t="shared" si="1"/>
        <v/>
      </c>
      <c r="AM1982" s="4" t="str">
        <f t="shared" si="2"/>
        <v/>
      </c>
    </row>
    <row r="1983">
      <c r="AL1983" s="4" t="str">
        <f t="shared" si="1"/>
        <v/>
      </c>
      <c r="AM1983" s="4" t="str">
        <f t="shared" si="2"/>
        <v/>
      </c>
    </row>
    <row r="1984">
      <c r="AL1984" s="4" t="str">
        <f t="shared" si="1"/>
        <v/>
      </c>
      <c r="AM1984" s="4" t="str">
        <f t="shared" si="2"/>
        <v/>
      </c>
    </row>
    <row r="1985">
      <c r="AL1985" s="4" t="str">
        <f t="shared" si="1"/>
        <v/>
      </c>
      <c r="AM1985" s="4" t="str">
        <f t="shared" si="2"/>
        <v/>
      </c>
    </row>
    <row r="1986">
      <c r="AL1986" s="4" t="str">
        <f t="shared" si="1"/>
        <v/>
      </c>
      <c r="AM1986" s="4" t="str">
        <f t="shared" si="2"/>
        <v/>
      </c>
    </row>
    <row r="1987">
      <c r="AL1987" s="4" t="str">
        <f t="shared" si="1"/>
        <v/>
      </c>
      <c r="AM1987" s="4" t="str">
        <f t="shared" si="2"/>
        <v/>
      </c>
    </row>
    <row r="1988">
      <c r="AL1988" s="4" t="str">
        <f t="shared" si="1"/>
        <v/>
      </c>
      <c r="AM1988" s="4" t="str">
        <f t="shared" si="2"/>
        <v/>
      </c>
    </row>
    <row r="1989">
      <c r="AL1989" s="4" t="str">
        <f t="shared" si="1"/>
        <v/>
      </c>
      <c r="AM1989" s="4" t="str">
        <f t="shared" si="2"/>
        <v/>
      </c>
    </row>
    <row r="1990">
      <c r="AL1990" s="4" t="str">
        <f t="shared" si="1"/>
        <v/>
      </c>
      <c r="AM1990" s="4" t="str">
        <f t="shared" si="2"/>
        <v/>
      </c>
    </row>
    <row r="1991">
      <c r="AL1991" s="4" t="str">
        <f t="shared" si="1"/>
        <v/>
      </c>
      <c r="AM1991" s="4" t="str">
        <f t="shared" si="2"/>
        <v/>
      </c>
    </row>
    <row r="1992">
      <c r="AL1992" s="4" t="str">
        <f t="shared" si="1"/>
        <v/>
      </c>
      <c r="AM1992" s="4" t="str">
        <f t="shared" si="2"/>
        <v/>
      </c>
    </row>
    <row r="1993">
      <c r="AL1993" s="4" t="str">
        <f t="shared" si="1"/>
        <v/>
      </c>
      <c r="AM1993" s="4" t="str">
        <f t="shared" si="2"/>
        <v/>
      </c>
    </row>
    <row r="1994">
      <c r="AL1994" s="4" t="str">
        <f t="shared" si="1"/>
        <v/>
      </c>
      <c r="AM1994" s="4" t="str">
        <f t="shared" si="2"/>
        <v/>
      </c>
    </row>
    <row r="1995">
      <c r="AL1995" s="4" t="str">
        <f t="shared" si="1"/>
        <v/>
      </c>
      <c r="AM1995" s="4" t="str">
        <f t="shared" si="2"/>
        <v/>
      </c>
    </row>
    <row r="1996">
      <c r="AL1996" s="4" t="str">
        <f t="shared" si="1"/>
        <v/>
      </c>
      <c r="AM1996" s="4" t="str">
        <f t="shared" si="2"/>
        <v/>
      </c>
    </row>
    <row r="1997">
      <c r="AL1997" s="4" t="str">
        <f t="shared" si="1"/>
        <v/>
      </c>
      <c r="AM1997" s="4" t="str">
        <f t="shared" si="2"/>
        <v/>
      </c>
    </row>
    <row r="1998">
      <c r="AL1998" s="4" t="str">
        <f t="shared" si="1"/>
        <v/>
      </c>
      <c r="AM1998" s="4" t="str">
        <f t="shared" si="2"/>
        <v/>
      </c>
    </row>
    <row r="1999">
      <c r="AL1999" s="4" t="str">
        <f t="shared" si="1"/>
        <v/>
      </c>
      <c r="AM1999" s="4" t="str">
        <f t="shared" si="2"/>
        <v/>
      </c>
    </row>
    <row r="2000">
      <c r="AL2000" s="4" t="str">
        <f t="shared" si="1"/>
        <v/>
      </c>
      <c r="AM2000" s="4" t="str">
        <f t="shared" si="2"/>
        <v/>
      </c>
    </row>
  </sheetData>
  <hyperlinks>
    <hyperlink r:id="rId1" ref="AE3"/>
    <hyperlink r:id="rId2" ref="AE4"/>
    <hyperlink r:id="rId3" ref="AE5"/>
    <hyperlink r:id="rId4" ref="AE6"/>
    <hyperlink r:id="rId5" ref="AE7"/>
    <hyperlink r:id="rId6" ref="AE8"/>
    <hyperlink r:id="rId7" ref="AE9"/>
    <hyperlink r:id="rId8" ref="AE10"/>
    <hyperlink r:id="rId9" ref="AE11"/>
    <hyperlink r:id="rId10" ref="AE12"/>
    <hyperlink r:id="rId11" ref="AE13"/>
    <hyperlink r:id="rId12" ref="AE14"/>
    <hyperlink r:id="rId13" ref="AE15"/>
    <hyperlink r:id="rId14" ref="AE16"/>
    <hyperlink r:id="rId15" ref="AE17"/>
    <hyperlink r:id="rId16" ref="AE18"/>
    <hyperlink r:id="rId17" ref="AE19"/>
    <hyperlink r:id="rId18" ref="AE20"/>
    <hyperlink r:id="rId19" ref="AE21"/>
    <hyperlink r:id="rId20" ref="AE22"/>
    <hyperlink r:id="rId21" ref="AE23"/>
    <hyperlink r:id="rId22" ref="AE24"/>
    <hyperlink r:id="rId23" ref="AE25"/>
    <hyperlink r:id="rId24" ref="AE26"/>
    <hyperlink r:id="rId25" ref="AE27"/>
    <hyperlink r:id="rId26" ref="AE28"/>
    <hyperlink r:id="rId27" ref="AE29"/>
    <hyperlink r:id="rId28" ref="AE30"/>
    <hyperlink r:id="rId29" ref="AE31"/>
    <hyperlink r:id="rId30" ref="AE32"/>
    <hyperlink r:id="rId31" ref="AE33"/>
    <hyperlink r:id="rId32" ref="AE34"/>
    <hyperlink r:id="rId33" ref="AE35"/>
    <hyperlink r:id="rId34" ref="AE36"/>
    <hyperlink r:id="rId35" ref="AE37"/>
    <hyperlink r:id="rId36" ref="AE38"/>
    <hyperlink r:id="rId37" ref="AE39"/>
    <hyperlink r:id="rId38" ref="AE40"/>
    <hyperlink r:id="rId39" ref="AE41"/>
    <hyperlink r:id="rId40" ref="AE42"/>
    <hyperlink r:id="rId41" ref="AE43"/>
    <hyperlink r:id="rId42" ref="AE44"/>
    <hyperlink r:id="rId43" ref="AE45"/>
    <hyperlink r:id="rId44" ref="AE46"/>
    <hyperlink r:id="rId45" ref="AE47"/>
    <hyperlink r:id="rId46" ref="AE48"/>
    <hyperlink r:id="rId47" ref="AE49"/>
    <hyperlink r:id="rId48" ref="AE50"/>
    <hyperlink r:id="rId49" ref="AE51"/>
    <hyperlink r:id="rId50" ref="AE52"/>
    <hyperlink r:id="rId51" ref="AE53"/>
    <hyperlink r:id="rId52" ref="AE54"/>
    <hyperlink r:id="rId53" ref="AE55"/>
    <hyperlink r:id="rId54" ref="AE56"/>
    <hyperlink r:id="rId55" ref="AE57"/>
    <hyperlink r:id="rId56" ref="AE58"/>
    <hyperlink r:id="rId57" ref="AE59"/>
    <hyperlink r:id="rId58" ref="AE60"/>
    <hyperlink r:id="rId59" ref="AE61"/>
    <hyperlink r:id="rId60" ref="AE62"/>
    <hyperlink r:id="rId61" ref="AE63"/>
    <hyperlink r:id="rId62" ref="AE64"/>
    <hyperlink r:id="rId63" ref="AE65"/>
    <hyperlink r:id="rId64" ref="AE66"/>
    <hyperlink r:id="rId65" ref="AE67"/>
    <hyperlink r:id="rId66" ref="AE68"/>
    <hyperlink r:id="rId67" ref="AE69"/>
    <hyperlink r:id="rId68" ref="AE70"/>
    <hyperlink r:id="rId69" ref="AE71"/>
    <hyperlink r:id="rId70" ref="AE72"/>
    <hyperlink r:id="rId71" ref="AE73"/>
    <hyperlink r:id="rId72" ref="AE74"/>
    <hyperlink r:id="rId73" ref="AE75"/>
    <hyperlink r:id="rId74" ref="AE76"/>
    <hyperlink r:id="rId75" ref="AE77"/>
    <hyperlink r:id="rId76" ref="AE78"/>
    <hyperlink r:id="rId77" ref="AE79"/>
    <hyperlink r:id="rId78" ref="AE80"/>
    <hyperlink r:id="rId79" ref="AE81"/>
    <hyperlink r:id="rId80" ref="AE82"/>
    <hyperlink r:id="rId81" ref="AE83"/>
    <hyperlink r:id="rId82" ref="AE84"/>
    <hyperlink r:id="rId83" ref="AE85"/>
    <hyperlink r:id="rId84" ref="AE86"/>
    <hyperlink r:id="rId85" ref="AE87"/>
    <hyperlink r:id="rId86" ref="AE88"/>
    <hyperlink r:id="rId87" ref="AE89"/>
    <hyperlink r:id="rId88" ref="AE90"/>
    <hyperlink r:id="rId89" ref="AE91"/>
    <hyperlink r:id="rId90" ref="AE92"/>
    <hyperlink r:id="rId91" ref="AE93"/>
    <hyperlink r:id="rId92" ref="AE94"/>
    <hyperlink r:id="rId93" ref="AE95"/>
    <hyperlink r:id="rId94" ref="AE96"/>
    <hyperlink r:id="rId95" ref="AE97"/>
    <hyperlink r:id="rId96" ref="AE98"/>
    <hyperlink r:id="rId97" ref="AE99"/>
    <hyperlink r:id="rId98" ref="AE100"/>
    <hyperlink r:id="rId99" ref="AE101"/>
    <hyperlink r:id="rId100" ref="AE102"/>
    <hyperlink r:id="rId101" ref="AE103"/>
    <hyperlink r:id="rId102" ref="AE104"/>
    <hyperlink r:id="rId103" ref="AE105"/>
    <hyperlink r:id="rId104" ref="AE106"/>
    <hyperlink r:id="rId105" ref="AE107"/>
    <hyperlink r:id="rId106" ref="AE108"/>
    <hyperlink r:id="rId107" ref="AE109"/>
    <hyperlink r:id="rId108" ref="AE110"/>
    <hyperlink r:id="rId109" ref="AE111"/>
    <hyperlink r:id="rId110" ref="AE112"/>
    <hyperlink r:id="rId111" ref="AE113"/>
    <hyperlink r:id="rId112" ref="AE114"/>
    <hyperlink r:id="rId113" ref="AE115"/>
    <hyperlink r:id="rId114" ref="AE116"/>
    <hyperlink r:id="rId115" ref="AE117"/>
    <hyperlink r:id="rId116" ref="AE118"/>
    <hyperlink r:id="rId117" ref="AE119"/>
    <hyperlink r:id="rId118" ref="AE120"/>
    <hyperlink r:id="rId119" ref="AE121"/>
    <hyperlink r:id="rId120" ref="AE122"/>
    <hyperlink r:id="rId121" ref="AE123"/>
    <hyperlink r:id="rId122" ref="AE124"/>
    <hyperlink r:id="rId123" ref="AE125"/>
    <hyperlink r:id="rId124" ref="AE126"/>
    <hyperlink r:id="rId125" ref="AE127"/>
    <hyperlink r:id="rId126" ref="AE128"/>
    <hyperlink r:id="rId127" ref="AE129"/>
    <hyperlink r:id="rId128" ref="AE130"/>
    <hyperlink r:id="rId129" ref="AE131"/>
    <hyperlink r:id="rId130" ref="AE132"/>
    <hyperlink r:id="rId131" ref="AE133"/>
    <hyperlink r:id="rId132" ref="AE134"/>
    <hyperlink r:id="rId133" ref="AE135"/>
    <hyperlink r:id="rId134" ref="AE136"/>
    <hyperlink r:id="rId135" ref="AE137"/>
    <hyperlink r:id="rId136" ref="AE138"/>
    <hyperlink r:id="rId137" ref="AE139"/>
    <hyperlink r:id="rId138" ref="AE140"/>
    <hyperlink r:id="rId139" ref="AE141"/>
    <hyperlink r:id="rId140" ref="AE142"/>
    <hyperlink r:id="rId141" ref="AE143"/>
    <hyperlink r:id="rId142" ref="AE144"/>
    <hyperlink r:id="rId143" ref="AE145"/>
    <hyperlink r:id="rId144" ref="AE146"/>
    <hyperlink r:id="rId145" ref="AE147"/>
    <hyperlink r:id="rId146" ref="AE148"/>
    <hyperlink r:id="rId147" ref="AE149"/>
    <hyperlink r:id="rId148" ref="AE150"/>
    <hyperlink r:id="rId149" ref="AE151"/>
    <hyperlink r:id="rId150" ref="AE152"/>
    <hyperlink r:id="rId151" ref="AE153"/>
    <hyperlink r:id="rId152" ref="AE154"/>
    <hyperlink r:id="rId153" ref="AE155"/>
    <hyperlink r:id="rId154" ref="AE156"/>
    <hyperlink r:id="rId155" ref="AE157"/>
    <hyperlink r:id="rId156" ref="AE158"/>
    <hyperlink r:id="rId157" ref="AE159"/>
    <hyperlink r:id="rId158" ref="AE160"/>
    <hyperlink r:id="rId159" ref="AE161"/>
    <hyperlink r:id="rId160" ref="AE162"/>
    <hyperlink r:id="rId161" ref="AE163"/>
    <hyperlink r:id="rId162" ref="AE164"/>
    <hyperlink r:id="rId163" ref="AE165"/>
    <hyperlink r:id="rId164" ref="AE166"/>
    <hyperlink r:id="rId165" ref="AE167"/>
    <hyperlink r:id="rId166" ref="AE168"/>
    <hyperlink r:id="rId167" ref="AE169"/>
    <hyperlink r:id="rId168" ref="AE170"/>
    <hyperlink r:id="rId169" ref="AE171"/>
    <hyperlink r:id="rId170" ref="AE172"/>
    <hyperlink r:id="rId171" ref="AE173"/>
    <hyperlink r:id="rId172" ref="AE174"/>
    <hyperlink r:id="rId173" ref="AE175"/>
    <hyperlink r:id="rId174" ref="AE176"/>
    <hyperlink r:id="rId175" ref="AE177"/>
    <hyperlink r:id="rId176" ref="AE178"/>
    <hyperlink r:id="rId177" ref="AE179"/>
    <hyperlink r:id="rId178" ref="AE180"/>
    <hyperlink r:id="rId179" ref="AE181"/>
    <hyperlink r:id="rId180" ref="AE182"/>
    <hyperlink r:id="rId181" ref="AE183"/>
    <hyperlink r:id="rId182" ref="AE184"/>
    <hyperlink r:id="rId183" ref="AE185"/>
    <hyperlink r:id="rId184" ref="AE186"/>
    <hyperlink r:id="rId185" ref="AE187"/>
    <hyperlink r:id="rId186" ref="AE188"/>
    <hyperlink r:id="rId187" ref="AE189"/>
    <hyperlink r:id="rId188" ref="AE190"/>
    <hyperlink r:id="rId189" ref="AE191"/>
    <hyperlink r:id="rId190" ref="AE192"/>
    <hyperlink r:id="rId191" ref="AE193"/>
    <hyperlink r:id="rId192" ref="AE194"/>
    <hyperlink r:id="rId193" ref="AE195"/>
    <hyperlink r:id="rId194" ref="AE196"/>
    <hyperlink r:id="rId195" ref="AE197"/>
    <hyperlink r:id="rId196" ref="AE198"/>
    <hyperlink r:id="rId197" ref="AE199"/>
    <hyperlink r:id="rId198" ref="AE200"/>
    <hyperlink r:id="rId199" ref="AE201"/>
    <hyperlink r:id="rId200" ref="AE202"/>
    <hyperlink r:id="rId201" ref="AE203"/>
    <hyperlink r:id="rId202" ref="AE204"/>
    <hyperlink r:id="rId203" ref="AE205"/>
    <hyperlink r:id="rId204" ref="AE206"/>
    <hyperlink r:id="rId205" ref="AE207"/>
    <hyperlink r:id="rId206" ref="AE208"/>
    <hyperlink r:id="rId207" ref="AE209"/>
    <hyperlink r:id="rId208" ref="AE210"/>
    <hyperlink r:id="rId209" ref="AE211"/>
    <hyperlink r:id="rId210" ref="AE212"/>
    <hyperlink r:id="rId211" ref="AE213"/>
    <hyperlink r:id="rId212" ref="AE214"/>
    <hyperlink r:id="rId213" ref="AE215"/>
    <hyperlink r:id="rId214" ref="AE216"/>
    <hyperlink r:id="rId215" ref="AE217"/>
    <hyperlink r:id="rId216" ref="AE218"/>
    <hyperlink r:id="rId217" ref="AE219"/>
    <hyperlink r:id="rId218" ref="AE220"/>
    <hyperlink r:id="rId219" ref="AE221"/>
    <hyperlink r:id="rId220" ref="AE222"/>
    <hyperlink r:id="rId221" ref="AE223"/>
    <hyperlink r:id="rId222" ref="AE224"/>
    <hyperlink r:id="rId223" ref="AE225"/>
    <hyperlink r:id="rId224" ref="AE226"/>
    <hyperlink r:id="rId225" ref="AE227"/>
    <hyperlink r:id="rId226" ref="AE228"/>
    <hyperlink r:id="rId227" ref="AE229"/>
    <hyperlink r:id="rId228" ref="AE230"/>
    <hyperlink r:id="rId229" ref="AE231"/>
    <hyperlink r:id="rId230" ref="AE232"/>
    <hyperlink r:id="rId231" ref="AE233"/>
    <hyperlink r:id="rId232" ref="AE234"/>
    <hyperlink r:id="rId233" ref="AE235"/>
    <hyperlink r:id="rId234" ref="AE236"/>
    <hyperlink r:id="rId235" ref="AE237"/>
    <hyperlink r:id="rId236" ref="AE238"/>
    <hyperlink r:id="rId237" ref="AE239"/>
    <hyperlink r:id="rId238" ref="AE240"/>
    <hyperlink r:id="rId239" ref="AE241"/>
    <hyperlink r:id="rId240" ref="AE242"/>
    <hyperlink r:id="rId241" ref="AE243"/>
    <hyperlink r:id="rId242" ref="AE244"/>
    <hyperlink r:id="rId243" ref="AE245"/>
    <hyperlink r:id="rId244" ref="AE246"/>
    <hyperlink r:id="rId245" ref="AE247"/>
    <hyperlink r:id="rId246" ref="AE248"/>
    <hyperlink r:id="rId247" ref="AE249"/>
    <hyperlink r:id="rId248" ref="AE250"/>
    <hyperlink r:id="rId249" ref="AE251"/>
    <hyperlink r:id="rId250" ref="AE252"/>
    <hyperlink r:id="rId251" ref="AE253"/>
    <hyperlink r:id="rId252" ref="AE254"/>
    <hyperlink r:id="rId253" ref="AE255"/>
    <hyperlink r:id="rId254" ref="AE256"/>
    <hyperlink r:id="rId255" ref="AE257"/>
    <hyperlink r:id="rId256" ref="AE258"/>
    <hyperlink r:id="rId257" ref="AE259"/>
    <hyperlink r:id="rId258" ref="AE260"/>
    <hyperlink r:id="rId259" ref="AE261"/>
    <hyperlink r:id="rId260" ref="AE262"/>
    <hyperlink r:id="rId261" ref="AE263"/>
    <hyperlink r:id="rId262" ref="AE264"/>
    <hyperlink r:id="rId263" ref="AE265"/>
    <hyperlink r:id="rId264" ref="AE266"/>
    <hyperlink r:id="rId265" ref="AE267"/>
    <hyperlink r:id="rId266" ref="AE268"/>
    <hyperlink r:id="rId267" ref="AE269"/>
    <hyperlink r:id="rId268" ref="AE270"/>
    <hyperlink r:id="rId269" ref="AE271"/>
    <hyperlink r:id="rId270" ref="AE272"/>
    <hyperlink r:id="rId271" ref="AE273"/>
    <hyperlink r:id="rId272" ref="AE274"/>
    <hyperlink r:id="rId273" ref="AE275"/>
    <hyperlink r:id="rId274" ref="AE276"/>
    <hyperlink r:id="rId275" ref="AE277"/>
    <hyperlink r:id="rId276" ref="AE278"/>
    <hyperlink r:id="rId277" ref="AE279"/>
    <hyperlink r:id="rId278" ref="AE280"/>
    <hyperlink r:id="rId279" ref="AE281"/>
    <hyperlink r:id="rId280" ref="AE282"/>
    <hyperlink r:id="rId281" ref="AE283"/>
    <hyperlink r:id="rId282" ref="AE284"/>
    <hyperlink r:id="rId283" ref="AE285"/>
    <hyperlink r:id="rId284" ref="AE286"/>
    <hyperlink r:id="rId285" ref="AE287"/>
    <hyperlink r:id="rId286" ref="AE288"/>
    <hyperlink r:id="rId287" ref="AE289"/>
    <hyperlink r:id="rId288" ref="AE290"/>
    <hyperlink r:id="rId289" ref="AE291"/>
    <hyperlink r:id="rId290" ref="AE292"/>
    <hyperlink r:id="rId291" ref="AE293"/>
    <hyperlink r:id="rId292" ref="AE294"/>
    <hyperlink r:id="rId293" ref="AE295"/>
    <hyperlink r:id="rId294" ref="AE296"/>
    <hyperlink r:id="rId295" ref="AE297"/>
    <hyperlink r:id="rId296" ref="AE298"/>
    <hyperlink r:id="rId297" ref="AE299"/>
    <hyperlink r:id="rId298" ref="AE300"/>
    <hyperlink r:id="rId299" ref="AE301"/>
    <hyperlink r:id="rId300" ref="AE302"/>
    <hyperlink r:id="rId301" ref="AE303"/>
    <hyperlink r:id="rId302" ref="AE304"/>
    <hyperlink r:id="rId303" ref="AE305"/>
    <hyperlink r:id="rId304" ref="AE306"/>
    <hyperlink r:id="rId305" ref="AE307"/>
    <hyperlink r:id="rId306" ref="AE308"/>
    <hyperlink r:id="rId307" ref="AE309"/>
    <hyperlink r:id="rId308" ref="AE310"/>
    <hyperlink r:id="rId309" ref="AE311"/>
    <hyperlink r:id="rId310" ref="AE312"/>
    <hyperlink r:id="rId311" ref="AE313"/>
    <hyperlink r:id="rId312" ref="AE314"/>
    <hyperlink r:id="rId313" ref="AE315"/>
    <hyperlink r:id="rId314" ref="AE316"/>
    <hyperlink r:id="rId315" ref="AE317"/>
    <hyperlink r:id="rId316" ref="AE318"/>
    <hyperlink r:id="rId317" ref="AE319"/>
    <hyperlink r:id="rId318" ref="AE320"/>
    <hyperlink r:id="rId319" ref="AE321"/>
    <hyperlink r:id="rId320" ref="AE322"/>
    <hyperlink r:id="rId321" ref="AE323"/>
    <hyperlink r:id="rId322" ref="AE324"/>
    <hyperlink r:id="rId323" ref="AE325"/>
    <hyperlink r:id="rId324" ref="AE326"/>
    <hyperlink r:id="rId325" ref="AE327"/>
    <hyperlink r:id="rId326" ref="AE328"/>
    <hyperlink r:id="rId327" ref="AE329"/>
    <hyperlink r:id="rId328" ref="AE330"/>
    <hyperlink r:id="rId329" ref="AE331"/>
    <hyperlink r:id="rId330" ref="AE332"/>
    <hyperlink r:id="rId331" ref="AE333"/>
    <hyperlink r:id="rId332" ref="AE334"/>
    <hyperlink r:id="rId333" ref="AE335"/>
    <hyperlink r:id="rId334" ref="AE336"/>
    <hyperlink r:id="rId335" ref="AE337"/>
    <hyperlink r:id="rId336" ref="AE338"/>
    <hyperlink r:id="rId337" ref="AE339"/>
    <hyperlink r:id="rId338" ref="AE340"/>
    <hyperlink r:id="rId339" ref="AE341"/>
    <hyperlink r:id="rId340" ref="AE342"/>
    <hyperlink r:id="rId341" ref="AE343"/>
    <hyperlink r:id="rId342" ref="AE344"/>
    <hyperlink r:id="rId343" ref="AE345"/>
    <hyperlink r:id="rId344" ref="AE346"/>
    <hyperlink r:id="rId345" ref="AE347"/>
    <hyperlink r:id="rId346" ref="AE348"/>
    <hyperlink r:id="rId347" ref="AE349"/>
    <hyperlink r:id="rId348" ref="AE350"/>
    <hyperlink r:id="rId349" ref="AE351"/>
    <hyperlink r:id="rId350" ref="AE352"/>
    <hyperlink r:id="rId351" ref="AE353"/>
    <hyperlink r:id="rId352" ref="AE354"/>
    <hyperlink r:id="rId353" ref="AE355"/>
    <hyperlink r:id="rId354" ref="AE356"/>
    <hyperlink r:id="rId355" ref="AE357"/>
    <hyperlink r:id="rId356" ref="AE358"/>
    <hyperlink r:id="rId357" ref="AE359"/>
    <hyperlink r:id="rId358" ref="AE360"/>
    <hyperlink r:id="rId359" ref="AE361"/>
    <hyperlink r:id="rId360" ref="AE362"/>
    <hyperlink r:id="rId361" ref="AE363"/>
    <hyperlink r:id="rId362" ref="AE364"/>
    <hyperlink r:id="rId363" ref="AE365"/>
    <hyperlink r:id="rId364" ref="AE366"/>
    <hyperlink r:id="rId365" ref="AE367"/>
    <hyperlink r:id="rId366" ref="AE368"/>
    <hyperlink r:id="rId367" ref="AE369"/>
    <hyperlink r:id="rId368" ref="AE370"/>
    <hyperlink r:id="rId369" ref="AE371"/>
    <hyperlink r:id="rId370" ref="AE372"/>
    <hyperlink r:id="rId371" ref="AE373"/>
    <hyperlink r:id="rId372" ref="AE374"/>
    <hyperlink r:id="rId373" ref="AE375"/>
    <hyperlink r:id="rId374" ref="AE376"/>
    <hyperlink r:id="rId375" ref="AE377"/>
    <hyperlink r:id="rId376" ref="AE378"/>
    <hyperlink r:id="rId377" ref="AE379"/>
    <hyperlink r:id="rId378" ref="AE380"/>
    <hyperlink r:id="rId379" ref="AE381"/>
    <hyperlink r:id="rId380" ref="AE382"/>
    <hyperlink r:id="rId381" ref="AE383"/>
    <hyperlink r:id="rId382" ref="AE384"/>
    <hyperlink r:id="rId383" ref="AE385"/>
    <hyperlink r:id="rId384" ref="AE386"/>
    <hyperlink r:id="rId385" ref="AE387"/>
    <hyperlink r:id="rId386" ref="AE388"/>
    <hyperlink r:id="rId387" ref="AE389"/>
    <hyperlink r:id="rId388" ref="AE390"/>
    <hyperlink r:id="rId389" ref="AE391"/>
    <hyperlink r:id="rId390" ref="AE392"/>
    <hyperlink r:id="rId391" ref="AE393"/>
    <hyperlink r:id="rId392" ref="AE394"/>
    <hyperlink r:id="rId393" ref="AE395"/>
    <hyperlink r:id="rId394" ref="AE396"/>
    <hyperlink r:id="rId395" ref="AE397"/>
    <hyperlink r:id="rId396" ref="AE398"/>
    <hyperlink r:id="rId397" ref="AE399"/>
    <hyperlink r:id="rId398" ref="AE400"/>
    <hyperlink r:id="rId399" ref="AE401"/>
    <hyperlink r:id="rId400" ref="AE402"/>
    <hyperlink r:id="rId401" ref="AE403"/>
    <hyperlink r:id="rId402" ref="AE404"/>
    <hyperlink r:id="rId403" ref="AE405"/>
    <hyperlink r:id="rId404" ref="AE406"/>
    <hyperlink r:id="rId405" ref="AE407"/>
    <hyperlink r:id="rId406" ref="AE408"/>
    <hyperlink r:id="rId407" ref="AE409"/>
    <hyperlink r:id="rId408" ref="AE410"/>
    <hyperlink r:id="rId409" ref="AE411"/>
    <hyperlink r:id="rId410" ref="AE412"/>
    <hyperlink r:id="rId411" ref="AE413"/>
    <hyperlink r:id="rId412" ref="AE414"/>
    <hyperlink r:id="rId413" ref="AE415"/>
    <hyperlink r:id="rId414" ref="AE416"/>
    <hyperlink r:id="rId415" ref="AE417"/>
    <hyperlink r:id="rId416" ref="AE418"/>
    <hyperlink r:id="rId417" ref="AE419"/>
    <hyperlink r:id="rId418" ref="AE420"/>
    <hyperlink r:id="rId419" ref="AE421"/>
    <hyperlink r:id="rId420" ref="AE422"/>
    <hyperlink r:id="rId421" ref="AE423"/>
    <hyperlink r:id="rId422" ref="AE424"/>
    <hyperlink r:id="rId423" ref="AE425"/>
    <hyperlink r:id="rId424" ref="AE426"/>
    <hyperlink r:id="rId425" ref="AE427"/>
    <hyperlink r:id="rId426" ref="AE428"/>
    <hyperlink r:id="rId427" ref="AE429"/>
    <hyperlink r:id="rId428" ref="AE430"/>
    <hyperlink r:id="rId429" ref="AE431"/>
    <hyperlink r:id="rId430" ref="AE432"/>
    <hyperlink r:id="rId431" ref="AE433"/>
    <hyperlink r:id="rId432" ref="AE434"/>
    <hyperlink r:id="rId433" ref="AE435"/>
    <hyperlink r:id="rId434" ref="AE436"/>
    <hyperlink r:id="rId435" ref="AE437"/>
    <hyperlink r:id="rId436" ref="AE438"/>
    <hyperlink r:id="rId437" ref="AE439"/>
    <hyperlink r:id="rId438" ref="AE440"/>
    <hyperlink r:id="rId439" ref="AE441"/>
    <hyperlink r:id="rId440" ref="AE442"/>
    <hyperlink r:id="rId441" ref="AE443"/>
    <hyperlink r:id="rId442" ref="AE444"/>
    <hyperlink r:id="rId443" ref="AE445"/>
    <hyperlink r:id="rId444" ref="AE446"/>
    <hyperlink r:id="rId445" ref="AE447"/>
    <hyperlink r:id="rId446" ref="AE448"/>
    <hyperlink r:id="rId447" ref="AE449"/>
    <hyperlink r:id="rId448" ref="AE450"/>
    <hyperlink r:id="rId449" ref="AE451"/>
    <hyperlink r:id="rId450" ref="AE452"/>
    <hyperlink r:id="rId451" ref="AE453"/>
    <hyperlink r:id="rId452" ref="AE454"/>
    <hyperlink r:id="rId453" ref="AE455"/>
    <hyperlink r:id="rId454" ref="AE456"/>
    <hyperlink r:id="rId455" ref="AE457"/>
    <hyperlink r:id="rId456" ref="AE458"/>
    <hyperlink r:id="rId457" ref="AE459"/>
    <hyperlink r:id="rId458" ref="AE460"/>
    <hyperlink r:id="rId459" ref="AE461"/>
    <hyperlink r:id="rId460" ref="AE462"/>
    <hyperlink r:id="rId461" ref="AE463"/>
    <hyperlink r:id="rId462" ref="AE464"/>
    <hyperlink r:id="rId463" ref="AE465"/>
    <hyperlink r:id="rId464" ref="AE466"/>
    <hyperlink r:id="rId465" ref="AE467"/>
    <hyperlink r:id="rId466" ref="AE468"/>
    <hyperlink r:id="rId467" ref="AE469"/>
    <hyperlink r:id="rId468" ref="AE470"/>
    <hyperlink r:id="rId469" ref="AE471"/>
    <hyperlink r:id="rId470" ref="AE472"/>
    <hyperlink r:id="rId471" ref="AE473"/>
    <hyperlink r:id="rId472" ref="AE474"/>
    <hyperlink r:id="rId473" ref="AE475"/>
    <hyperlink r:id="rId474" ref="AE476"/>
    <hyperlink r:id="rId475" ref="AE477"/>
    <hyperlink r:id="rId476" ref="AE478"/>
    <hyperlink r:id="rId477" ref="AE479"/>
    <hyperlink r:id="rId478" ref="AE480"/>
    <hyperlink r:id="rId479" ref="AE481"/>
    <hyperlink r:id="rId480" ref="AE482"/>
    <hyperlink r:id="rId481" ref="AE483"/>
    <hyperlink r:id="rId482" ref="AE484"/>
    <hyperlink r:id="rId483" ref="AE485"/>
    <hyperlink r:id="rId484" ref="AE486"/>
    <hyperlink r:id="rId485" ref="AE487"/>
    <hyperlink r:id="rId486" ref="AE488"/>
    <hyperlink r:id="rId487" ref="AE489"/>
    <hyperlink r:id="rId488" ref="AE490"/>
    <hyperlink r:id="rId489" ref="AE491"/>
    <hyperlink r:id="rId490" ref="AE492"/>
    <hyperlink r:id="rId491" ref="AE493"/>
    <hyperlink r:id="rId492" ref="AE494"/>
    <hyperlink r:id="rId493" ref="AE495"/>
    <hyperlink r:id="rId494" ref="AE496"/>
    <hyperlink r:id="rId495" ref="AE497"/>
    <hyperlink r:id="rId496" ref="AE498"/>
    <hyperlink r:id="rId497" ref="AE499"/>
    <hyperlink r:id="rId498" ref="AE500"/>
    <hyperlink r:id="rId499" ref="AE501"/>
    <hyperlink r:id="rId500" ref="AE502"/>
    <hyperlink r:id="rId501" ref="AE503"/>
    <hyperlink r:id="rId502" ref="AE504"/>
    <hyperlink r:id="rId503" ref="AE505"/>
    <hyperlink r:id="rId504" ref="AE506"/>
    <hyperlink r:id="rId505" ref="AE507"/>
    <hyperlink r:id="rId506" ref="AE508"/>
    <hyperlink r:id="rId507" ref="AE509"/>
    <hyperlink r:id="rId508" ref="AE510"/>
    <hyperlink r:id="rId509" ref="AE511"/>
    <hyperlink r:id="rId510" ref="AE512"/>
    <hyperlink r:id="rId511" ref="AE513"/>
    <hyperlink r:id="rId512" ref="AE514"/>
    <hyperlink r:id="rId513" ref="AE515"/>
    <hyperlink r:id="rId514" ref="AE516"/>
    <hyperlink r:id="rId515" ref="AE517"/>
    <hyperlink r:id="rId516" ref="AE518"/>
    <hyperlink r:id="rId517" ref="AE519"/>
    <hyperlink r:id="rId518" ref="AE520"/>
    <hyperlink r:id="rId519" ref="AE521"/>
    <hyperlink r:id="rId520" ref="AE522"/>
    <hyperlink r:id="rId521" ref="AE523"/>
    <hyperlink r:id="rId522" ref="AE524"/>
    <hyperlink r:id="rId523" ref="AE525"/>
    <hyperlink r:id="rId524" ref="AE526"/>
    <hyperlink r:id="rId525" ref="AE527"/>
    <hyperlink r:id="rId526" ref="AE528"/>
    <hyperlink r:id="rId527" ref="AE529"/>
    <hyperlink r:id="rId528" ref="AE530"/>
    <hyperlink r:id="rId529" ref="AE531"/>
    <hyperlink r:id="rId530" ref="AE532"/>
    <hyperlink r:id="rId531" ref="AE533"/>
    <hyperlink r:id="rId532" ref="AE534"/>
    <hyperlink r:id="rId533" ref="AE535"/>
    <hyperlink r:id="rId534" ref="AE536"/>
    <hyperlink r:id="rId535" ref="AE537"/>
    <hyperlink r:id="rId536" ref="AE538"/>
    <hyperlink r:id="rId537" ref="AE539"/>
    <hyperlink r:id="rId538" ref="AE540"/>
    <hyperlink r:id="rId539" ref="AE541"/>
    <hyperlink r:id="rId540" ref="AE542"/>
    <hyperlink r:id="rId541" ref="AE543"/>
    <hyperlink r:id="rId542" ref="AE544"/>
    <hyperlink r:id="rId543" ref="AE545"/>
    <hyperlink r:id="rId544" ref="AE546"/>
    <hyperlink r:id="rId545" ref="AE547"/>
    <hyperlink r:id="rId546" ref="AE548"/>
    <hyperlink r:id="rId547" ref="AE549"/>
    <hyperlink r:id="rId548" ref="AE550"/>
    <hyperlink r:id="rId549" ref="AE551"/>
    <hyperlink r:id="rId550" ref="AE552"/>
    <hyperlink r:id="rId551" ref="AE553"/>
    <hyperlink r:id="rId552" ref="AE554"/>
    <hyperlink r:id="rId553" ref="AE555"/>
    <hyperlink r:id="rId554" ref="AE556"/>
    <hyperlink r:id="rId555" ref="AE557"/>
    <hyperlink r:id="rId556" ref="AE558"/>
    <hyperlink r:id="rId557" ref="AE559"/>
    <hyperlink r:id="rId558" ref="AE560"/>
    <hyperlink r:id="rId559" ref="AE561"/>
    <hyperlink r:id="rId560" ref="AE562"/>
    <hyperlink r:id="rId561" ref="AE563"/>
    <hyperlink r:id="rId562" ref="AE564"/>
    <hyperlink r:id="rId563" ref="AE565"/>
    <hyperlink r:id="rId564" ref="AE566"/>
    <hyperlink r:id="rId565" ref="AE567"/>
    <hyperlink r:id="rId566" ref="AE568"/>
    <hyperlink r:id="rId567" ref="AE569"/>
    <hyperlink r:id="rId568" ref="AE570"/>
    <hyperlink r:id="rId569" ref="AE571"/>
    <hyperlink r:id="rId570" ref="AE572"/>
    <hyperlink r:id="rId571" ref="AE573"/>
    <hyperlink r:id="rId572" ref="AE574"/>
    <hyperlink r:id="rId573" ref="AE575"/>
    <hyperlink r:id="rId574" ref="AE576"/>
    <hyperlink r:id="rId575" ref="AE577"/>
    <hyperlink r:id="rId576" ref="AE578"/>
    <hyperlink r:id="rId577" ref="AE579"/>
    <hyperlink r:id="rId578" ref="AE580"/>
    <hyperlink r:id="rId579" ref="AE581"/>
    <hyperlink r:id="rId580" ref="AE582"/>
    <hyperlink r:id="rId581" ref="AE583"/>
    <hyperlink r:id="rId582" ref="AE584"/>
    <hyperlink r:id="rId583" ref="AE585"/>
    <hyperlink r:id="rId584" ref="AE586"/>
    <hyperlink r:id="rId585" ref="AE587"/>
    <hyperlink r:id="rId586" ref="AE588"/>
    <hyperlink r:id="rId587" ref="AE589"/>
    <hyperlink r:id="rId588" ref="AE590"/>
    <hyperlink r:id="rId589" ref="AE591"/>
    <hyperlink r:id="rId590" ref="AE592"/>
    <hyperlink r:id="rId591" ref="AE593"/>
    <hyperlink r:id="rId592" ref="AE594"/>
    <hyperlink r:id="rId593" ref="AE595"/>
    <hyperlink r:id="rId594" ref="AE596"/>
    <hyperlink r:id="rId595" ref="AE597"/>
    <hyperlink r:id="rId596" ref="AE598"/>
    <hyperlink r:id="rId597" ref="AE599"/>
    <hyperlink r:id="rId598" ref="AE600"/>
    <hyperlink r:id="rId599" ref="AE601"/>
    <hyperlink r:id="rId600" ref="AE602"/>
    <hyperlink r:id="rId601" ref="AE603"/>
    <hyperlink r:id="rId602" ref="AE604"/>
    <hyperlink r:id="rId603" ref="AE605"/>
    <hyperlink r:id="rId604" ref="AE606"/>
    <hyperlink r:id="rId605" ref="AE607"/>
    <hyperlink r:id="rId606" ref="AE608"/>
    <hyperlink r:id="rId607" ref="AE609"/>
    <hyperlink r:id="rId608" ref="AE610"/>
    <hyperlink r:id="rId609" ref="AE611"/>
    <hyperlink r:id="rId610" ref="AE612"/>
    <hyperlink r:id="rId611" ref="AE613"/>
    <hyperlink r:id="rId612" ref="AE614"/>
    <hyperlink r:id="rId613" ref="AE615"/>
    <hyperlink r:id="rId614" ref="AE616"/>
    <hyperlink r:id="rId615" ref="AE617"/>
    <hyperlink r:id="rId616" ref="AE618"/>
    <hyperlink r:id="rId617" ref="AE619"/>
    <hyperlink r:id="rId618" ref="AE620"/>
    <hyperlink r:id="rId619" ref="AE621"/>
    <hyperlink r:id="rId620" ref="AE622"/>
    <hyperlink r:id="rId621" ref="AE623"/>
    <hyperlink r:id="rId622" ref="AE624"/>
    <hyperlink r:id="rId623" ref="AE625"/>
    <hyperlink r:id="rId624" ref="AE626"/>
    <hyperlink r:id="rId625" ref="AE627"/>
    <hyperlink r:id="rId626" ref="AE628"/>
    <hyperlink r:id="rId627" ref="AE629"/>
    <hyperlink r:id="rId628" ref="AE630"/>
    <hyperlink r:id="rId629" ref="AE631"/>
    <hyperlink r:id="rId630" ref="AE632"/>
    <hyperlink r:id="rId631" ref="AE633"/>
    <hyperlink r:id="rId632" ref="AE634"/>
    <hyperlink r:id="rId633" ref="AE635"/>
    <hyperlink r:id="rId634" ref="AE636"/>
    <hyperlink r:id="rId635" ref="AE637"/>
    <hyperlink r:id="rId636" ref="AE638"/>
    <hyperlink r:id="rId637" ref="AE639"/>
    <hyperlink r:id="rId638" ref="AE640"/>
    <hyperlink r:id="rId639" ref="AE641"/>
    <hyperlink r:id="rId640" ref="AE642"/>
    <hyperlink r:id="rId641" ref="AE643"/>
    <hyperlink r:id="rId642" ref="AE644"/>
    <hyperlink r:id="rId643" ref="AE645"/>
    <hyperlink r:id="rId644" ref="AE646"/>
    <hyperlink r:id="rId645" ref="AE647"/>
    <hyperlink r:id="rId646" ref="AE648"/>
    <hyperlink r:id="rId647" ref="AE649"/>
    <hyperlink r:id="rId648" ref="AE650"/>
    <hyperlink r:id="rId649" ref="AE651"/>
    <hyperlink r:id="rId650" ref="AE652"/>
    <hyperlink r:id="rId651" ref="AE653"/>
    <hyperlink r:id="rId652" ref="AE654"/>
    <hyperlink r:id="rId653" ref="AE655"/>
    <hyperlink r:id="rId654" ref="AE656"/>
    <hyperlink r:id="rId655" ref="AE657"/>
    <hyperlink r:id="rId656" ref="AE658"/>
    <hyperlink r:id="rId657" ref="AE659"/>
    <hyperlink r:id="rId658" ref="AE660"/>
    <hyperlink r:id="rId659" ref="AE661"/>
    <hyperlink r:id="rId660" ref="AE662"/>
    <hyperlink r:id="rId661" ref="AE663"/>
    <hyperlink r:id="rId662" ref="AE664"/>
    <hyperlink r:id="rId663" ref="AE665"/>
    <hyperlink r:id="rId664" ref="AE666"/>
    <hyperlink r:id="rId665" ref="AE667"/>
    <hyperlink r:id="rId666" ref="AE668"/>
    <hyperlink r:id="rId667" ref="AE669"/>
    <hyperlink r:id="rId668" ref="AE670"/>
    <hyperlink r:id="rId669" ref="AE671"/>
    <hyperlink r:id="rId670" ref="AE672"/>
    <hyperlink r:id="rId671" ref="AE673"/>
    <hyperlink r:id="rId672" ref="AE674"/>
    <hyperlink r:id="rId673" ref="AE675"/>
    <hyperlink r:id="rId674" ref="AE676"/>
    <hyperlink r:id="rId675" ref="AE677"/>
    <hyperlink r:id="rId676" ref="AE678"/>
    <hyperlink r:id="rId677" ref="AE679"/>
    <hyperlink r:id="rId678" ref="AE680"/>
    <hyperlink r:id="rId679" ref="AE681"/>
    <hyperlink r:id="rId680" ref="AE682"/>
    <hyperlink r:id="rId681" ref="AE683"/>
    <hyperlink r:id="rId682" ref="AE684"/>
    <hyperlink r:id="rId683" ref="AE685"/>
    <hyperlink r:id="rId684" ref="AE686"/>
    <hyperlink r:id="rId685" ref="AE687"/>
    <hyperlink r:id="rId686" ref="AE688"/>
    <hyperlink r:id="rId687" ref="AE689"/>
    <hyperlink r:id="rId688" ref="AE690"/>
    <hyperlink r:id="rId689" ref="AE691"/>
    <hyperlink r:id="rId690" ref="AE692"/>
    <hyperlink r:id="rId691" ref="AE693"/>
    <hyperlink r:id="rId692" ref="AE694"/>
    <hyperlink r:id="rId693" ref="AE695"/>
    <hyperlink r:id="rId694" ref="AE696"/>
    <hyperlink r:id="rId695" ref="AE697"/>
    <hyperlink r:id="rId696" ref="AE698"/>
    <hyperlink r:id="rId697" ref="AE699"/>
    <hyperlink r:id="rId698" ref="AE700"/>
    <hyperlink r:id="rId699" ref="AE701"/>
    <hyperlink r:id="rId700" ref="AE702"/>
    <hyperlink r:id="rId701" ref="AE703"/>
    <hyperlink r:id="rId702" ref="AE704"/>
    <hyperlink r:id="rId703" ref="AE705"/>
    <hyperlink r:id="rId704" ref="AE706"/>
    <hyperlink r:id="rId705" ref="AE707"/>
    <hyperlink r:id="rId706" ref="AE708"/>
    <hyperlink r:id="rId707" ref="AE709"/>
    <hyperlink r:id="rId708" ref="AE710"/>
    <hyperlink r:id="rId709" ref="AE711"/>
    <hyperlink r:id="rId710" ref="AE712"/>
    <hyperlink r:id="rId711" ref="AE713"/>
    <hyperlink r:id="rId712" ref="AE714"/>
    <hyperlink r:id="rId713" ref="AE715"/>
    <hyperlink r:id="rId714" ref="AE716"/>
    <hyperlink r:id="rId715" ref="AE717"/>
    <hyperlink r:id="rId716" ref="AE718"/>
    <hyperlink r:id="rId717" ref="AE719"/>
    <hyperlink r:id="rId718" ref="AE720"/>
    <hyperlink r:id="rId719" ref="AE721"/>
    <hyperlink r:id="rId720" ref="AE722"/>
    <hyperlink r:id="rId721" ref="AE723"/>
    <hyperlink r:id="rId722" ref="AE724"/>
    <hyperlink r:id="rId723" ref="AE725"/>
    <hyperlink r:id="rId724" ref="AE726"/>
    <hyperlink r:id="rId725" ref="AE727"/>
    <hyperlink r:id="rId726" ref="AE728"/>
    <hyperlink r:id="rId727" ref="AE729"/>
    <hyperlink r:id="rId728" ref="AE730"/>
    <hyperlink r:id="rId729" ref="AE731"/>
    <hyperlink r:id="rId730" ref="AE732"/>
    <hyperlink r:id="rId731" ref="AE733"/>
    <hyperlink r:id="rId732" ref="AE734"/>
    <hyperlink r:id="rId733" ref="AE735"/>
    <hyperlink r:id="rId734" ref="AE736"/>
    <hyperlink r:id="rId735" ref="AE737"/>
    <hyperlink r:id="rId736" ref="AE738"/>
    <hyperlink r:id="rId737" ref="AE739"/>
    <hyperlink r:id="rId738" ref="AE740"/>
    <hyperlink r:id="rId739" ref="AE741"/>
    <hyperlink r:id="rId740" ref="AE742"/>
    <hyperlink r:id="rId741" ref="AE743"/>
    <hyperlink r:id="rId742" ref="AE744"/>
    <hyperlink r:id="rId743" ref="AE745"/>
    <hyperlink r:id="rId744" ref="AE746"/>
    <hyperlink r:id="rId745" ref="AE747"/>
    <hyperlink r:id="rId746" ref="AE748"/>
    <hyperlink r:id="rId747" ref="AE749"/>
    <hyperlink r:id="rId748" ref="AE750"/>
    <hyperlink r:id="rId749" ref="AE751"/>
    <hyperlink r:id="rId750" ref="AE752"/>
    <hyperlink r:id="rId751" ref="AE753"/>
    <hyperlink r:id="rId752" ref="AE754"/>
    <hyperlink r:id="rId753" ref="AE755"/>
    <hyperlink r:id="rId754" ref="AE756"/>
    <hyperlink r:id="rId755" ref="AE757"/>
    <hyperlink r:id="rId756" ref="AE758"/>
    <hyperlink r:id="rId757" ref="AE759"/>
    <hyperlink r:id="rId758" ref="AE760"/>
    <hyperlink r:id="rId759" ref="AE761"/>
    <hyperlink r:id="rId760" ref="AE762"/>
    <hyperlink r:id="rId761" ref="AE763"/>
    <hyperlink r:id="rId762" ref="AE764"/>
    <hyperlink r:id="rId763" ref="AE765"/>
    <hyperlink r:id="rId764" ref="AE766"/>
    <hyperlink r:id="rId765" ref="AE767"/>
    <hyperlink r:id="rId766" ref="AE768"/>
    <hyperlink r:id="rId767" ref="AE769"/>
    <hyperlink r:id="rId768" ref="AE770"/>
    <hyperlink r:id="rId769" ref="AE771"/>
    <hyperlink r:id="rId770" ref="AE772"/>
    <hyperlink r:id="rId771" ref="AE773"/>
    <hyperlink r:id="rId772" ref="AE774"/>
    <hyperlink r:id="rId773" ref="AE775"/>
    <hyperlink r:id="rId774" ref="AE776"/>
    <hyperlink r:id="rId775" ref="AE777"/>
    <hyperlink r:id="rId776" ref="AE778"/>
    <hyperlink r:id="rId777" ref="AE779"/>
    <hyperlink r:id="rId778" ref="AE780"/>
    <hyperlink r:id="rId779" ref="AE781"/>
    <hyperlink r:id="rId780" ref="AE782"/>
    <hyperlink r:id="rId781" ref="AE783"/>
    <hyperlink r:id="rId782" ref="AE784"/>
    <hyperlink r:id="rId783" ref="AE785"/>
    <hyperlink r:id="rId784" ref="AE786"/>
    <hyperlink r:id="rId785" ref="AE787"/>
    <hyperlink r:id="rId786" ref="AE788"/>
    <hyperlink r:id="rId787" ref="AE789"/>
    <hyperlink r:id="rId788" ref="AE790"/>
    <hyperlink r:id="rId789" ref="AE791"/>
    <hyperlink r:id="rId790" ref="AE792"/>
    <hyperlink r:id="rId791" ref="AE793"/>
    <hyperlink r:id="rId792" ref="AE794"/>
    <hyperlink r:id="rId793" ref="AE795"/>
    <hyperlink r:id="rId794" ref="AE796"/>
    <hyperlink r:id="rId795" ref="AE797"/>
    <hyperlink r:id="rId796" ref="AE798"/>
    <hyperlink r:id="rId797" ref="AE799"/>
    <hyperlink r:id="rId798" ref="AE800"/>
    <hyperlink r:id="rId799" ref="AE801"/>
    <hyperlink r:id="rId800" ref="AE802"/>
    <hyperlink r:id="rId801" ref="AE803"/>
    <hyperlink r:id="rId802" ref="AE804"/>
    <hyperlink r:id="rId803" ref="AE805"/>
    <hyperlink r:id="rId804" ref="AE806"/>
    <hyperlink r:id="rId805" ref="AE807"/>
    <hyperlink r:id="rId806" ref="AE808"/>
    <hyperlink r:id="rId807" ref="AE809"/>
    <hyperlink r:id="rId808" ref="AE810"/>
    <hyperlink r:id="rId809" ref="AE811"/>
    <hyperlink r:id="rId810" ref="AE812"/>
    <hyperlink r:id="rId811" ref="AE813"/>
    <hyperlink r:id="rId812" ref="AE814"/>
    <hyperlink r:id="rId813" ref="AE815"/>
    <hyperlink r:id="rId814" ref="AE816"/>
    <hyperlink r:id="rId815" ref="AE817"/>
    <hyperlink r:id="rId816" ref="AE818"/>
    <hyperlink r:id="rId817" ref="AE819"/>
    <hyperlink r:id="rId818" ref="AE820"/>
    <hyperlink r:id="rId819" ref="AE821"/>
    <hyperlink r:id="rId820" ref="AE822"/>
    <hyperlink r:id="rId821" ref="AE823"/>
    <hyperlink r:id="rId822" ref="AE824"/>
    <hyperlink r:id="rId823" ref="AE825"/>
    <hyperlink r:id="rId824" ref="AE826"/>
    <hyperlink r:id="rId825" ref="AE827"/>
    <hyperlink r:id="rId826" ref="AE828"/>
    <hyperlink r:id="rId827" ref="AE829"/>
    <hyperlink r:id="rId828" ref="AE830"/>
    <hyperlink r:id="rId829" ref="AE831"/>
    <hyperlink r:id="rId830" ref="AE832"/>
    <hyperlink r:id="rId831" ref="AE833"/>
    <hyperlink r:id="rId832" ref="AE834"/>
    <hyperlink r:id="rId833" ref="AE835"/>
    <hyperlink r:id="rId834" ref="AE836"/>
    <hyperlink r:id="rId835" ref="AE837"/>
    <hyperlink r:id="rId836" ref="AE838"/>
    <hyperlink r:id="rId837" ref="AE839"/>
    <hyperlink r:id="rId838" ref="AE840"/>
    <hyperlink r:id="rId839" ref="AE841"/>
    <hyperlink r:id="rId840" ref="AE842"/>
    <hyperlink r:id="rId841" ref="AE843"/>
    <hyperlink r:id="rId842" ref="AE844"/>
    <hyperlink r:id="rId843" ref="AE845"/>
    <hyperlink r:id="rId844" ref="AE846"/>
    <hyperlink r:id="rId845" ref="AE847"/>
    <hyperlink r:id="rId846" ref="AE848"/>
    <hyperlink r:id="rId847" ref="AE849"/>
    <hyperlink r:id="rId848" ref="AE850"/>
    <hyperlink r:id="rId849" ref="AE851"/>
    <hyperlink r:id="rId850" ref="AE852"/>
    <hyperlink r:id="rId851" ref="AE853"/>
    <hyperlink r:id="rId852" ref="AE854"/>
    <hyperlink r:id="rId853" ref="AE855"/>
    <hyperlink r:id="rId854" ref="AE856"/>
    <hyperlink r:id="rId855" ref="AE857"/>
    <hyperlink r:id="rId856" ref="AE858"/>
    <hyperlink r:id="rId857" ref="AE859"/>
    <hyperlink r:id="rId858" ref="AE860"/>
    <hyperlink r:id="rId859" ref="AE861"/>
    <hyperlink r:id="rId860" ref="AE862"/>
    <hyperlink r:id="rId861" ref="AE863"/>
    <hyperlink r:id="rId862" ref="AE864"/>
    <hyperlink r:id="rId863" ref="AE865"/>
    <hyperlink r:id="rId864" ref="AE866"/>
    <hyperlink r:id="rId865" ref="AE867"/>
    <hyperlink r:id="rId866" ref="AE868"/>
    <hyperlink r:id="rId867" ref="AE869"/>
    <hyperlink r:id="rId868" ref="AE870"/>
    <hyperlink r:id="rId869" ref="AE871"/>
  </hyperlinks>
  <drawing r:id="rId8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5"/>
    <col customWidth="1" min="2" max="2" width="24.25"/>
    <col customWidth="1" min="3" max="3" width="36.75"/>
    <col customWidth="1" min="4" max="4" width="17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</sheetData>
  <drawing r:id="rId2"/>
</worksheet>
</file>